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01 DDC Pandemic\2021-2022 Projects\SIPA+Barclays+T+G\"/>
    </mc:Choice>
  </mc:AlternateContent>
  <xr:revisionPtr revIDLastSave="0" documentId="8_{83A6E056-2F8C-4A6A-A1A8-269FFD0A7C9C}" xr6:coauthVersionLast="47" xr6:coauthVersionMax="47" xr10:uidLastSave="{00000000-0000-0000-0000-000000000000}"/>
  <bookViews>
    <workbookView xWindow="6750" yWindow="1635" windowWidth="15795" windowHeight="13245" xr2:uid="{00000000-000D-0000-FFFF-FFFF00000000}"/>
  </bookViews>
  <sheets>
    <sheet name="Summary of CBA" sheetId="1" r:id="rId1"/>
    <sheet name="Sensitivity Analysis" sheetId="2" r:id="rId2"/>
    <sheet name="Financial Modeling" sheetId="3" r:id="rId3"/>
    <sheet name="Evol of Costs and Rev" sheetId="4" r:id="rId4"/>
    <sheet name="Cost (Counterfactual)" sheetId="5" r:id="rId5"/>
    <sheet name="Cost (Model)" sheetId="6" r:id="rId6"/>
    <sheet name="Utilidor Construction &amp; Mainten" sheetId="7" r:id="rId7"/>
    <sheet name="Unit Costs and Indicators" sheetId="8"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2" roundtripDataSignature="AMtx7mgapVkeOMOXN39TulEgkXT/+EPofQ=="/>
    </ext>
  </extLst>
</workbook>
</file>

<file path=xl/calcChain.xml><?xml version="1.0" encoding="utf-8"?>
<calcChain xmlns="http://schemas.openxmlformats.org/spreadsheetml/2006/main">
  <c r="F61" i="1" l="1"/>
  <c r="D61" i="1"/>
  <c r="I154" i="5" l="1"/>
  <c r="G154" i="5"/>
  <c r="D60" i="1" s="1"/>
  <c r="C88" i="1"/>
  <c r="B80" i="1"/>
  <c r="E71" i="1"/>
  <c r="K68" i="6" l="1"/>
  <c r="J68" i="6"/>
  <c r="L68" i="6"/>
  <c r="M68" i="6"/>
  <c r="N68" i="6"/>
  <c r="O68" i="6"/>
  <c r="P68" i="6"/>
  <c r="Q68" i="6"/>
  <c r="R68" i="6"/>
  <c r="S68" i="6"/>
  <c r="T68" i="6"/>
  <c r="U68" i="6"/>
  <c r="V68" i="6"/>
  <c r="W68" i="6"/>
  <c r="X68" i="6"/>
  <c r="Y68" i="6"/>
  <c r="Z68" i="6"/>
  <c r="AA68" i="6"/>
  <c r="AB68" i="6"/>
  <c r="AC68" i="6"/>
  <c r="AD68" i="6"/>
  <c r="AE68" i="6"/>
  <c r="AF68" i="6"/>
  <c r="AG68" i="6"/>
  <c r="AH68" i="6"/>
  <c r="AI68" i="6"/>
  <c r="AJ68" i="6"/>
  <c r="AK68" i="6"/>
  <c r="AL68" i="6"/>
  <c r="AM68" i="6"/>
  <c r="AN68" i="6"/>
  <c r="AO68" i="6"/>
  <c r="AP68" i="6"/>
  <c r="AQ68" i="6"/>
  <c r="AR68" i="6"/>
  <c r="AS68" i="6"/>
  <c r="AT68" i="6"/>
  <c r="AU68" i="6"/>
  <c r="AV68" i="6"/>
  <c r="AW68" i="6"/>
  <c r="AX68" i="6"/>
  <c r="AY68" i="6"/>
  <c r="AZ68" i="6"/>
  <c r="BA68" i="6"/>
  <c r="BB68" i="6"/>
  <c r="BC68" i="6"/>
  <c r="BD68" i="6"/>
  <c r="BE68" i="6"/>
  <c r="BF68" i="6"/>
  <c r="BG68" i="6"/>
  <c r="BH68" i="6"/>
  <c r="BI68" i="6"/>
  <c r="BJ68" i="6"/>
  <c r="BK68" i="6"/>
  <c r="BL68" i="6"/>
  <c r="BM68" i="6"/>
  <c r="BN68" i="6"/>
  <c r="BO68" i="6"/>
  <c r="BP68" i="6"/>
  <c r="BQ68" i="6"/>
  <c r="BR68" i="6"/>
  <c r="BS68" i="6"/>
  <c r="BT68" i="6"/>
  <c r="BU68" i="6"/>
  <c r="BV68" i="6"/>
  <c r="BW68" i="6"/>
  <c r="BX68" i="6"/>
  <c r="BY68" i="6"/>
  <c r="BZ68" i="6"/>
  <c r="CA68" i="6"/>
  <c r="CB68" i="6"/>
  <c r="CC68" i="6"/>
  <c r="CD68" i="6"/>
  <c r="CE68" i="6"/>
  <c r="CF68" i="6"/>
  <c r="CG68" i="6"/>
  <c r="CH68" i="6"/>
  <c r="CI68" i="6"/>
  <c r="CJ68" i="6"/>
  <c r="CK68" i="6"/>
  <c r="CL68" i="6"/>
  <c r="CM68" i="6"/>
  <c r="CN68" i="6"/>
  <c r="CO68" i="6"/>
  <c r="CP68" i="6"/>
  <c r="CQ68" i="6"/>
  <c r="CR68" i="6"/>
  <c r="CS68" i="6"/>
  <c r="CT68" i="6"/>
  <c r="CU68" i="6"/>
  <c r="CV68" i="6"/>
  <c r="CW68" i="6"/>
  <c r="CX68" i="6"/>
  <c r="CY68" i="6"/>
  <c r="CZ68" i="6"/>
  <c r="DA68" i="6"/>
  <c r="DB68" i="6"/>
  <c r="DC68" i="6"/>
  <c r="DD68" i="6"/>
  <c r="DE68" i="6"/>
  <c r="I68" i="6"/>
  <c r="I145" i="6"/>
  <c r="J145" i="6"/>
  <c r="K145" i="6"/>
  <c r="L145" i="6"/>
  <c r="M145" i="6"/>
  <c r="N145" i="6"/>
  <c r="O145" i="6"/>
  <c r="P145" i="6"/>
  <c r="Q145" i="6"/>
  <c r="R145" i="6"/>
  <c r="S145" i="6"/>
  <c r="T145" i="6"/>
  <c r="U145" i="6"/>
  <c r="V145" i="6"/>
  <c r="W145" i="6"/>
  <c r="X145" i="6"/>
  <c r="Y145" i="6"/>
  <c r="Z145" i="6"/>
  <c r="AA145" i="6"/>
  <c r="AB145" i="6"/>
  <c r="AC145" i="6"/>
  <c r="AD145" i="6"/>
  <c r="AE145" i="6"/>
  <c r="AF145" i="6"/>
  <c r="AG145" i="6"/>
  <c r="AH145" i="6"/>
  <c r="AI145" i="6"/>
  <c r="AJ145" i="6"/>
  <c r="AK145" i="6"/>
  <c r="AL145" i="6"/>
  <c r="AM145" i="6"/>
  <c r="AN145" i="6"/>
  <c r="AO145" i="6"/>
  <c r="AP145" i="6"/>
  <c r="AQ145" i="6"/>
  <c r="AR145" i="6"/>
  <c r="AS145" i="6"/>
  <c r="AT145" i="6"/>
  <c r="AU145" i="6"/>
  <c r="AV145" i="6"/>
  <c r="AW145" i="6"/>
  <c r="AX145" i="6"/>
  <c r="AY145" i="6"/>
  <c r="AZ145" i="6"/>
  <c r="BA145" i="6"/>
  <c r="BB145" i="6"/>
  <c r="BC145" i="6"/>
  <c r="BD145" i="6"/>
  <c r="BE145" i="6"/>
  <c r="BF145" i="6"/>
  <c r="BG145" i="6"/>
  <c r="BH145" i="6"/>
  <c r="BI145" i="6"/>
  <c r="BJ145" i="6"/>
  <c r="BK145" i="6"/>
  <c r="BL145" i="6"/>
  <c r="BM145" i="6"/>
  <c r="BN145" i="6"/>
  <c r="BO145" i="6"/>
  <c r="BP145" i="6"/>
  <c r="BQ145" i="6"/>
  <c r="BR145" i="6"/>
  <c r="BS145" i="6"/>
  <c r="BT145" i="6"/>
  <c r="BU145" i="6"/>
  <c r="BV145" i="6"/>
  <c r="BW145" i="6"/>
  <c r="BX145" i="6"/>
  <c r="BY145" i="6"/>
  <c r="BZ145" i="6"/>
  <c r="CA145" i="6"/>
  <c r="CB145" i="6"/>
  <c r="CC145" i="6"/>
  <c r="CD145" i="6"/>
  <c r="CE145" i="6"/>
  <c r="CF145" i="6"/>
  <c r="CG145" i="6"/>
  <c r="CH145" i="6"/>
  <c r="CI145" i="6"/>
  <c r="CJ145" i="6"/>
  <c r="CK145" i="6"/>
  <c r="CL145" i="6"/>
  <c r="CM145" i="6"/>
  <c r="CN145" i="6"/>
  <c r="CO145" i="6"/>
  <c r="CP145" i="6"/>
  <c r="CQ145" i="6"/>
  <c r="CR145" i="6"/>
  <c r="CS145" i="6"/>
  <c r="CT145" i="6"/>
  <c r="CU145" i="6"/>
  <c r="CV145" i="6"/>
  <c r="CW145" i="6"/>
  <c r="CX145" i="6"/>
  <c r="CY145" i="6"/>
  <c r="CZ145" i="6"/>
  <c r="DA145" i="6"/>
  <c r="DB145" i="6"/>
  <c r="DC145" i="6"/>
  <c r="DD145" i="6"/>
  <c r="DE145" i="6"/>
  <c r="DF145" i="6"/>
  <c r="DG145" i="6"/>
  <c r="DH145" i="6"/>
  <c r="DI145" i="6"/>
  <c r="DJ145" i="6"/>
  <c r="DK145" i="6"/>
  <c r="DL145" i="6"/>
  <c r="AU142" i="6"/>
  <c r="CT141" i="6"/>
  <c r="CT142" i="6" s="1"/>
  <c r="CQ141" i="6"/>
  <c r="CQ142" i="6" s="1"/>
  <c r="CO141" i="6"/>
  <c r="CO142" i="6" s="1"/>
  <c r="CD141" i="6"/>
  <c r="CD142" i="6" s="1"/>
  <c r="BV141" i="6"/>
  <c r="BV142" i="6" s="1"/>
  <c r="BK141" i="6"/>
  <c r="BK142" i="6" s="1"/>
  <c r="BG141" i="6"/>
  <c r="BG142" i="6" s="1"/>
  <c r="BF141" i="6"/>
  <c r="BF142" i="6" s="1"/>
  <c r="AU141" i="6"/>
  <c r="AQ141" i="6"/>
  <c r="AQ142" i="6" s="1"/>
  <c r="AM141" i="6"/>
  <c r="AM142" i="6" s="1"/>
  <c r="AE141" i="6"/>
  <c r="AE142" i="6" s="1"/>
  <c r="W141" i="6"/>
  <c r="W142" i="6" s="1"/>
  <c r="U141" i="6"/>
  <c r="U142" i="6" s="1"/>
  <c r="J141" i="6"/>
  <c r="J142" i="6" s="1"/>
  <c r="DE140" i="6"/>
  <c r="DE141" i="6" s="1"/>
  <c r="DE142" i="6" s="1"/>
  <c r="DD140" i="6"/>
  <c r="DD141" i="6" s="1"/>
  <c r="DD142" i="6" s="1"/>
  <c r="DC140" i="6"/>
  <c r="DC141" i="6" s="1"/>
  <c r="DC142" i="6" s="1"/>
  <c r="DB140" i="6"/>
  <c r="DB141" i="6" s="1"/>
  <c r="DB142" i="6" s="1"/>
  <c r="DA140" i="6"/>
  <c r="DA141" i="6" s="1"/>
  <c r="DA142" i="6" s="1"/>
  <c r="CZ140" i="6"/>
  <c r="CZ141" i="6" s="1"/>
  <c r="CZ142" i="6" s="1"/>
  <c r="CY140" i="6"/>
  <c r="CY141" i="6" s="1"/>
  <c r="CY142" i="6" s="1"/>
  <c r="CX140" i="6"/>
  <c r="CX141" i="6" s="1"/>
  <c r="CX142" i="6" s="1"/>
  <c r="CW140" i="6"/>
  <c r="CW141" i="6" s="1"/>
  <c r="CW142" i="6" s="1"/>
  <c r="CV140" i="6"/>
  <c r="CV141" i="6" s="1"/>
  <c r="CV142" i="6" s="1"/>
  <c r="CU140" i="6"/>
  <c r="CU141" i="6" s="1"/>
  <c r="CU142" i="6" s="1"/>
  <c r="CT140" i="6"/>
  <c r="CS140" i="6"/>
  <c r="CS141" i="6" s="1"/>
  <c r="CS142" i="6" s="1"/>
  <c r="CR140" i="6"/>
  <c r="CR141" i="6" s="1"/>
  <c r="CR142" i="6" s="1"/>
  <c r="CQ140" i="6"/>
  <c r="CP140" i="6"/>
  <c r="CP141" i="6" s="1"/>
  <c r="CP142" i="6" s="1"/>
  <c r="CO140" i="6"/>
  <c r="CN140" i="6"/>
  <c r="CN141" i="6" s="1"/>
  <c r="CN142" i="6" s="1"/>
  <c r="CM140" i="6"/>
  <c r="CM141" i="6" s="1"/>
  <c r="CM142" i="6" s="1"/>
  <c r="CL140" i="6"/>
  <c r="CL141" i="6" s="1"/>
  <c r="CL142" i="6" s="1"/>
  <c r="CK140" i="6"/>
  <c r="CK141" i="6" s="1"/>
  <c r="CK142" i="6" s="1"/>
  <c r="CJ140" i="6"/>
  <c r="CJ141" i="6" s="1"/>
  <c r="CJ142" i="6" s="1"/>
  <c r="CI140" i="6"/>
  <c r="CI141" i="6" s="1"/>
  <c r="CI142" i="6" s="1"/>
  <c r="CH140" i="6"/>
  <c r="CH141" i="6" s="1"/>
  <c r="CH142" i="6" s="1"/>
  <c r="CG140" i="6"/>
  <c r="CG141" i="6" s="1"/>
  <c r="CG142" i="6" s="1"/>
  <c r="CF140" i="6"/>
  <c r="CF141" i="6" s="1"/>
  <c r="CF142" i="6" s="1"/>
  <c r="CE140" i="6"/>
  <c r="CE141" i="6" s="1"/>
  <c r="CE142" i="6" s="1"/>
  <c r="CD140" i="6"/>
  <c r="CC140" i="6"/>
  <c r="CC141" i="6" s="1"/>
  <c r="CC142" i="6" s="1"/>
  <c r="CB140" i="6"/>
  <c r="CB141" i="6" s="1"/>
  <c r="CB142" i="6" s="1"/>
  <c r="CA140" i="6"/>
  <c r="CA141" i="6" s="1"/>
  <c r="CA142" i="6" s="1"/>
  <c r="BZ140" i="6"/>
  <c r="BZ141" i="6" s="1"/>
  <c r="BZ142" i="6" s="1"/>
  <c r="BY140" i="6"/>
  <c r="BY141" i="6" s="1"/>
  <c r="BY142" i="6" s="1"/>
  <c r="BX140" i="6"/>
  <c r="BX141" i="6" s="1"/>
  <c r="BX142" i="6" s="1"/>
  <c r="BW140" i="6"/>
  <c r="BW141" i="6" s="1"/>
  <c r="BW142" i="6" s="1"/>
  <c r="BV140" i="6"/>
  <c r="BU140" i="6"/>
  <c r="BU141" i="6" s="1"/>
  <c r="BU142" i="6" s="1"/>
  <c r="BT140" i="6"/>
  <c r="BT141" i="6" s="1"/>
  <c r="BT142" i="6" s="1"/>
  <c r="BS140" i="6"/>
  <c r="BS141" i="6" s="1"/>
  <c r="BS142" i="6" s="1"/>
  <c r="BR140" i="6"/>
  <c r="BR141" i="6" s="1"/>
  <c r="BR142" i="6" s="1"/>
  <c r="BQ140" i="6"/>
  <c r="BQ141" i="6" s="1"/>
  <c r="BQ142" i="6" s="1"/>
  <c r="BP140" i="6"/>
  <c r="BP141" i="6" s="1"/>
  <c r="BP142" i="6" s="1"/>
  <c r="BO140" i="6"/>
  <c r="BO141" i="6" s="1"/>
  <c r="BO142" i="6" s="1"/>
  <c r="BN140" i="6"/>
  <c r="BN141" i="6" s="1"/>
  <c r="BN142" i="6" s="1"/>
  <c r="BM140" i="6"/>
  <c r="BM141" i="6" s="1"/>
  <c r="BM142" i="6" s="1"/>
  <c r="BL140" i="6"/>
  <c r="BL141" i="6" s="1"/>
  <c r="BL142" i="6" s="1"/>
  <c r="BK140" i="6"/>
  <c r="BJ140" i="6"/>
  <c r="BJ141" i="6" s="1"/>
  <c r="BJ142" i="6" s="1"/>
  <c r="BI140" i="6"/>
  <c r="BI141" i="6" s="1"/>
  <c r="BI142" i="6" s="1"/>
  <c r="BH140" i="6"/>
  <c r="BH141" i="6" s="1"/>
  <c r="BH142" i="6" s="1"/>
  <c r="BG140" i="6"/>
  <c r="BF140" i="6"/>
  <c r="BE140" i="6"/>
  <c r="BE141" i="6" s="1"/>
  <c r="BE142" i="6" s="1"/>
  <c r="BD140" i="6"/>
  <c r="BD141" i="6" s="1"/>
  <c r="BD142" i="6" s="1"/>
  <c r="BC140" i="6"/>
  <c r="BC141" i="6" s="1"/>
  <c r="BC142" i="6" s="1"/>
  <c r="BB140" i="6"/>
  <c r="BB141" i="6" s="1"/>
  <c r="BB142" i="6" s="1"/>
  <c r="BA140" i="6"/>
  <c r="BA141" i="6" s="1"/>
  <c r="BA142" i="6" s="1"/>
  <c r="AZ140" i="6"/>
  <c r="AZ141" i="6" s="1"/>
  <c r="AZ142" i="6" s="1"/>
  <c r="AY140" i="6"/>
  <c r="AY141" i="6" s="1"/>
  <c r="AY142" i="6" s="1"/>
  <c r="AX140" i="6"/>
  <c r="AX141" i="6" s="1"/>
  <c r="AX142" i="6" s="1"/>
  <c r="AW140" i="6"/>
  <c r="AW141" i="6" s="1"/>
  <c r="AW142" i="6" s="1"/>
  <c r="AV140" i="6"/>
  <c r="AV141" i="6" s="1"/>
  <c r="AV142" i="6" s="1"/>
  <c r="AU140" i="6"/>
  <c r="AT140" i="6"/>
  <c r="AT141" i="6" s="1"/>
  <c r="AT142" i="6" s="1"/>
  <c r="AS140" i="6"/>
  <c r="AS141" i="6" s="1"/>
  <c r="AS142" i="6" s="1"/>
  <c r="AR140" i="6"/>
  <c r="AR141" i="6" s="1"/>
  <c r="AR142" i="6" s="1"/>
  <c r="AQ140" i="6"/>
  <c r="AP140" i="6"/>
  <c r="AP141" i="6" s="1"/>
  <c r="AP142" i="6" s="1"/>
  <c r="AO140" i="6"/>
  <c r="AO141" i="6" s="1"/>
  <c r="AO142" i="6" s="1"/>
  <c r="AN140" i="6"/>
  <c r="AN141" i="6" s="1"/>
  <c r="AN142" i="6" s="1"/>
  <c r="AM140" i="6"/>
  <c r="AL140" i="6"/>
  <c r="AL141" i="6" s="1"/>
  <c r="AL142" i="6" s="1"/>
  <c r="AK140" i="6"/>
  <c r="AK141" i="6" s="1"/>
  <c r="AK142" i="6" s="1"/>
  <c r="AJ140" i="6"/>
  <c r="AJ141" i="6" s="1"/>
  <c r="AJ142" i="6" s="1"/>
  <c r="AI140" i="6"/>
  <c r="AI141" i="6" s="1"/>
  <c r="AI142" i="6" s="1"/>
  <c r="AH140" i="6"/>
  <c r="AH141" i="6" s="1"/>
  <c r="AH142" i="6" s="1"/>
  <c r="AG140" i="6"/>
  <c r="AG141" i="6" s="1"/>
  <c r="AG142" i="6" s="1"/>
  <c r="AF140" i="6"/>
  <c r="AF141" i="6" s="1"/>
  <c r="AF142" i="6" s="1"/>
  <c r="AE140" i="6"/>
  <c r="AD140" i="6"/>
  <c r="AD141" i="6" s="1"/>
  <c r="AD142" i="6" s="1"/>
  <c r="AC140" i="6"/>
  <c r="AC141" i="6" s="1"/>
  <c r="AC142" i="6" s="1"/>
  <c r="AB140" i="6"/>
  <c r="AB141" i="6" s="1"/>
  <c r="AB142" i="6" s="1"/>
  <c r="AA140" i="6"/>
  <c r="AA141" i="6" s="1"/>
  <c r="AA142" i="6" s="1"/>
  <c r="Z140" i="6"/>
  <c r="Z141" i="6" s="1"/>
  <c r="Z142" i="6" s="1"/>
  <c r="Y140" i="6"/>
  <c r="Y141" i="6" s="1"/>
  <c r="Y142" i="6" s="1"/>
  <c r="X140" i="6"/>
  <c r="X141" i="6" s="1"/>
  <c r="X142" i="6" s="1"/>
  <c r="W140" i="6"/>
  <c r="V140" i="6"/>
  <c r="V141" i="6" s="1"/>
  <c r="V142" i="6" s="1"/>
  <c r="U140" i="6"/>
  <c r="T140" i="6"/>
  <c r="T141" i="6" s="1"/>
  <c r="T142" i="6" s="1"/>
  <c r="S140" i="6"/>
  <c r="S141" i="6" s="1"/>
  <c r="S142" i="6" s="1"/>
  <c r="R140" i="6"/>
  <c r="R141" i="6" s="1"/>
  <c r="R142" i="6" s="1"/>
  <c r="Q140" i="6"/>
  <c r="Q141" i="6" s="1"/>
  <c r="Q142" i="6" s="1"/>
  <c r="P140" i="6"/>
  <c r="P141" i="6" s="1"/>
  <c r="P142" i="6" s="1"/>
  <c r="O140" i="6"/>
  <c r="O141" i="6" s="1"/>
  <c r="O142" i="6" s="1"/>
  <c r="N140" i="6"/>
  <c r="N141" i="6" s="1"/>
  <c r="N142" i="6" s="1"/>
  <c r="M140" i="6"/>
  <c r="M141" i="6" s="1"/>
  <c r="M142" i="6" s="1"/>
  <c r="L140" i="6"/>
  <c r="L141" i="6" s="1"/>
  <c r="L142" i="6" s="1"/>
  <c r="K140" i="6"/>
  <c r="K141" i="6" s="1"/>
  <c r="K142" i="6" s="1"/>
  <c r="J140" i="6"/>
  <c r="I140" i="6"/>
  <c r="I141" i="6" s="1"/>
  <c r="I142" i="6" s="1"/>
  <c r="H140" i="6"/>
  <c r="H141" i="6" s="1"/>
  <c r="H142" i="6" s="1"/>
  <c r="I138" i="6"/>
  <c r="J138" i="6" s="1"/>
  <c r="K138" i="6" s="1"/>
  <c r="L138" i="6" s="1"/>
  <c r="M138" i="6" s="1"/>
  <c r="N138" i="6" s="1"/>
  <c r="O138" i="6" s="1"/>
  <c r="P138" i="6" s="1"/>
  <c r="Q138" i="6" s="1"/>
  <c r="R138" i="6" s="1"/>
  <c r="S138" i="6" s="1"/>
  <c r="T138" i="6" s="1"/>
  <c r="U138" i="6" s="1"/>
  <c r="V138" i="6" s="1"/>
  <c r="W138" i="6" s="1"/>
  <c r="X138" i="6" s="1"/>
  <c r="Y138" i="6" s="1"/>
  <c r="Z138" i="6" s="1"/>
  <c r="AA138" i="6" s="1"/>
  <c r="AB138" i="6" s="1"/>
  <c r="AC138" i="6" s="1"/>
  <c r="AD138" i="6" s="1"/>
  <c r="AE138" i="6" s="1"/>
  <c r="AF138" i="6" s="1"/>
  <c r="AG138" i="6" s="1"/>
  <c r="AH138" i="6" s="1"/>
  <c r="AI138" i="6" s="1"/>
  <c r="AJ138" i="6" s="1"/>
  <c r="AK138" i="6" s="1"/>
  <c r="AL138" i="6" s="1"/>
  <c r="AM138" i="6" s="1"/>
  <c r="AN138" i="6" s="1"/>
  <c r="AO138" i="6" s="1"/>
  <c r="AP138" i="6" s="1"/>
  <c r="AQ138" i="6" s="1"/>
  <c r="AR138" i="6" s="1"/>
  <c r="AS138" i="6" s="1"/>
  <c r="AT138" i="6" s="1"/>
  <c r="AU138" i="6" s="1"/>
  <c r="AV138" i="6" s="1"/>
  <c r="AW138" i="6" s="1"/>
  <c r="AX138" i="6" s="1"/>
  <c r="AY138" i="6" s="1"/>
  <c r="AZ138" i="6" s="1"/>
  <c r="BA138" i="6" s="1"/>
  <c r="BB138" i="6" s="1"/>
  <c r="BC138" i="6" s="1"/>
  <c r="BD138" i="6" s="1"/>
  <c r="BE138" i="6" s="1"/>
  <c r="BF138" i="6" s="1"/>
  <c r="BG138" i="6" s="1"/>
  <c r="BH138" i="6" s="1"/>
  <c r="BI138" i="6" s="1"/>
  <c r="BJ138" i="6" s="1"/>
  <c r="BK138" i="6" s="1"/>
  <c r="BL138" i="6" s="1"/>
  <c r="BM138" i="6" s="1"/>
  <c r="BN138" i="6" s="1"/>
  <c r="BO138" i="6" s="1"/>
  <c r="BP138" i="6" s="1"/>
  <c r="BQ138" i="6" s="1"/>
  <c r="BR138" i="6" s="1"/>
  <c r="BS138" i="6" s="1"/>
  <c r="BT138" i="6" s="1"/>
  <c r="BU138" i="6" s="1"/>
  <c r="BV138" i="6" s="1"/>
  <c r="BW138" i="6" s="1"/>
  <c r="BX138" i="6" s="1"/>
  <c r="BY138" i="6" s="1"/>
  <c r="BZ138" i="6" s="1"/>
  <c r="CA138" i="6" s="1"/>
  <c r="CB138" i="6" s="1"/>
  <c r="CC138" i="6" s="1"/>
  <c r="CD138" i="6" s="1"/>
  <c r="CE138" i="6" s="1"/>
  <c r="CF138" i="6" s="1"/>
  <c r="CG138" i="6" s="1"/>
  <c r="CH138" i="6" s="1"/>
  <c r="CI138" i="6" s="1"/>
  <c r="CJ138" i="6" s="1"/>
  <c r="CK138" i="6" s="1"/>
  <c r="CL138" i="6" s="1"/>
  <c r="CM138" i="6" s="1"/>
  <c r="CN138" i="6" s="1"/>
  <c r="CO138" i="6" s="1"/>
  <c r="CP138" i="6" s="1"/>
  <c r="CQ138" i="6" s="1"/>
  <c r="CR138" i="6" s="1"/>
  <c r="CS138" i="6" s="1"/>
  <c r="CT138" i="6" s="1"/>
  <c r="CU138" i="6" s="1"/>
  <c r="CV138" i="6" s="1"/>
  <c r="CW138" i="6" s="1"/>
  <c r="CX138" i="6" s="1"/>
  <c r="CY138" i="6" s="1"/>
  <c r="CZ138" i="6" s="1"/>
  <c r="DA138" i="6" s="1"/>
  <c r="DB138" i="6" s="1"/>
  <c r="DC138" i="6" s="1"/>
  <c r="DD138" i="6" s="1"/>
  <c r="DE138" i="6" s="1"/>
  <c r="H136" i="6"/>
  <c r="I136" i="6" s="1"/>
  <c r="G136" i="6"/>
  <c r="DE135" i="6"/>
  <c r="DD135" i="6"/>
  <c r="DC135" i="6"/>
  <c r="DB135" i="6"/>
  <c r="DA135" i="6"/>
  <c r="CZ135" i="6"/>
  <c r="CY135" i="6"/>
  <c r="CX135" i="6"/>
  <c r="CW135" i="6"/>
  <c r="CV135" i="6"/>
  <c r="CU135" i="6"/>
  <c r="CT135" i="6"/>
  <c r="CS135" i="6"/>
  <c r="CR135" i="6"/>
  <c r="CQ135" i="6"/>
  <c r="CP135" i="6"/>
  <c r="CO135" i="6"/>
  <c r="CN135" i="6"/>
  <c r="CM135" i="6"/>
  <c r="CL135" i="6"/>
  <c r="CK135" i="6"/>
  <c r="CJ135" i="6"/>
  <c r="CI135" i="6"/>
  <c r="CH135" i="6"/>
  <c r="CG135" i="6"/>
  <c r="CF135" i="6"/>
  <c r="CE135" i="6"/>
  <c r="CD135" i="6"/>
  <c r="CC135" i="6"/>
  <c r="CB135" i="6"/>
  <c r="CA135" i="6"/>
  <c r="BZ135" i="6"/>
  <c r="BY135" i="6"/>
  <c r="BX135" i="6"/>
  <c r="BW135" i="6"/>
  <c r="BV135" i="6"/>
  <c r="BU135" i="6"/>
  <c r="BT135" i="6"/>
  <c r="BS135" i="6"/>
  <c r="BR135" i="6"/>
  <c r="BQ135" i="6"/>
  <c r="BP135" i="6"/>
  <c r="BO135" i="6"/>
  <c r="BN135" i="6"/>
  <c r="BM135" i="6"/>
  <c r="BL135" i="6"/>
  <c r="BK135" i="6"/>
  <c r="BJ135" i="6"/>
  <c r="BI135" i="6"/>
  <c r="BH135" i="6"/>
  <c r="BG135" i="6"/>
  <c r="BF135" i="6"/>
  <c r="BE135" i="6"/>
  <c r="BD135" i="6"/>
  <c r="BC135" i="6"/>
  <c r="BB135" i="6"/>
  <c r="BA135" i="6"/>
  <c r="AZ135" i="6"/>
  <c r="AY135" i="6"/>
  <c r="AX135" i="6"/>
  <c r="AW135" i="6"/>
  <c r="AV135" i="6"/>
  <c r="AU135" i="6"/>
  <c r="AT135" i="6"/>
  <c r="AS135" i="6"/>
  <c r="AR135" i="6"/>
  <c r="AQ135" i="6"/>
  <c r="AP135" i="6"/>
  <c r="AO135" i="6"/>
  <c r="AN135" i="6"/>
  <c r="AM135" i="6"/>
  <c r="AL135" i="6"/>
  <c r="AK135" i="6"/>
  <c r="AJ135" i="6"/>
  <c r="AI135" i="6"/>
  <c r="AH135" i="6"/>
  <c r="AG135" i="6"/>
  <c r="AF135" i="6"/>
  <c r="AE135" i="6"/>
  <c r="AD135" i="6"/>
  <c r="AC135" i="6"/>
  <c r="AB135" i="6"/>
  <c r="AA135" i="6"/>
  <c r="Z135" i="6"/>
  <c r="Y135" i="6"/>
  <c r="X135" i="6"/>
  <c r="W135" i="6"/>
  <c r="V135" i="6"/>
  <c r="U135" i="6"/>
  <c r="T135" i="6"/>
  <c r="S135" i="6"/>
  <c r="R135" i="6"/>
  <c r="Q135" i="6"/>
  <c r="P135" i="6"/>
  <c r="O135" i="6"/>
  <c r="N135" i="6"/>
  <c r="M135" i="6"/>
  <c r="L135" i="6"/>
  <c r="K135" i="6"/>
  <c r="J135" i="6"/>
  <c r="I135" i="6"/>
  <c r="H135" i="6"/>
  <c r="H133" i="6"/>
  <c r="H134" i="6" s="1"/>
  <c r="H132" i="6"/>
  <c r="I131" i="6"/>
  <c r="J131" i="6" s="1"/>
  <c r="DE125" i="6"/>
  <c r="DD125" i="6"/>
  <c r="DC125" i="6"/>
  <c r="DB125" i="6"/>
  <c r="DA125" i="6"/>
  <c r="CZ125" i="6"/>
  <c r="CY125" i="6"/>
  <c r="CX125" i="6"/>
  <c r="CW125" i="6"/>
  <c r="CV125" i="6"/>
  <c r="CU125" i="6"/>
  <c r="CT125" i="6"/>
  <c r="CS125" i="6"/>
  <c r="CR125" i="6"/>
  <c r="CQ125" i="6"/>
  <c r="CP125" i="6"/>
  <c r="CO125" i="6"/>
  <c r="CN125" i="6"/>
  <c r="CM125" i="6"/>
  <c r="CL125" i="6"/>
  <c r="CK125" i="6"/>
  <c r="CJ125" i="6"/>
  <c r="CI125" i="6"/>
  <c r="CH125" i="6"/>
  <c r="CG125" i="6"/>
  <c r="CF125" i="6"/>
  <c r="CE125" i="6"/>
  <c r="CD125" i="6"/>
  <c r="CC125" i="6"/>
  <c r="CB125" i="6"/>
  <c r="CA125" i="6"/>
  <c r="BZ125" i="6"/>
  <c r="BY125" i="6"/>
  <c r="BX125" i="6"/>
  <c r="BW125" i="6"/>
  <c r="BV125" i="6"/>
  <c r="BU125" i="6"/>
  <c r="BT125" i="6"/>
  <c r="BS125" i="6"/>
  <c r="BR125" i="6"/>
  <c r="BQ125" i="6"/>
  <c r="BP125" i="6"/>
  <c r="BO125" i="6"/>
  <c r="BN125" i="6"/>
  <c r="BM125" i="6"/>
  <c r="BL125" i="6"/>
  <c r="BK125" i="6"/>
  <c r="BJ125" i="6"/>
  <c r="BI125" i="6"/>
  <c r="BH125" i="6"/>
  <c r="BG125" i="6"/>
  <c r="BF125" i="6"/>
  <c r="BE125" i="6"/>
  <c r="BD125" i="6"/>
  <c r="BC125" i="6"/>
  <c r="BB125" i="6"/>
  <c r="BA125" i="6"/>
  <c r="AZ125" i="6"/>
  <c r="AY125" i="6"/>
  <c r="AX125" i="6"/>
  <c r="AW125" i="6"/>
  <c r="AV125" i="6"/>
  <c r="AU125" i="6"/>
  <c r="AT125" i="6"/>
  <c r="AS125" i="6"/>
  <c r="AR125" i="6"/>
  <c r="AQ125" i="6"/>
  <c r="AP125" i="6"/>
  <c r="AO125" i="6"/>
  <c r="AN125" i="6"/>
  <c r="AM125" i="6"/>
  <c r="AL125" i="6"/>
  <c r="AK125" i="6"/>
  <c r="AJ125" i="6"/>
  <c r="AI125" i="6"/>
  <c r="AH125" i="6"/>
  <c r="AG125" i="6"/>
  <c r="AF125" i="6"/>
  <c r="AE125" i="6"/>
  <c r="AD125" i="6"/>
  <c r="AC125" i="6"/>
  <c r="AB125" i="6"/>
  <c r="AA125" i="6"/>
  <c r="Z125" i="6"/>
  <c r="Y125" i="6"/>
  <c r="X125" i="6"/>
  <c r="W125" i="6"/>
  <c r="V125" i="6"/>
  <c r="U125" i="6"/>
  <c r="T125" i="6"/>
  <c r="S125" i="6"/>
  <c r="R125" i="6"/>
  <c r="Q125" i="6"/>
  <c r="P125" i="6"/>
  <c r="O125" i="6"/>
  <c r="N125" i="6"/>
  <c r="M125" i="6"/>
  <c r="L125" i="6"/>
  <c r="K125" i="6"/>
  <c r="J125" i="6"/>
  <c r="I125" i="6"/>
  <c r="H125" i="6"/>
  <c r="E121" i="6"/>
  <c r="H121" i="6" s="1"/>
  <c r="H118" i="6"/>
  <c r="I116" i="6"/>
  <c r="I118" i="6" s="1"/>
  <c r="H115" i="6"/>
  <c r="H119" i="6" s="1"/>
  <c r="H127" i="6" s="1"/>
  <c r="H129" i="6" s="1"/>
  <c r="H130" i="6" s="1"/>
  <c r="G115" i="6"/>
  <c r="I113" i="6"/>
  <c r="I115" i="6" s="1"/>
  <c r="G117" i="5"/>
  <c r="H117" i="5"/>
  <c r="I119" i="6" l="1"/>
  <c r="I127" i="6" s="1"/>
  <c r="I129" i="6" s="1"/>
  <c r="I130" i="6" s="1"/>
  <c r="J113" i="6"/>
  <c r="K113" i="6" s="1"/>
  <c r="K115" i="6" s="1"/>
  <c r="H137" i="6"/>
  <c r="H120" i="6"/>
  <c r="H126" i="6" s="1"/>
  <c r="H143" i="6"/>
  <c r="I120" i="6"/>
  <c r="I126" i="6" s="1"/>
  <c r="J116" i="6"/>
  <c r="L113" i="6"/>
  <c r="I121" i="6"/>
  <c r="K131" i="6"/>
  <c r="J132" i="6"/>
  <c r="J133" i="6" s="1"/>
  <c r="J115" i="6"/>
  <c r="I132" i="6"/>
  <c r="I133" i="6" s="1"/>
  <c r="I134" i="6" s="1"/>
  <c r="I137" i="6"/>
  <c r="I143" i="6" s="1"/>
  <c r="J136" i="6"/>
  <c r="G104" i="5"/>
  <c r="D54" i="1"/>
  <c r="C59" i="1"/>
  <c r="C58" i="1"/>
  <c r="C57" i="1"/>
  <c r="C56" i="1"/>
  <c r="DF154" i="5"/>
  <c r="DG154" i="5"/>
  <c r="DH154" i="5"/>
  <c r="DI154" i="5"/>
  <c r="DJ154" i="5"/>
  <c r="DK154" i="5"/>
  <c r="DL154" i="5"/>
  <c r="H152" i="5"/>
  <c r="H151" i="5"/>
  <c r="I33" i="5"/>
  <c r="J33" i="5" s="1"/>
  <c r="H34" i="5"/>
  <c r="H38" i="5" s="1"/>
  <c r="I34" i="5"/>
  <c r="I38" i="5" s="1"/>
  <c r="I35" i="5"/>
  <c r="H36" i="5"/>
  <c r="H39" i="5"/>
  <c r="E40" i="5"/>
  <c r="H40" i="5"/>
  <c r="I40" i="5" s="1"/>
  <c r="J40" i="5" s="1"/>
  <c r="K40" i="5" s="1"/>
  <c r="L40" i="5" s="1"/>
  <c r="M40" i="5" s="1"/>
  <c r="N40" i="5" s="1"/>
  <c r="H44" i="5"/>
  <c r="I44" i="5"/>
  <c r="J44" i="5"/>
  <c r="K44" i="5"/>
  <c r="L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AX44" i="5"/>
  <c r="AY44" i="5"/>
  <c r="AZ44" i="5"/>
  <c r="BA44" i="5"/>
  <c r="BB44" i="5"/>
  <c r="BC44" i="5"/>
  <c r="BD44" i="5"/>
  <c r="BE44" i="5"/>
  <c r="BF44" i="5"/>
  <c r="BG44" i="5"/>
  <c r="BH44" i="5"/>
  <c r="BI44" i="5"/>
  <c r="BJ44" i="5"/>
  <c r="BK44" i="5"/>
  <c r="BL44" i="5"/>
  <c r="BM44" i="5"/>
  <c r="BN44" i="5"/>
  <c r="BO44" i="5"/>
  <c r="BP44" i="5"/>
  <c r="BQ44" i="5"/>
  <c r="BR44" i="5"/>
  <c r="BS44" i="5"/>
  <c r="BT44" i="5"/>
  <c r="BU44" i="5"/>
  <c r="BV44" i="5"/>
  <c r="BW44" i="5"/>
  <c r="BX44" i="5"/>
  <c r="BY44" i="5"/>
  <c r="BZ44" i="5"/>
  <c r="CA44" i="5"/>
  <c r="CB44" i="5"/>
  <c r="CC44" i="5"/>
  <c r="CD44" i="5"/>
  <c r="CE44" i="5"/>
  <c r="CF44" i="5"/>
  <c r="CG44" i="5"/>
  <c r="CH44" i="5"/>
  <c r="CI44" i="5"/>
  <c r="CJ44" i="5"/>
  <c r="CK44" i="5"/>
  <c r="CL44" i="5"/>
  <c r="CM44" i="5"/>
  <c r="CN44" i="5"/>
  <c r="CO44" i="5"/>
  <c r="CP44" i="5"/>
  <c r="CQ44" i="5"/>
  <c r="CR44" i="5"/>
  <c r="CS44" i="5"/>
  <c r="CT44" i="5"/>
  <c r="CU44" i="5"/>
  <c r="CV44" i="5"/>
  <c r="CW44" i="5"/>
  <c r="CX44" i="5"/>
  <c r="CY44" i="5"/>
  <c r="CZ44" i="5"/>
  <c r="DA44" i="5"/>
  <c r="DB44" i="5"/>
  <c r="DC44" i="5"/>
  <c r="DD44" i="5"/>
  <c r="DE44" i="5"/>
  <c r="I50" i="5"/>
  <c r="J50" i="5"/>
  <c r="J51" i="5" s="1"/>
  <c r="H51" i="5"/>
  <c r="I51" i="5"/>
  <c r="I52" i="5" s="1"/>
  <c r="H52" i="5"/>
  <c r="J52" i="5"/>
  <c r="G54" i="5"/>
  <c r="H54" i="5"/>
  <c r="H56" i="5" s="1"/>
  <c r="H63" i="5" s="1"/>
  <c r="G55" i="5"/>
  <c r="H55" i="5" s="1"/>
  <c r="I55" i="5" s="1"/>
  <c r="H57" i="5"/>
  <c r="H58" i="5" s="1"/>
  <c r="H60" i="5" s="1"/>
  <c r="H46" i="5" s="1"/>
  <c r="H48" i="5" s="1"/>
  <c r="H49" i="5" s="1"/>
  <c r="H53" i="5" s="1"/>
  <c r="H61" i="5"/>
  <c r="H62" i="5"/>
  <c r="DF91" i="5"/>
  <c r="DF104" i="5" s="1"/>
  <c r="DG91" i="5"/>
  <c r="DG104" i="5" s="1"/>
  <c r="DH91" i="5"/>
  <c r="DH104" i="5" s="1"/>
  <c r="DI91" i="5"/>
  <c r="DJ91" i="5"/>
  <c r="DK91" i="5"/>
  <c r="DL91" i="5"/>
  <c r="DL104" i="5" s="1"/>
  <c r="H28" i="5"/>
  <c r="G143" i="5"/>
  <c r="H143" i="5" s="1"/>
  <c r="H123" i="5"/>
  <c r="H127" i="5" s="1"/>
  <c r="H146" i="5"/>
  <c r="G144" i="5"/>
  <c r="H144" i="5" s="1"/>
  <c r="I144" i="5" s="1"/>
  <c r="J144" i="5" s="1"/>
  <c r="K144" i="5" s="1"/>
  <c r="L144" i="5" s="1"/>
  <c r="M144" i="5" s="1"/>
  <c r="N144" i="5" s="1"/>
  <c r="O144" i="5" s="1"/>
  <c r="P144" i="5" s="1"/>
  <c r="Q144" i="5" s="1"/>
  <c r="R144" i="5" s="1"/>
  <c r="S144" i="5" s="1"/>
  <c r="T144" i="5" s="1"/>
  <c r="U144" i="5" s="1"/>
  <c r="V144" i="5" s="1"/>
  <c r="W144" i="5" s="1"/>
  <c r="X144" i="5" s="1"/>
  <c r="Y144" i="5" s="1"/>
  <c r="Z144" i="5" s="1"/>
  <c r="AA144" i="5" s="1"/>
  <c r="AB144" i="5" s="1"/>
  <c r="AC144" i="5" s="1"/>
  <c r="AD144" i="5" s="1"/>
  <c r="AE144" i="5" s="1"/>
  <c r="AF144" i="5" s="1"/>
  <c r="AG144" i="5" s="1"/>
  <c r="AH144" i="5" s="1"/>
  <c r="AI144" i="5" s="1"/>
  <c r="AJ144" i="5" s="1"/>
  <c r="AK144" i="5" s="1"/>
  <c r="AL144" i="5" s="1"/>
  <c r="AM144" i="5" s="1"/>
  <c r="AN144" i="5" s="1"/>
  <c r="AO144" i="5" s="1"/>
  <c r="AP144" i="5" s="1"/>
  <c r="AQ144" i="5" s="1"/>
  <c r="AR144" i="5" s="1"/>
  <c r="AS144" i="5" s="1"/>
  <c r="AT144" i="5" s="1"/>
  <c r="AU144" i="5" s="1"/>
  <c r="AV144" i="5" s="1"/>
  <c r="AW144" i="5" s="1"/>
  <c r="AX144" i="5" s="1"/>
  <c r="AY144" i="5" s="1"/>
  <c r="AZ144" i="5" s="1"/>
  <c r="BA144" i="5" s="1"/>
  <c r="BB144" i="5" s="1"/>
  <c r="BC144" i="5" s="1"/>
  <c r="BD144" i="5" s="1"/>
  <c r="BE144" i="5" s="1"/>
  <c r="BF144" i="5" s="1"/>
  <c r="BG144" i="5" s="1"/>
  <c r="BH144" i="5" s="1"/>
  <c r="BI144" i="5" s="1"/>
  <c r="BJ144" i="5" s="1"/>
  <c r="BK144" i="5" s="1"/>
  <c r="BL144" i="5" s="1"/>
  <c r="BM144" i="5" s="1"/>
  <c r="BN144" i="5" s="1"/>
  <c r="BO144" i="5" s="1"/>
  <c r="BP144" i="5" s="1"/>
  <c r="BQ144" i="5" s="1"/>
  <c r="BR144" i="5" s="1"/>
  <c r="BS144" i="5" s="1"/>
  <c r="BT144" i="5" s="1"/>
  <c r="BU144" i="5" s="1"/>
  <c r="BV144" i="5" s="1"/>
  <c r="BW144" i="5" s="1"/>
  <c r="BX144" i="5" s="1"/>
  <c r="BY144" i="5" s="1"/>
  <c r="BZ144" i="5" s="1"/>
  <c r="CA144" i="5" s="1"/>
  <c r="CB144" i="5" s="1"/>
  <c r="CC144" i="5" s="1"/>
  <c r="CD144" i="5" s="1"/>
  <c r="CE144" i="5" s="1"/>
  <c r="CF144" i="5" s="1"/>
  <c r="CG144" i="5" s="1"/>
  <c r="CH144" i="5" s="1"/>
  <c r="CI144" i="5" s="1"/>
  <c r="CJ144" i="5" s="1"/>
  <c r="CK144" i="5" s="1"/>
  <c r="CL144" i="5" s="1"/>
  <c r="CM144" i="5" s="1"/>
  <c r="CN144" i="5" s="1"/>
  <c r="CO144" i="5" s="1"/>
  <c r="CP144" i="5" s="1"/>
  <c r="CQ144" i="5" s="1"/>
  <c r="CR144" i="5" s="1"/>
  <c r="CS144" i="5" s="1"/>
  <c r="CT144" i="5" s="1"/>
  <c r="CU144" i="5" s="1"/>
  <c r="CV144" i="5" s="1"/>
  <c r="CW144" i="5" s="1"/>
  <c r="CX144" i="5" s="1"/>
  <c r="CY144" i="5" s="1"/>
  <c r="CZ144" i="5" s="1"/>
  <c r="DA144" i="5" s="1"/>
  <c r="DB144" i="5" s="1"/>
  <c r="DC144" i="5" s="1"/>
  <c r="DD144" i="5" s="1"/>
  <c r="DE144" i="5" s="1"/>
  <c r="H140" i="5"/>
  <c r="H141" i="5" s="1"/>
  <c r="I139" i="5"/>
  <c r="DE133" i="5"/>
  <c r="DD133" i="5"/>
  <c r="DC133" i="5"/>
  <c r="DB133" i="5"/>
  <c r="DA133" i="5"/>
  <c r="CZ133" i="5"/>
  <c r="CY133" i="5"/>
  <c r="CX133" i="5"/>
  <c r="CW133" i="5"/>
  <c r="CV133" i="5"/>
  <c r="CU133" i="5"/>
  <c r="CT133" i="5"/>
  <c r="CS133" i="5"/>
  <c r="CR133" i="5"/>
  <c r="CQ133" i="5"/>
  <c r="CP133" i="5"/>
  <c r="CO133" i="5"/>
  <c r="CN133" i="5"/>
  <c r="CM133" i="5"/>
  <c r="CL133" i="5"/>
  <c r="CK133" i="5"/>
  <c r="CJ133" i="5"/>
  <c r="CI133" i="5"/>
  <c r="CH133" i="5"/>
  <c r="CG133" i="5"/>
  <c r="CF133" i="5"/>
  <c r="CE133" i="5"/>
  <c r="CD133" i="5"/>
  <c r="CC133" i="5"/>
  <c r="CB133" i="5"/>
  <c r="CA133" i="5"/>
  <c r="BZ133" i="5"/>
  <c r="BY133" i="5"/>
  <c r="BX133" i="5"/>
  <c r="BW133" i="5"/>
  <c r="BV133" i="5"/>
  <c r="BU133" i="5"/>
  <c r="BT133" i="5"/>
  <c r="BS133" i="5"/>
  <c r="BR133" i="5"/>
  <c r="BQ133" i="5"/>
  <c r="BP133" i="5"/>
  <c r="BO133" i="5"/>
  <c r="BN133" i="5"/>
  <c r="BM133" i="5"/>
  <c r="BL133" i="5"/>
  <c r="BK133" i="5"/>
  <c r="BJ133" i="5"/>
  <c r="BI133" i="5"/>
  <c r="BH133" i="5"/>
  <c r="BG133" i="5"/>
  <c r="BF133" i="5"/>
  <c r="BE133" i="5"/>
  <c r="BD133" i="5"/>
  <c r="BC133" i="5"/>
  <c r="BB133" i="5"/>
  <c r="BA133" i="5"/>
  <c r="AZ133" i="5"/>
  <c r="AY133" i="5"/>
  <c r="AX133" i="5"/>
  <c r="AW133" i="5"/>
  <c r="AV133" i="5"/>
  <c r="AU133" i="5"/>
  <c r="AT133" i="5"/>
  <c r="AS133" i="5"/>
  <c r="AR133" i="5"/>
  <c r="AQ133" i="5"/>
  <c r="AP133" i="5"/>
  <c r="AO133" i="5"/>
  <c r="AN133" i="5"/>
  <c r="AM133" i="5"/>
  <c r="AL133" i="5"/>
  <c r="AK133" i="5"/>
  <c r="AJ133" i="5"/>
  <c r="AI133" i="5"/>
  <c r="AH133" i="5"/>
  <c r="AG133" i="5"/>
  <c r="AF133" i="5"/>
  <c r="AE133" i="5"/>
  <c r="AD133" i="5"/>
  <c r="AC133" i="5"/>
  <c r="AB133" i="5"/>
  <c r="AA133" i="5"/>
  <c r="Z133" i="5"/>
  <c r="Y133" i="5"/>
  <c r="X133" i="5"/>
  <c r="W133" i="5"/>
  <c r="V133" i="5"/>
  <c r="U133" i="5"/>
  <c r="T133" i="5"/>
  <c r="S133" i="5"/>
  <c r="R133" i="5"/>
  <c r="Q133" i="5"/>
  <c r="P133" i="5"/>
  <c r="O133" i="5"/>
  <c r="N133" i="5"/>
  <c r="M133" i="5"/>
  <c r="L133" i="5"/>
  <c r="K133" i="5"/>
  <c r="J133" i="5"/>
  <c r="I133" i="5"/>
  <c r="H133" i="5"/>
  <c r="E129" i="5"/>
  <c r="H129" i="5" s="1"/>
  <c r="I129" i="5" s="1"/>
  <c r="H125" i="5"/>
  <c r="I124" i="5"/>
  <c r="I125" i="5" s="1"/>
  <c r="I122" i="5"/>
  <c r="J122" i="5" s="1"/>
  <c r="J123" i="5" s="1"/>
  <c r="J127" i="5" s="1"/>
  <c r="C190" i="8"/>
  <c r="G185" i="8"/>
  <c r="C185" i="8"/>
  <c r="B185" i="8"/>
  <c r="G184" i="8"/>
  <c r="C172" i="8"/>
  <c r="C171" i="8"/>
  <c r="B171" i="8"/>
  <c r="B172" i="8" s="1"/>
  <c r="C170" i="8"/>
  <c r="B170" i="8"/>
  <c r="C169" i="8"/>
  <c r="B169" i="8"/>
  <c r="C168" i="8"/>
  <c r="C146" i="8"/>
  <c r="C145" i="8"/>
  <c r="C144" i="8"/>
  <c r="C143" i="8"/>
  <c r="C139" i="8"/>
  <c r="C138" i="8"/>
  <c r="C137" i="8"/>
  <c r="A133" i="8"/>
  <c r="A132" i="8"/>
  <c r="A131" i="8"/>
  <c r="C128" i="8"/>
  <c r="B128" i="8"/>
  <c r="C126" i="8"/>
  <c r="C125" i="8"/>
  <c r="C124" i="8"/>
  <c r="C123" i="8"/>
  <c r="C121" i="8"/>
  <c r="C119" i="8"/>
  <c r="C118" i="8"/>
  <c r="C117" i="8"/>
  <c r="C116" i="8"/>
  <c r="B110" i="8"/>
  <c r="B111" i="8" s="1"/>
  <c r="B101" i="8"/>
  <c r="B102" i="8" s="1"/>
  <c r="B81" i="8"/>
  <c r="B82" i="8" s="1"/>
  <c r="C74" i="8"/>
  <c r="B74" i="8" s="1"/>
  <c r="C71" i="8"/>
  <c r="C67" i="8"/>
  <c r="D67" i="8" s="1"/>
  <c r="K66" i="8"/>
  <c r="K67" i="8" s="1"/>
  <c r="J66" i="8"/>
  <c r="C66" i="8"/>
  <c r="D66" i="8" s="1"/>
  <c r="K65" i="8"/>
  <c r="J65" i="8"/>
  <c r="C65" i="8"/>
  <c r="D65" i="8" s="1"/>
  <c r="K64" i="8"/>
  <c r="J64" i="8"/>
  <c r="D64" i="8"/>
  <c r="C64" i="8"/>
  <c r="K63" i="8"/>
  <c r="J63" i="8"/>
  <c r="C63" i="8"/>
  <c r="D63" i="8" s="1"/>
  <c r="J62" i="8"/>
  <c r="K62" i="8" s="1"/>
  <c r="L64" i="8" s="1"/>
  <c r="D62" i="8"/>
  <c r="C62" i="8"/>
  <c r="J61" i="8"/>
  <c r="K61" i="8" s="1"/>
  <c r="C61" i="8"/>
  <c r="D61" i="8" s="1"/>
  <c r="B51" i="8"/>
  <c r="E40" i="8"/>
  <c r="E39" i="8"/>
  <c r="E38" i="8"/>
  <c r="E37" i="8"/>
  <c r="E36" i="8"/>
  <c r="E35" i="8"/>
  <c r="E34" i="8"/>
  <c r="E33" i="8"/>
  <c r="E32" i="8"/>
  <c r="E31" i="8"/>
  <c r="D18" i="8"/>
  <c r="H17" i="8"/>
  <c r="G17" i="8"/>
  <c r="F17" i="8"/>
  <c r="J10" i="8"/>
  <c r="L9" i="8"/>
  <c r="K9" i="8"/>
  <c r="K3" i="8"/>
  <c r="D19" i="8" s="1"/>
  <c r="B48" i="7"/>
  <c r="B47" i="7"/>
  <c r="B46" i="7"/>
  <c r="B43" i="7"/>
  <c r="B42" i="7"/>
  <c r="C41" i="7"/>
  <c r="B41" i="7"/>
  <c r="B35" i="7"/>
  <c r="B34" i="7"/>
  <c r="B36" i="7" s="1"/>
  <c r="C33" i="7"/>
  <c r="C34" i="7" s="1"/>
  <c r="C32" i="7"/>
  <c r="DE8" i="7"/>
  <c r="DD8"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DE7" i="7"/>
  <c r="DD7" i="7"/>
  <c r="DC7" i="7"/>
  <c r="DB7" i="7"/>
  <c r="DA7" i="7"/>
  <c r="CZ7" i="7"/>
  <c r="CY7" i="7"/>
  <c r="CX7" i="7"/>
  <c r="CW7" i="7"/>
  <c r="CV7" i="7"/>
  <c r="CU7" i="7"/>
  <c r="CT7" i="7"/>
  <c r="CS7" i="7"/>
  <c r="CR7" i="7"/>
  <c r="CQ7" i="7"/>
  <c r="CP7" i="7"/>
  <c r="CO7" i="7"/>
  <c r="CN7" i="7"/>
  <c r="CM7" i="7"/>
  <c r="CL7" i="7"/>
  <c r="CK7" i="7"/>
  <c r="CJ7" i="7"/>
  <c r="CI7" i="7"/>
  <c r="CH7" i="7"/>
  <c r="CG7" i="7"/>
  <c r="CF7" i="7"/>
  <c r="CE7" i="7"/>
  <c r="CD7" i="7"/>
  <c r="CC7" i="7"/>
  <c r="CB7" i="7"/>
  <c r="CA7" i="7"/>
  <c r="BZ7" i="7"/>
  <c r="BY7" i="7"/>
  <c r="BX7" i="7"/>
  <c r="BW7" i="7"/>
  <c r="BV7" i="7"/>
  <c r="BU7" i="7"/>
  <c r="BT7" i="7"/>
  <c r="BS7" i="7"/>
  <c r="BR7" i="7"/>
  <c r="BQ7" i="7"/>
  <c r="BP7" i="7"/>
  <c r="BO7" i="7"/>
  <c r="BN7" i="7"/>
  <c r="BM7" i="7"/>
  <c r="BL7" i="7"/>
  <c r="BK7" i="7"/>
  <c r="BJ7" i="7"/>
  <c r="BI7" i="7"/>
  <c r="BH7" i="7"/>
  <c r="BG7" i="7"/>
  <c r="BF7" i="7"/>
  <c r="BE7" i="7"/>
  <c r="BD7" i="7"/>
  <c r="BC7" i="7"/>
  <c r="BB7" i="7"/>
  <c r="BA7" i="7"/>
  <c r="AZ7" i="7"/>
  <c r="AY7" i="7"/>
  <c r="AX7" i="7"/>
  <c r="AW7" i="7"/>
  <c r="AV7" i="7"/>
  <c r="AU7" i="7"/>
  <c r="AT7" i="7"/>
  <c r="AS7" i="7"/>
  <c r="AR7" i="7"/>
  <c r="AQ7" i="7"/>
  <c r="AP7" i="7"/>
  <c r="AO7" i="7"/>
  <c r="AN7" i="7"/>
  <c r="AM7" i="7"/>
  <c r="AL7" i="7"/>
  <c r="AK7" i="7"/>
  <c r="AJ7" i="7"/>
  <c r="AI7" i="7"/>
  <c r="AH7" i="7"/>
  <c r="AG7" i="7"/>
  <c r="AF7" i="7"/>
  <c r="AE7" i="7"/>
  <c r="AD7" i="7"/>
  <c r="AC7" i="7"/>
  <c r="AB7" i="7"/>
  <c r="AA7" i="7"/>
  <c r="Z7" i="7"/>
  <c r="Y7" i="7"/>
  <c r="X7" i="7"/>
  <c r="W7" i="7"/>
  <c r="V7" i="7"/>
  <c r="U7" i="7"/>
  <c r="T7" i="7"/>
  <c r="S7" i="7"/>
  <c r="R7" i="7"/>
  <c r="Q7" i="7"/>
  <c r="P7" i="7"/>
  <c r="O7" i="7"/>
  <c r="N7" i="7"/>
  <c r="M7" i="7"/>
  <c r="L7" i="7"/>
  <c r="K7" i="7"/>
  <c r="DE6" i="7"/>
  <c r="DD6" i="7"/>
  <c r="DC6" i="7"/>
  <c r="DB6" i="7"/>
  <c r="DA6" i="7"/>
  <c r="CZ6" i="7"/>
  <c r="CY6" i="7"/>
  <c r="CX6" i="7"/>
  <c r="CW6" i="7"/>
  <c r="CV6" i="7"/>
  <c r="CU6" i="7"/>
  <c r="CT6" i="7"/>
  <c r="CS6" i="7"/>
  <c r="CR6" i="7"/>
  <c r="CQ6" i="7"/>
  <c r="CP6" i="7"/>
  <c r="CO6" i="7"/>
  <c r="CN6" i="7"/>
  <c r="CM6" i="7"/>
  <c r="CL6" i="7"/>
  <c r="CK6" i="7"/>
  <c r="CJ6" i="7"/>
  <c r="CI6" i="7"/>
  <c r="CH6" i="7"/>
  <c r="CG6" i="7"/>
  <c r="CF6" i="7"/>
  <c r="CE6" i="7"/>
  <c r="CD6" i="7"/>
  <c r="CC6" i="7"/>
  <c r="CB6" i="7"/>
  <c r="CA6" i="7"/>
  <c r="BZ6" i="7"/>
  <c r="BY6" i="7"/>
  <c r="BX6" i="7"/>
  <c r="BW6" i="7"/>
  <c r="BV6" i="7"/>
  <c r="BU6" i="7"/>
  <c r="BT6" i="7"/>
  <c r="BS6" i="7"/>
  <c r="BR6" i="7"/>
  <c r="BQ6" i="7"/>
  <c r="BP6" i="7"/>
  <c r="BO6" i="7"/>
  <c r="BN6" i="7"/>
  <c r="BM6" i="7"/>
  <c r="BL6" i="7"/>
  <c r="BK6" i="7"/>
  <c r="BJ6" i="7"/>
  <c r="BI6" i="7"/>
  <c r="BH6" i="7"/>
  <c r="BG6" i="7"/>
  <c r="BF6" i="7"/>
  <c r="BE6" i="7"/>
  <c r="BD6" i="7"/>
  <c r="BC6" i="7"/>
  <c r="BB6" i="7"/>
  <c r="BA6" i="7"/>
  <c r="AZ6" i="7"/>
  <c r="AY6" i="7"/>
  <c r="AX6" i="7"/>
  <c r="AW6" i="7"/>
  <c r="AV6" i="7"/>
  <c r="AU6" i="7"/>
  <c r="AT6" i="7"/>
  <c r="AS6" i="7"/>
  <c r="AR6" i="7"/>
  <c r="AQ6" i="7"/>
  <c r="AP6" i="7"/>
  <c r="AO6" i="7"/>
  <c r="AN6" i="7"/>
  <c r="AM6" i="7"/>
  <c r="AL6" i="7"/>
  <c r="AK6" i="7"/>
  <c r="AJ6" i="7"/>
  <c r="AI6" i="7"/>
  <c r="AH6" i="7"/>
  <c r="AG6" i="7"/>
  <c r="AF6" i="7"/>
  <c r="AE6" i="7"/>
  <c r="AD6" i="7"/>
  <c r="AC6" i="7"/>
  <c r="AB6" i="7"/>
  <c r="AA6" i="7"/>
  <c r="Z6" i="7"/>
  <c r="Y6" i="7"/>
  <c r="X6" i="7"/>
  <c r="W6" i="7"/>
  <c r="V6" i="7"/>
  <c r="U6" i="7"/>
  <c r="T6" i="7"/>
  <c r="S6" i="7"/>
  <c r="R6" i="7"/>
  <c r="Q6" i="7"/>
  <c r="P6" i="7"/>
  <c r="O6" i="7"/>
  <c r="N6" i="7"/>
  <c r="M6" i="7"/>
  <c r="L6" i="7"/>
  <c r="K6" i="7"/>
  <c r="DE5" i="7"/>
  <c r="DD5" i="7"/>
  <c r="DC5" i="7"/>
  <c r="DB5" i="7"/>
  <c r="DA5" i="7"/>
  <c r="CZ5" i="7"/>
  <c r="CY5" i="7"/>
  <c r="CX5" i="7"/>
  <c r="CW5" i="7"/>
  <c r="CV5" i="7"/>
  <c r="CU5" i="7"/>
  <c r="CT5" i="7"/>
  <c r="CS5" i="7"/>
  <c r="CR5" i="7"/>
  <c r="CQ5" i="7"/>
  <c r="CP5" i="7"/>
  <c r="CO5" i="7"/>
  <c r="CN5" i="7"/>
  <c r="CM5" i="7"/>
  <c r="CL5" i="7"/>
  <c r="CK5" i="7"/>
  <c r="CJ5" i="7"/>
  <c r="CI5" i="7"/>
  <c r="CH5" i="7"/>
  <c r="CG5" i="7"/>
  <c r="CF5" i="7"/>
  <c r="CE5" i="7"/>
  <c r="CD5" i="7"/>
  <c r="CC5" i="7"/>
  <c r="CB5" i="7"/>
  <c r="CA5" i="7"/>
  <c r="BZ5" i="7"/>
  <c r="BY5" i="7"/>
  <c r="BX5" i="7"/>
  <c r="BW5" i="7"/>
  <c r="BV5" i="7"/>
  <c r="BU5" i="7"/>
  <c r="BT5" i="7"/>
  <c r="BS5" i="7"/>
  <c r="BR5" i="7"/>
  <c r="BQ5" i="7"/>
  <c r="BP5" i="7"/>
  <c r="BO5" i="7"/>
  <c r="BN5" i="7"/>
  <c r="BM5" i="7"/>
  <c r="BL5" i="7"/>
  <c r="BK5" i="7"/>
  <c r="BJ5" i="7"/>
  <c r="BI5" i="7"/>
  <c r="BH5" i="7"/>
  <c r="BG5" i="7"/>
  <c r="BF5" i="7"/>
  <c r="BE5" i="7"/>
  <c r="BD5" i="7"/>
  <c r="BC5" i="7"/>
  <c r="BB5" i="7"/>
  <c r="BA5" i="7"/>
  <c r="AZ5" i="7"/>
  <c r="AY5" i="7"/>
  <c r="AX5" i="7"/>
  <c r="AW5" i="7"/>
  <c r="AV5" i="7"/>
  <c r="AU5" i="7"/>
  <c r="AT5" i="7"/>
  <c r="AS5" i="7"/>
  <c r="AR5" i="7"/>
  <c r="AQ5" i="7"/>
  <c r="AP5" i="7"/>
  <c r="AO5" i="7"/>
  <c r="AN5" i="7"/>
  <c r="AM5" i="7"/>
  <c r="AL5" i="7"/>
  <c r="AK5" i="7"/>
  <c r="AJ5" i="7"/>
  <c r="AI5" i="7"/>
  <c r="AH5" i="7"/>
  <c r="AG5" i="7"/>
  <c r="AF5" i="7"/>
  <c r="AE5" i="7"/>
  <c r="AD5" i="7"/>
  <c r="AC5" i="7"/>
  <c r="AB5" i="7"/>
  <c r="AA5" i="7"/>
  <c r="Z5" i="7"/>
  <c r="Y5" i="7"/>
  <c r="X5" i="7"/>
  <c r="W5" i="7"/>
  <c r="V5" i="7"/>
  <c r="U5" i="7"/>
  <c r="T5" i="7"/>
  <c r="S5" i="7"/>
  <c r="R5" i="7"/>
  <c r="Q5" i="7"/>
  <c r="P5" i="7"/>
  <c r="O5" i="7"/>
  <c r="N5" i="7"/>
  <c r="M5" i="7"/>
  <c r="L5" i="7"/>
  <c r="K5" i="7"/>
  <c r="DE4" i="7"/>
  <c r="DD4" i="7"/>
  <c r="DC4" i="7"/>
  <c r="DB4" i="7"/>
  <c r="DA4" i="7"/>
  <c r="CZ4" i="7"/>
  <c r="CY4" i="7"/>
  <c r="CX4" i="7"/>
  <c r="CW4" i="7"/>
  <c r="CV4" i="7"/>
  <c r="CU4" i="7"/>
  <c r="CT4" i="7"/>
  <c r="CS4" i="7"/>
  <c r="CR4" i="7"/>
  <c r="CQ4" i="7"/>
  <c r="CP4" i="7"/>
  <c r="CO4" i="7"/>
  <c r="CN4" i="7"/>
  <c r="CM4" i="7"/>
  <c r="CL4" i="7"/>
  <c r="CK4" i="7"/>
  <c r="CJ4" i="7"/>
  <c r="CI4" i="7"/>
  <c r="CH4" i="7"/>
  <c r="CG4" i="7"/>
  <c r="CF4" i="7"/>
  <c r="CE4" i="7"/>
  <c r="CD4" i="7"/>
  <c r="CC4" i="7"/>
  <c r="CB4" i="7"/>
  <c r="CA4" i="7"/>
  <c r="BZ4" i="7"/>
  <c r="BY4" i="7"/>
  <c r="BX4" i="7"/>
  <c r="BW4" i="7"/>
  <c r="BV4" i="7"/>
  <c r="BU4" i="7"/>
  <c r="BT4" i="7"/>
  <c r="BS4" i="7"/>
  <c r="BR4" i="7"/>
  <c r="BQ4" i="7"/>
  <c r="BP4" i="7"/>
  <c r="BO4" i="7"/>
  <c r="BN4" i="7"/>
  <c r="BM4" i="7"/>
  <c r="BL4" i="7"/>
  <c r="BK4" i="7"/>
  <c r="BJ4" i="7"/>
  <c r="BI4" i="7"/>
  <c r="BH4" i="7"/>
  <c r="BG4" i="7"/>
  <c r="BF4" i="7"/>
  <c r="BE4" i="7"/>
  <c r="BD4" i="7"/>
  <c r="BC4" i="7"/>
  <c r="BB4" i="7"/>
  <c r="BA4" i="7"/>
  <c r="AZ4" i="7"/>
  <c r="AY4" i="7"/>
  <c r="AX4" i="7"/>
  <c r="AW4" i="7"/>
  <c r="AV4" i="7"/>
  <c r="AU4" i="7"/>
  <c r="AT4" i="7"/>
  <c r="AS4" i="7"/>
  <c r="AR4" i="7"/>
  <c r="AQ4" i="7"/>
  <c r="AP4" i="7"/>
  <c r="AO4" i="7"/>
  <c r="AN4" i="7"/>
  <c r="AM4" i="7"/>
  <c r="AL4" i="7"/>
  <c r="AK4" i="7"/>
  <c r="AJ4" i="7"/>
  <c r="AI4" i="7"/>
  <c r="AH4" i="7"/>
  <c r="AG4" i="7"/>
  <c r="AF4" i="7"/>
  <c r="AE4" i="7"/>
  <c r="AD4" i="7"/>
  <c r="AC4" i="7"/>
  <c r="AB4" i="7"/>
  <c r="AA4" i="7"/>
  <c r="Z4" i="7"/>
  <c r="Y4" i="7"/>
  <c r="X4" i="7"/>
  <c r="W4" i="7"/>
  <c r="V4" i="7"/>
  <c r="U4" i="7"/>
  <c r="T4" i="7"/>
  <c r="S4" i="7"/>
  <c r="R4" i="7"/>
  <c r="Q4" i="7"/>
  <c r="P4" i="7"/>
  <c r="O4" i="7"/>
  <c r="N4" i="7"/>
  <c r="M4" i="7"/>
  <c r="L4" i="7"/>
  <c r="K4" i="7"/>
  <c r="BG3" i="7"/>
  <c r="BH3" i="7" s="1"/>
  <c r="BI3" i="7" s="1"/>
  <c r="BJ3" i="7" s="1"/>
  <c r="BK3" i="7" s="1"/>
  <c r="BL3" i="7" s="1"/>
  <c r="BM3" i="7" s="1"/>
  <c r="BN3" i="7" s="1"/>
  <c r="BO3" i="7" s="1"/>
  <c r="BP3" i="7" s="1"/>
  <c r="BQ3" i="7" s="1"/>
  <c r="BR3" i="7" s="1"/>
  <c r="BS3" i="7" s="1"/>
  <c r="BT3" i="7" s="1"/>
  <c r="BU3" i="7" s="1"/>
  <c r="BV3" i="7" s="1"/>
  <c r="BW3" i="7" s="1"/>
  <c r="BX3" i="7" s="1"/>
  <c r="BY3" i="7" s="1"/>
  <c r="BZ3" i="7" s="1"/>
  <c r="CA3" i="7" s="1"/>
  <c r="CB3" i="7" s="1"/>
  <c r="CC3" i="7" s="1"/>
  <c r="CD3" i="7" s="1"/>
  <c r="CE3" i="7" s="1"/>
  <c r="CF3" i="7" s="1"/>
  <c r="CG3" i="7" s="1"/>
  <c r="CH3" i="7" s="1"/>
  <c r="CI3" i="7" s="1"/>
  <c r="CJ3" i="7" s="1"/>
  <c r="CK3" i="7" s="1"/>
  <c r="CL3" i="7" s="1"/>
  <c r="CM3" i="7" s="1"/>
  <c r="CN3" i="7" s="1"/>
  <c r="CO3" i="7" s="1"/>
  <c r="CP3" i="7" s="1"/>
  <c r="CQ3" i="7" s="1"/>
  <c r="CR3" i="7" s="1"/>
  <c r="CS3" i="7" s="1"/>
  <c r="CT3" i="7" s="1"/>
  <c r="CU3" i="7" s="1"/>
  <c r="CV3" i="7" s="1"/>
  <c r="CW3" i="7" s="1"/>
  <c r="CX3" i="7" s="1"/>
  <c r="CY3" i="7" s="1"/>
  <c r="CZ3" i="7" s="1"/>
  <c r="DA3" i="7" s="1"/>
  <c r="DB3" i="7" s="1"/>
  <c r="DC3" i="7" s="1"/>
  <c r="DD3" i="7" s="1"/>
  <c r="DE3" i="7" s="1"/>
  <c r="AD3" i="7"/>
  <c r="AE3" i="7" s="1"/>
  <c r="AF3" i="7" s="1"/>
  <c r="AG3" i="7" s="1"/>
  <c r="AH3" i="7" s="1"/>
  <c r="AI3" i="7" s="1"/>
  <c r="AJ3" i="7" s="1"/>
  <c r="AK3" i="7" s="1"/>
  <c r="AL3" i="7" s="1"/>
  <c r="AM3" i="7" s="1"/>
  <c r="AN3" i="7" s="1"/>
  <c r="AO3" i="7" s="1"/>
  <c r="AP3" i="7" s="1"/>
  <c r="AQ3" i="7" s="1"/>
  <c r="AR3" i="7" s="1"/>
  <c r="AS3" i="7" s="1"/>
  <c r="AT3" i="7" s="1"/>
  <c r="AU3" i="7" s="1"/>
  <c r="AV3" i="7" s="1"/>
  <c r="AW3" i="7" s="1"/>
  <c r="AX3" i="7" s="1"/>
  <c r="AY3" i="7" s="1"/>
  <c r="AZ3" i="7" s="1"/>
  <c r="BA3" i="7" s="1"/>
  <c r="BB3" i="7" s="1"/>
  <c r="BC3" i="7" s="1"/>
  <c r="BD3" i="7" s="1"/>
  <c r="BE3" i="7" s="1"/>
  <c r="BF3" i="7" s="1"/>
  <c r="AA3" i="7"/>
  <c r="AB3" i="7" s="1"/>
  <c r="AC3" i="7" s="1"/>
  <c r="X3" i="7"/>
  <c r="Y3" i="7" s="1"/>
  <c r="Z3" i="7" s="1"/>
  <c r="W3" i="7"/>
  <c r="V3" i="7"/>
  <c r="K3" i="7"/>
  <c r="L3" i="7" s="1"/>
  <c r="M3" i="7" s="1"/>
  <c r="N3" i="7" s="1"/>
  <c r="O3" i="7" s="1"/>
  <c r="P3" i="7" s="1"/>
  <c r="Q3" i="7" s="1"/>
  <c r="R3" i="7" s="1"/>
  <c r="S3" i="7" s="1"/>
  <c r="T3" i="7" s="1"/>
  <c r="U3" i="7" s="1"/>
  <c r="J3" i="7"/>
  <c r="DC2" i="7"/>
  <c r="DD2" i="7" s="1"/>
  <c r="DE2" i="7" s="1"/>
  <c r="DB2" i="7"/>
  <c r="O2" i="7"/>
  <c r="P2" i="7" s="1"/>
  <c r="Q2" i="7" s="1"/>
  <c r="R2" i="7" s="1"/>
  <c r="S2" i="7" s="1"/>
  <c r="T2" i="7" s="1"/>
  <c r="U2" i="7" s="1"/>
  <c r="V2" i="7" s="1"/>
  <c r="W2" i="7" s="1"/>
  <c r="X2" i="7" s="1"/>
  <c r="Y2" i="7" s="1"/>
  <c r="Z2" i="7" s="1"/>
  <c r="AA2" i="7" s="1"/>
  <c r="AB2" i="7" s="1"/>
  <c r="AC2" i="7" s="1"/>
  <c r="AD2" i="7" s="1"/>
  <c r="AE2" i="7" s="1"/>
  <c r="AF2" i="7" s="1"/>
  <c r="AG2" i="7" s="1"/>
  <c r="AH2" i="7" s="1"/>
  <c r="AI2" i="7" s="1"/>
  <c r="AJ2" i="7" s="1"/>
  <c r="AK2" i="7" s="1"/>
  <c r="AL2" i="7" s="1"/>
  <c r="AM2" i="7" s="1"/>
  <c r="AN2" i="7" s="1"/>
  <c r="AO2" i="7" s="1"/>
  <c r="AP2" i="7" s="1"/>
  <c r="AQ2" i="7" s="1"/>
  <c r="AR2" i="7" s="1"/>
  <c r="AS2" i="7" s="1"/>
  <c r="AT2" i="7" s="1"/>
  <c r="AU2" i="7" s="1"/>
  <c r="AV2" i="7" s="1"/>
  <c r="AW2" i="7" s="1"/>
  <c r="AX2" i="7" s="1"/>
  <c r="AY2" i="7" s="1"/>
  <c r="AZ2" i="7" s="1"/>
  <c r="BA2" i="7" s="1"/>
  <c r="BB2" i="7" s="1"/>
  <c r="BC2" i="7" s="1"/>
  <c r="BD2" i="7" s="1"/>
  <c r="BE2" i="7" s="1"/>
  <c r="BF2" i="7" s="1"/>
  <c r="BG2" i="7" s="1"/>
  <c r="BH2" i="7" s="1"/>
  <c r="BI2" i="7" s="1"/>
  <c r="BJ2" i="7" s="1"/>
  <c r="BK2" i="7" s="1"/>
  <c r="BL2" i="7" s="1"/>
  <c r="BM2" i="7" s="1"/>
  <c r="BN2" i="7" s="1"/>
  <c r="BO2" i="7" s="1"/>
  <c r="BP2" i="7" s="1"/>
  <c r="BQ2" i="7" s="1"/>
  <c r="BR2" i="7" s="1"/>
  <c r="BS2" i="7" s="1"/>
  <c r="BT2" i="7" s="1"/>
  <c r="BU2" i="7" s="1"/>
  <c r="BV2" i="7" s="1"/>
  <c r="BW2" i="7" s="1"/>
  <c r="BX2" i="7" s="1"/>
  <c r="BY2" i="7" s="1"/>
  <c r="BZ2" i="7" s="1"/>
  <c r="CA2" i="7" s="1"/>
  <c r="CB2" i="7" s="1"/>
  <c r="CC2" i="7" s="1"/>
  <c r="CD2" i="7" s="1"/>
  <c r="CE2" i="7" s="1"/>
  <c r="CF2" i="7" s="1"/>
  <c r="CG2" i="7" s="1"/>
  <c r="CH2" i="7" s="1"/>
  <c r="CI2" i="7" s="1"/>
  <c r="CJ2" i="7" s="1"/>
  <c r="CK2" i="7" s="1"/>
  <c r="CL2" i="7" s="1"/>
  <c r="CM2" i="7" s="1"/>
  <c r="CN2" i="7" s="1"/>
  <c r="CO2" i="7" s="1"/>
  <c r="CP2" i="7" s="1"/>
  <c r="CQ2" i="7" s="1"/>
  <c r="CR2" i="7" s="1"/>
  <c r="CS2" i="7" s="1"/>
  <c r="CT2" i="7" s="1"/>
  <c r="CU2" i="7" s="1"/>
  <c r="CV2" i="7" s="1"/>
  <c r="CW2" i="7" s="1"/>
  <c r="CX2" i="7" s="1"/>
  <c r="CY2" i="7" s="1"/>
  <c r="CZ2" i="7" s="1"/>
  <c r="DA2" i="7" s="1"/>
  <c r="L2" i="7"/>
  <c r="M2" i="7" s="1"/>
  <c r="N2" i="7" s="1"/>
  <c r="K2" i="7"/>
  <c r="J2" i="7"/>
  <c r="DL112" i="6"/>
  <c r="DK112" i="6"/>
  <c r="DJ112" i="6"/>
  <c r="DI112" i="6"/>
  <c r="DH112" i="6"/>
  <c r="DG112" i="6"/>
  <c r="DF112" i="6"/>
  <c r="J109" i="6"/>
  <c r="E109" i="6"/>
  <c r="G106" i="6"/>
  <c r="F106" i="6"/>
  <c r="E106" i="6"/>
  <c r="D106" i="6"/>
  <c r="C106" i="6"/>
  <c r="F104" i="6"/>
  <c r="E104" i="6"/>
  <c r="D104" i="6"/>
  <c r="C104" i="6"/>
  <c r="F103" i="6"/>
  <c r="E103" i="6"/>
  <c r="D103" i="6"/>
  <c r="C103" i="6"/>
  <c r="G102" i="6"/>
  <c r="G101" i="6"/>
  <c r="F101" i="6"/>
  <c r="E101" i="6"/>
  <c r="D101" i="6"/>
  <c r="C101" i="6"/>
  <c r="H99" i="6"/>
  <c r="I99" i="6" s="1"/>
  <c r="J99" i="6" s="1"/>
  <c r="K99" i="6" s="1"/>
  <c r="L99" i="6" s="1"/>
  <c r="M99" i="6" s="1"/>
  <c r="N99" i="6" s="1"/>
  <c r="O99" i="6" s="1"/>
  <c r="P99" i="6" s="1"/>
  <c r="Q99" i="6" s="1"/>
  <c r="R99" i="6" s="1"/>
  <c r="S99" i="6" s="1"/>
  <c r="T99" i="6" s="1"/>
  <c r="U99" i="6" s="1"/>
  <c r="V99" i="6" s="1"/>
  <c r="W99" i="6" s="1"/>
  <c r="X99" i="6" s="1"/>
  <c r="Y99" i="6" s="1"/>
  <c r="Z99" i="6" s="1"/>
  <c r="AA99" i="6" s="1"/>
  <c r="AB99" i="6" s="1"/>
  <c r="AC99" i="6" s="1"/>
  <c r="AD99" i="6" s="1"/>
  <c r="AE99" i="6" s="1"/>
  <c r="AF99" i="6" s="1"/>
  <c r="AG99" i="6" s="1"/>
  <c r="AH99" i="6" s="1"/>
  <c r="AI99" i="6" s="1"/>
  <c r="AJ99" i="6" s="1"/>
  <c r="AK99" i="6" s="1"/>
  <c r="AL99" i="6" s="1"/>
  <c r="AM99" i="6" s="1"/>
  <c r="AN99" i="6" s="1"/>
  <c r="AO99" i="6" s="1"/>
  <c r="AP99" i="6" s="1"/>
  <c r="AQ99" i="6" s="1"/>
  <c r="AR99" i="6" s="1"/>
  <c r="AS99" i="6" s="1"/>
  <c r="AT99" i="6" s="1"/>
  <c r="AU99" i="6" s="1"/>
  <c r="AV99" i="6" s="1"/>
  <c r="AW99" i="6" s="1"/>
  <c r="AX99" i="6" s="1"/>
  <c r="AY99" i="6" s="1"/>
  <c r="AZ99" i="6" s="1"/>
  <c r="BA99" i="6" s="1"/>
  <c r="BB99" i="6" s="1"/>
  <c r="BC99" i="6" s="1"/>
  <c r="BD99" i="6" s="1"/>
  <c r="BE99" i="6" s="1"/>
  <c r="BF99" i="6" s="1"/>
  <c r="BG99" i="6" s="1"/>
  <c r="BH99" i="6" s="1"/>
  <c r="BI99" i="6" s="1"/>
  <c r="BJ99" i="6" s="1"/>
  <c r="BK99" i="6" s="1"/>
  <c r="BL99" i="6" s="1"/>
  <c r="BM99" i="6" s="1"/>
  <c r="BN99" i="6" s="1"/>
  <c r="BO99" i="6" s="1"/>
  <c r="BP99" i="6" s="1"/>
  <c r="BQ99" i="6" s="1"/>
  <c r="BR99" i="6" s="1"/>
  <c r="BS99" i="6" s="1"/>
  <c r="BT99" i="6" s="1"/>
  <c r="BU99" i="6" s="1"/>
  <c r="BV99" i="6" s="1"/>
  <c r="BW99" i="6" s="1"/>
  <c r="BX99" i="6" s="1"/>
  <c r="BY99" i="6" s="1"/>
  <c r="BZ99" i="6" s="1"/>
  <c r="CA99" i="6" s="1"/>
  <c r="CB99" i="6" s="1"/>
  <c r="CC99" i="6" s="1"/>
  <c r="CD99" i="6" s="1"/>
  <c r="CE99" i="6" s="1"/>
  <c r="CF99" i="6" s="1"/>
  <c r="CG99" i="6" s="1"/>
  <c r="CH99" i="6" s="1"/>
  <c r="CI99" i="6" s="1"/>
  <c r="CJ99" i="6" s="1"/>
  <c r="CK99" i="6" s="1"/>
  <c r="CL99" i="6" s="1"/>
  <c r="CM99" i="6" s="1"/>
  <c r="CN99" i="6" s="1"/>
  <c r="CO99" i="6" s="1"/>
  <c r="CP99" i="6" s="1"/>
  <c r="CQ99" i="6" s="1"/>
  <c r="CR99" i="6" s="1"/>
  <c r="CS99" i="6" s="1"/>
  <c r="CT99" i="6" s="1"/>
  <c r="CU99" i="6" s="1"/>
  <c r="CV99" i="6" s="1"/>
  <c r="CW99" i="6" s="1"/>
  <c r="CX99" i="6" s="1"/>
  <c r="CY99" i="6" s="1"/>
  <c r="CZ99" i="6" s="1"/>
  <c r="DA99" i="6" s="1"/>
  <c r="DB99" i="6" s="1"/>
  <c r="DC99" i="6" s="1"/>
  <c r="DD99" i="6" s="1"/>
  <c r="DE99" i="6" s="1"/>
  <c r="H96" i="6"/>
  <c r="H98" i="6" s="1"/>
  <c r="H122" i="6" s="1"/>
  <c r="H123" i="6" s="1"/>
  <c r="H124" i="6" s="1"/>
  <c r="DL95" i="6"/>
  <c r="DK95" i="6"/>
  <c r="DJ95" i="6"/>
  <c r="DI95" i="6"/>
  <c r="DH95" i="6"/>
  <c r="DG95" i="6"/>
  <c r="DF95" i="6"/>
  <c r="G93" i="6"/>
  <c r="G91" i="6"/>
  <c r="H91" i="6" s="1"/>
  <c r="I91" i="6" s="1"/>
  <c r="J91" i="6" s="1"/>
  <c r="K91" i="6" s="1"/>
  <c r="L91" i="6" s="1"/>
  <c r="M91" i="6" s="1"/>
  <c r="N91" i="6" s="1"/>
  <c r="O91" i="6" s="1"/>
  <c r="P91" i="6" s="1"/>
  <c r="Q91" i="6" s="1"/>
  <c r="R91" i="6" s="1"/>
  <c r="S91" i="6" s="1"/>
  <c r="T91" i="6" s="1"/>
  <c r="U91" i="6" s="1"/>
  <c r="V91" i="6" s="1"/>
  <c r="W91" i="6" s="1"/>
  <c r="X91" i="6" s="1"/>
  <c r="Y91" i="6" s="1"/>
  <c r="Z91" i="6" s="1"/>
  <c r="AA91" i="6" s="1"/>
  <c r="AB91" i="6" s="1"/>
  <c r="AC91" i="6" s="1"/>
  <c r="AD91" i="6" s="1"/>
  <c r="AE91" i="6" s="1"/>
  <c r="AF91" i="6" s="1"/>
  <c r="AG91" i="6" s="1"/>
  <c r="AH91" i="6" s="1"/>
  <c r="AI91" i="6" s="1"/>
  <c r="AJ91" i="6" s="1"/>
  <c r="AK91" i="6" s="1"/>
  <c r="AL91" i="6" s="1"/>
  <c r="AM91" i="6" s="1"/>
  <c r="AN91" i="6" s="1"/>
  <c r="AO91" i="6" s="1"/>
  <c r="AP91" i="6" s="1"/>
  <c r="AQ91" i="6" s="1"/>
  <c r="AR91" i="6" s="1"/>
  <c r="AS91" i="6" s="1"/>
  <c r="AT91" i="6" s="1"/>
  <c r="AU91" i="6" s="1"/>
  <c r="AV91" i="6" s="1"/>
  <c r="AW91" i="6" s="1"/>
  <c r="AX91" i="6" s="1"/>
  <c r="AY91" i="6" s="1"/>
  <c r="AZ91" i="6" s="1"/>
  <c r="BA91" i="6" s="1"/>
  <c r="BB91" i="6" s="1"/>
  <c r="BC91" i="6" s="1"/>
  <c r="BD91" i="6" s="1"/>
  <c r="BE91" i="6" s="1"/>
  <c r="BF91" i="6" s="1"/>
  <c r="BG91" i="6" s="1"/>
  <c r="BH91" i="6" s="1"/>
  <c r="BI91" i="6" s="1"/>
  <c r="BJ91" i="6" s="1"/>
  <c r="BK91" i="6" s="1"/>
  <c r="BL91" i="6" s="1"/>
  <c r="BM91" i="6" s="1"/>
  <c r="BN91" i="6" s="1"/>
  <c r="BO91" i="6" s="1"/>
  <c r="BP91" i="6" s="1"/>
  <c r="BQ91" i="6" s="1"/>
  <c r="BR91" i="6" s="1"/>
  <c r="BS91" i="6" s="1"/>
  <c r="BT91" i="6" s="1"/>
  <c r="BU91" i="6" s="1"/>
  <c r="BV91" i="6" s="1"/>
  <c r="BW91" i="6" s="1"/>
  <c r="BX91" i="6" s="1"/>
  <c r="BY91" i="6" s="1"/>
  <c r="BZ91" i="6" s="1"/>
  <c r="CA91" i="6" s="1"/>
  <c r="CB91" i="6" s="1"/>
  <c r="CC91" i="6" s="1"/>
  <c r="CD91" i="6" s="1"/>
  <c r="CE91" i="6" s="1"/>
  <c r="CF91" i="6" s="1"/>
  <c r="CG91" i="6" s="1"/>
  <c r="CH91" i="6" s="1"/>
  <c r="CI91" i="6" s="1"/>
  <c r="CJ91" i="6" s="1"/>
  <c r="CK91" i="6" s="1"/>
  <c r="CL91" i="6" s="1"/>
  <c r="CM91" i="6" s="1"/>
  <c r="CN91" i="6" s="1"/>
  <c r="CO91" i="6" s="1"/>
  <c r="CP91" i="6" s="1"/>
  <c r="CQ91" i="6" s="1"/>
  <c r="CR91" i="6" s="1"/>
  <c r="CS91" i="6" s="1"/>
  <c r="CT91" i="6" s="1"/>
  <c r="CU91" i="6" s="1"/>
  <c r="CV91" i="6" s="1"/>
  <c r="CW91" i="6" s="1"/>
  <c r="CX91" i="6" s="1"/>
  <c r="CY91" i="6" s="1"/>
  <c r="CZ91" i="6" s="1"/>
  <c r="DA91" i="6" s="1"/>
  <c r="DB91" i="6" s="1"/>
  <c r="DC91" i="6" s="1"/>
  <c r="DD91" i="6" s="1"/>
  <c r="DE91" i="6" s="1"/>
  <c r="H90" i="6"/>
  <c r="I90" i="6" s="1"/>
  <c r="J90" i="6" s="1"/>
  <c r="K90" i="6" s="1"/>
  <c r="L90" i="6" s="1"/>
  <c r="M90" i="6" s="1"/>
  <c r="N90" i="6" s="1"/>
  <c r="O90" i="6" s="1"/>
  <c r="P90" i="6" s="1"/>
  <c r="Q90" i="6" s="1"/>
  <c r="R90" i="6" s="1"/>
  <c r="S90" i="6" s="1"/>
  <c r="T90" i="6" s="1"/>
  <c r="U90" i="6" s="1"/>
  <c r="V90" i="6" s="1"/>
  <c r="W90" i="6" s="1"/>
  <c r="X90" i="6" s="1"/>
  <c r="Y90" i="6" s="1"/>
  <c r="Z90" i="6" s="1"/>
  <c r="AA90" i="6" s="1"/>
  <c r="AB90" i="6" s="1"/>
  <c r="AC90" i="6" s="1"/>
  <c r="AD90" i="6" s="1"/>
  <c r="AE90" i="6" s="1"/>
  <c r="AF90" i="6" s="1"/>
  <c r="AG90" i="6" s="1"/>
  <c r="AH90" i="6" s="1"/>
  <c r="AI90" i="6" s="1"/>
  <c r="AJ90" i="6" s="1"/>
  <c r="AK90" i="6" s="1"/>
  <c r="AL90" i="6" s="1"/>
  <c r="AM90" i="6" s="1"/>
  <c r="AN90" i="6" s="1"/>
  <c r="AO90" i="6" s="1"/>
  <c r="AP90" i="6" s="1"/>
  <c r="AQ90" i="6" s="1"/>
  <c r="AR90" i="6" s="1"/>
  <c r="AS90" i="6" s="1"/>
  <c r="AT90" i="6" s="1"/>
  <c r="AU90" i="6" s="1"/>
  <c r="AV90" i="6" s="1"/>
  <c r="AW90" i="6" s="1"/>
  <c r="AX90" i="6" s="1"/>
  <c r="AY90" i="6" s="1"/>
  <c r="AZ90" i="6" s="1"/>
  <c r="BA90" i="6" s="1"/>
  <c r="BB90" i="6" s="1"/>
  <c r="BC90" i="6" s="1"/>
  <c r="BD90" i="6" s="1"/>
  <c r="BE90" i="6" s="1"/>
  <c r="BF90" i="6" s="1"/>
  <c r="BG90" i="6" s="1"/>
  <c r="BH90" i="6" s="1"/>
  <c r="BI90" i="6" s="1"/>
  <c r="BJ90" i="6" s="1"/>
  <c r="BK90" i="6" s="1"/>
  <c r="BL90" i="6" s="1"/>
  <c r="BM90" i="6" s="1"/>
  <c r="BN90" i="6" s="1"/>
  <c r="BO90" i="6" s="1"/>
  <c r="BP90" i="6" s="1"/>
  <c r="BQ90" i="6" s="1"/>
  <c r="BR90" i="6" s="1"/>
  <c r="BS90" i="6" s="1"/>
  <c r="BT90" i="6" s="1"/>
  <c r="BU90" i="6" s="1"/>
  <c r="BV90" i="6" s="1"/>
  <c r="BW90" i="6" s="1"/>
  <c r="BX90" i="6" s="1"/>
  <c r="BY90" i="6" s="1"/>
  <c r="BZ90" i="6" s="1"/>
  <c r="CA90" i="6" s="1"/>
  <c r="CB90" i="6" s="1"/>
  <c r="CC90" i="6" s="1"/>
  <c r="CD90" i="6" s="1"/>
  <c r="CE90" i="6" s="1"/>
  <c r="CF90" i="6" s="1"/>
  <c r="CG90" i="6" s="1"/>
  <c r="CH90" i="6" s="1"/>
  <c r="CI90" i="6" s="1"/>
  <c r="CJ90" i="6" s="1"/>
  <c r="CK90" i="6" s="1"/>
  <c r="CL90" i="6" s="1"/>
  <c r="CM90" i="6" s="1"/>
  <c r="CN90" i="6" s="1"/>
  <c r="CO90" i="6" s="1"/>
  <c r="CP90" i="6" s="1"/>
  <c r="CQ90" i="6" s="1"/>
  <c r="CR90" i="6" s="1"/>
  <c r="CS90" i="6" s="1"/>
  <c r="CT90" i="6" s="1"/>
  <c r="CU90" i="6" s="1"/>
  <c r="CV90" i="6" s="1"/>
  <c r="CW90" i="6" s="1"/>
  <c r="CX90" i="6" s="1"/>
  <c r="CY90" i="6" s="1"/>
  <c r="CZ90" i="6" s="1"/>
  <c r="DA90" i="6" s="1"/>
  <c r="DB90" i="6" s="1"/>
  <c r="DC90" i="6" s="1"/>
  <c r="DD90" i="6" s="1"/>
  <c r="DE90" i="6" s="1"/>
  <c r="G87" i="6"/>
  <c r="H86" i="6"/>
  <c r="I86" i="6" s="1"/>
  <c r="H84" i="6"/>
  <c r="I84" i="6" s="1"/>
  <c r="J84" i="6" s="1"/>
  <c r="K84" i="6" s="1"/>
  <c r="L84" i="6" s="1"/>
  <c r="DE83" i="6"/>
  <c r="DD83" i="6"/>
  <c r="DC83" i="6"/>
  <c r="DB83" i="6"/>
  <c r="DA83" i="6"/>
  <c r="CZ83" i="6"/>
  <c r="CY83" i="6"/>
  <c r="CX83" i="6"/>
  <c r="CW83" i="6"/>
  <c r="CV83" i="6"/>
  <c r="CU83" i="6"/>
  <c r="CT83" i="6"/>
  <c r="CS83" i="6"/>
  <c r="CR83" i="6"/>
  <c r="CQ83" i="6"/>
  <c r="CP83" i="6"/>
  <c r="CO83" i="6"/>
  <c r="CN83" i="6"/>
  <c r="CM83" i="6"/>
  <c r="CL83" i="6"/>
  <c r="CK83" i="6"/>
  <c r="CJ83" i="6"/>
  <c r="CI83" i="6"/>
  <c r="CH83" i="6"/>
  <c r="CG83" i="6"/>
  <c r="CF83" i="6"/>
  <c r="CE83" i="6"/>
  <c r="CD83" i="6"/>
  <c r="CC83" i="6"/>
  <c r="CB83" i="6"/>
  <c r="CA83" i="6"/>
  <c r="BZ83" i="6"/>
  <c r="BY83" i="6"/>
  <c r="BX83" i="6"/>
  <c r="BW83" i="6"/>
  <c r="BV83" i="6"/>
  <c r="BU83" i="6"/>
  <c r="BT83" i="6"/>
  <c r="BS83" i="6"/>
  <c r="BR83" i="6"/>
  <c r="BQ83" i="6"/>
  <c r="BP83" i="6"/>
  <c r="BO83" i="6"/>
  <c r="BN83" i="6"/>
  <c r="BM83" i="6"/>
  <c r="BL83" i="6"/>
  <c r="BK83" i="6"/>
  <c r="BJ83" i="6"/>
  <c r="BI83" i="6"/>
  <c r="BH83" i="6"/>
  <c r="BG83" i="6"/>
  <c r="BF83" i="6"/>
  <c r="BE83" i="6"/>
  <c r="BD83" i="6"/>
  <c r="BC83" i="6"/>
  <c r="BB83" i="6"/>
  <c r="BA83" i="6"/>
  <c r="AZ83" i="6"/>
  <c r="AY83" i="6"/>
  <c r="AX83" i="6"/>
  <c r="AW83" i="6"/>
  <c r="AV83" i="6"/>
  <c r="AU83" i="6"/>
  <c r="AT83" i="6"/>
  <c r="AS83" i="6"/>
  <c r="AR83" i="6"/>
  <c r="AQ83" i="6"/>
  <c r="AP83" i="6"/>
  <c r="AO83" i="6"/>
  <c r="AN83" i="6"/>
  <c r="AM83" i="6"/>
  <c r="AL83" i="6"/>
  <c r="AK83" i="6"/>
  <c r="AJ83" i="6"/>
  <c r="AI83" i="6"/>
  <c r="AH83" i="6"/>
  <c r="AG83" i="6"/>
  <c r="AF83" i="6"/>
  <c r="AE83" i="6"/>
  <c r="AD83" i="6"/>
  <c r="AC83" i="6"/>
  <c r="AB83" i="6"/>
  <c r="AA83" i="6"/>
  <c r="Z83" i="6"/>
  <c r="Y83" i="6"/>
  <c r="X83" i="6"/>
  <c r="W83" i="6"/>
  <c r="V83" i="6"/>
  <c r="U83" i="6"/>
  <c r="T83" i="6"/>
  <c r="S83" i="6"/>
  <c r="R83" i="6"/>
  <c r="Q83" i="6"/>
  <c r="P83" i="6"/>
  <c r="O83" i="6"/>
  <c r="N83" i="6"/>
  <c r="M83" i="6"/>
  <c r="L83" i="6"/>
  <c r="K83" i="6"/>
  <c r="H83" i="6"/>
  <c r="G77" i="6"/>
  <c r="G76" i="6"/>
  <c r="F76" i="6"/>
  <c r="E76" i="6"/>
  <c r="D76" i="6"/>
  <c r="C76" i="6"/>
  <c r="DE74" i="6"/>
  <c r="DD74" i="6"/>
  <c r="DC74" i="6"/>
  <c r="DB74" i="6"/>
  <c r="DA74" i="6"/>
  <c r="CZ74" i="6"/>
  <c r="CY74" i="6"/>
  <c r="CX74" i="6"/>
  <c r="CW74" i="6"/>
  <c r="CV74" i="6"/>
  <c r="CU74" i="6"/>
  <c r="CT74" i="6"/>
  <c r="CS74" i="6"/>
  <c r="CR74" i="6"/>
  <c r="CQ74" i="6"/>
  <c r="CP74" i="6"/>
  <c r="CO74" i="6"/>
  <c r="CN74" i="6"/>
  <c r="CM74" i="6"/>
  <c r="CL74" i="6"/>
  <c r="CK74" i="6"/>
  <c r="CJ74" i="6"/>
  <c r="CI74" i="6"/>
  <c r="CH74" i="6"/>
  <c r="CG74" i="6"/>
  <c r="CF74" i="6"/>
  <c r="CE74" i="6"/>
  <c r="CD74" i="6"/>
  <c r="CC74" i="6"/>
  <c r="CB74" i="6"/>
  <c r="CA74" i="6"/>
  <c r="BZ74" i="6"/>
  <c r="BY74" i="6"/>
  <c r="BX74" i="6"/>
  <c r="BW74" i="6"/>
  <c r="BV74" i="6"/>
  <c r="BU74" i="6"/>
  <c r="BT74" i="6"/>
  <c r="BS74" i="6"/>
  <c r="BR74" i="6"/>
  <c r="BQ74" i="6"/>
  <c r="BP74" i="6"/>
  <c r="BO74" i="6"/>
  <c r="BN74" i="6"/>
  <c r="BM74" i="6"/>
  <c r="BL74" i="6"/>
  <c r="BK74" i="6"/>
  <c r="BJ74" i="6"/>
  <c r="BI74" i="6"/>
  <c r="BH74" i="6"/>
  <c r="BG74" i="6"/>
  <c r="BF74" i="6"/>
  <c r="BE74" i="6"/>
  <c r="BD74" i="6"/>
  <c r="BC74" i="6"/>
  <c r="BB74" i="6"/>
  <c r="BA74" i="6"/>
  <c r="AZ74" i="6"/>
  <c r="AY74" i="6"/>
  <c r="AX74" i="6"/>
  <c r="AW74" i="6"/>
  <c r="AV74" i="6"/>
  <c r="AU74" i="6"/>
  <c r="AT74" i="6"/>
  <c r="AS74" i="6"/>
  <c r="AR74" i="6"/>
  <c r="AQ74" i="6"/>
  <c r="AP74" i="6"/>
  <c r="AO74" i="6"/>
  <c r="AN74" i="6"/>
  <c r="AM74" i="6"/>
  <c r="AL74" i="6"/>
  <c r="AK74" i="6"/>
  <c r="AJ74" i="6"/>
  <c r="AI74" i="6"/>
  <c r="AH74" i="6"/>
  <c r="AG74" i="6"/>
  <c r="AF74" i="6"/>
  <c r="AE74" i="6"/>
  <c r="AD74" i="6"/>
  <c r="AC74" i="6"/>
  <c r="AB74" i="6"/>
  <c r="AA74" i="6"/>
  <c r="Z74" i="6"/>
  <c r="Y74" i="6"/>
  <c r="X74" i="6"/>
  <c r="W74" i="6"/>
  <c r="V74" i="6"/>
  <c r="U74" i="6"/>
  <c r="T74" i="6"/>
  <c r="S74" i="6"/>
  <c r="R74" i="6"/>
  <c r="Q74" i="6"/>
  <c r="P74" i="6"/>
  <c r="O74" i="6"/>
  <c r="N74" i="6"/>
  <c r="M74" i="6"/>
  <c r="L74" i="6"/>
  <c r="K74" i="6"/>
  <c r="J74" i="6"/>
  <c r="I74" i="6"/>
  <c r="H74" i="6"/>
  <c r="E73" i="6"/>
  <c r="H71" i="6"/>
  <c r="I71" i="6" s="1"/>
  <c r="H64" i="6"/>
  <c r="DL58" i="6"/>
  <c r="DK58" i="6"/>
  <c r="DJ58" i="6"/>
  <c r="DI58" i="6"/>
  <c r="DH58" i="6"/>
  <c r="DG58" i="6"/>
  <c r="DF58" i="6"/>
  <c r="DE58" i="6"/>
  <c r="DD58" i="6"/>
  <c r="DC58" i="6"/>
  <c r="DB58" i="6"/>
  <c r="DA58" i="6"/>
  <c r="CZ58" i="6"/>
  <c r="CY58" i="6"/>
  <c r="CX58" i="6"/>
  <c r="CW58" i="6"/>
  <c r="CV58" i="6"/>
  <c r="CU58" i="6"/>
  <c r="CT58" i="6"/>
  <c r="CS58" i="6"/>
  <c r="CR58" i="6"/>
  <c r="CQ58" i="6"/>
  <c r="CP58" i="6"/>
  <c r="CO58" i="6"/>
  <c r="CN58" i="6"/>
  <c r="CM58" i="6"/>
  <c r="CL58" i="6"/>
  <c r="CK58" i="6"/>
  <c r="CJ58" i="6"/>
  <c r="CI58" i="6"/>
  <c r="CH58" i="6"/>
  <c r="CG58" i="6"/>
  <c r="CF58" i="6"/>
  <c r="CE58" i="6"/>
  <c r="CD58" i="6"/>
  <c r="CC58" i="6"/>
  <c r="CB58" i="6"/>
  <c r="CA58" i="6"/>
  <c r="BZ58" i="6"/>
  <c r="BY58" i="6"/>
  <c r="BX58" i="6"/>
  <c r="BW58" i="6"/>
  <c r="BV58" i="6"/>
  <c r="BU58" i="6"/>
  <c r="BT58" i="6"/>
  <c r="BS58" i="6"/>
  <c r="BR58" i="6"/>
  <c r="BQ58" i="6"/>
  <c r="BP58" i="6"/>
  <c r="BO58" i="6"/>
  <c r="BN58" i="6"/>
  <c r="BM58" i="6"/>
  <c r="BL58" i="6"/>
  <c r="BK58" i="6"/>
  <c r="BJ58" i="6"/>
  <c r="BI58" i="6"/>
  <c r="BH58" i="6"/>
  <c r="BG58" i="6"/>
  <c r="BF58" i="6"/>
  <c r="BE58" i="6"/>
  <c r="BD58" i="6"/>
  <c r="BC58" i="6"/>
  <c r="BB58" i="6"/>
  <c r="BA58" i="6"/>
  <c r="AZ58" i="6"/>
  <c r="AY58" i="6"/>
  <c r="AX58" i="6"/>
  <c r="AW58" i="6"/>
  <c r="AV58" i="6"/>
  <c r="AU58" i="6"/>
  <c r="AT58" i="6"/>
  <c r="AS58" i="6"/>
  <c r="AR58" i="6"/>
  <c r="AQ58" i="6"/>
  <c r="AP58" i="6"/>
  <c r="AO58" i="6"/>
  <c r="AN58" i="6"/>
  <c r="AM58" i="6"/>
  <c r="AL58" i="6"/>
  <c r="AK58" i="6"/>
  <c r="AJ58" i="6"/>
  <c r="AI58" i="6"/>
  <c r="AH58" i="6"/>
  <c r="AG58" i="6"/>
  <c r="AF58" i="6"/>
  <c r="AE58" i="6"/>
  <c r="AD58" i="6"/>
  <c r="AC58" i="6"/>
  <c r="AB58" i="6"/>
  <c r="AA58" i="6"/>
  <c r="Z58" i="6"/>
  <c r="Y58" i="6"/>
  <c r="X58" i="6"/>
  <c r="W58" i="6"/>
  <c r="V58" i="6"/>
  <c r="U58" i="6"/>
  <c r="T58" i="6"/>
  <c r="S58" i="6"/>
  <c r="R58" i="6"/>
  <c r="Q58" i="6"/>
  <c r="P58" i="6"/>
  <c r="O58" i="6"/>
  <c r="N58" i="6"/>
  <c r="M58" i="6"/>
  <c r="L58" i="6"/>
  <c r="K58" i="6"/>
  <c r="L56" i="6"/>
  <c r="M56" i="6" s="1"/>
  <c r="N56" i="6" s="1"/>
  <c r="O56" i="6" s="1"/>
  <c r="P56" i="6" s="1"/>
  <c r="Q56" i="6" s="1"/>
  <c r="R56" i="6" s="1"/>
  <c r="S56" i="6" s="1"/>
  <c r="T56" i="6" s="1"/>
  <c r="U56" i="6" s="1"/>
  <c r="V56" i="6" s="1"/>
  <c r="W56" i="6" s="1"/>
  <c r="X56" i="6" s="1"/>
  <c r="Y56" i="6" s="1"/>
  <c r="Z56" i="6" s="1"/>
  <c r="AA56" i="6" s="1"/>
  <c r="AB56" i="6" s="1"/>
  <c r="AC56" i="6" s="1"/>
  <c r="AD56" i="6" s="1"/>
  <c r="AE56" i="6" s="1"/>
  <c r="AF56" i="6" s="1"/>
  <c r="AG56" i="6" s="1"/>
  <c r="AH56" i="6" s="1"/>
  <c r="AI56" i="6" s="1"/>
  <c r="AJ56" i="6" s="1"/>
  <c r="AK56" i="6" s="1"/>
  <c r="AL56" i="6" s="1"/>
  <c r="AM56" i="6" s="1"/>
  <c r="AN56" i="6" s="1"/>
  <c r="AO56" i="6" s="1"/>
  <c r="AP56" i="6" s="1"/>
  <c r="AQ56" i="6" s="1"/>
  <c r="AR56" i="6" s="1"/>
  <c r="AS56" i="6" s="1"/>
  <c r="AT56" i="6" s="1"/>
  <c r="AU56" i="6" s="1"/>
  <c r="AV56" i="6" s="1"/>
  <c r="AW56" i="6" s="1"/>
  <c r="AX56" i="6" s="1"/>
  <c r="AY56" i="6" s="1"/>
  <c r="AZ56" i="6" s="1"/>
  <c r="BA56" i="6" s="1"/>
  <c r="BB56" i="6" s="1"/>
  <c r="BC56" i="6" s="1"/>
  <c r="BD56" i="6" s="1"/>
  <c r="BE56" i="6" s="1"/>
  <c r="BF56" i="6" s="1"/>
  <c r="BG56" i="6" s="1"/>
  <c r="BH56" i="6" s="1"/>
  <c r="BI56" i="6" s="1"/>
  <c r="BJ56" i="6" s="1"/>
  <c r="BK56" i="6" s="1"/>
  <c r="BL56" i="6" s="1"/>
  <c r="BM56" i="6" s="1"/>
  <c r="BN56" i="6" s="1"/>
  <c r="BO56" i="6" s="1"/>
  <c r="BP56" i="6" s="1"/>
  <c r="BQ56" i="6" s="1"/>
  <c r="BR56" i="6" s="1"/>
  <c r="BS56" i="6" s="1"/>
  <c r="BT56" i="6" s="1"/>
  <c r="BU56" i="6" s="1"/>
  <c r="BV56" i="6" s="1"/>
  <c r="BW56" i="6" s="1"/>
  <c r="BX56" i="6" s="1"/>
  <c r="BY56" i="6" s="1"/>
  <c r="BZ56" i="6" s="1"/>
  <c r="CA56" i="6" s="1"/>
  <c r="CB56" i="6" s="1"/>
  <c r="CC56" i="6" s="1"/>
  <c r="CD56" i="6" s="1"/>
  <c r="CE56" i="6" s="1"/>
  <c r="CF56" i="6" s="1"/>
  <c r="CG56" i="6" s="1"/>
  <c r="CH56" i="6" s="1"/>
  <c r="CI56" i="6" s="1"/>
  <c r="CJ56" i="6" s="1"/>
  <c r="CK56" i="6" s="1"/>
  <c r="CL56" i="6" s="1"/>
  <c r="CM56" i="6" s="1"/>
  <c r="CN56" i="6" s="1"/>
  <c r="CO56" i="6" s="1"/>
  <c r="CP56" i="6" s="1"/>
  <c r="CQ56" i="6" s="1"/>
  <c r="CR56" i="6" s="1"/>
  <c r="CS56" i="6" s="1"/>
  <c r="CT56" i="6" s="1"/>
  <c r="CU56" i="6" s="1"/>
  <c r="CV56" i="6" s="1"/>
  <c r="CW56" i="6" s="1"/>
  <c r="CX56" i="6" s="1"/>
  <c r="CY56" i="6" s="1"/>
  <c r="CZ56" i="6" s="1"/>
  <c r="DA56" i="6" s="1"/>
  <c r="DB56" i="6" s="1"/>
  <c r="DC56" i="6" s="1"/>
  <c r="DD56" i="6" s="1"/>
  <c r="DE56" i="6" s="1"/>
  <c r="H56" i="6"/>
  <c r="H57" i="6" s="1"/>
  <c r="I57" i="6" s="1"/>
  <c r="I58" i="6" s="1"/>
  <c r="CN52" i="6"/>
  <c r="CN53" i="6" s="1"/>
  <c r="DE51" i="6"/>
  <c r="DE52" i="6" s="1"/>
  <c r="DD51" i="6"/>
  <c r="DD52" i="6" s="1"/>
  <c r="DD53" i="6" s="1"/>
  <c r="DC51" i="6"/>
  <c r="DC52" i="6" s="1"/>
  <c r="DB51" i="6"/>
  <c r="DB52" i="6" s="1"/>
  <c r="DB53" i="6" s="1"/>
  <c r="DA51" i="6"/>
  <c r="DA52" i="6" s="1"/>
  <c r="DA53" i="6" s="1"/>
  <c r="CZ51" i="6"/>
  <c r="CZ52" i="6" s="1"/>
  <c r="CZ53" i="6" s="1"/>
  <c r="CY51" i="6"/>
  <c r="CY52" i="6" s="1"/>
  <c r="CY53" i="6" s="1"/>
  <c r="CX51" i="6"/>
  <c r="CX52" i="6" s="1"/>
  <c r="CX53" i="6" s="1"/>
  <c r="CW51" i="6"/>
  <c r="CW52" i="6" s="1"/>
  <c r="CV51" i="6"/>
  <c r="CV52" i="6" s="1"/>
  <c r="CV53" i="6" s="1"/>
  <c r="CU51" i="6"/>
  <c r="CU52" i="6" s="1"/>
  <c r="CU53" i="6" s="1"/>
  <c r="CT51" i="6"/>
  <c r="CT52" i="6" s="1"/>
  <c r="CT53" i="6" s="1"/>
  <c r="CS51" i="6"/>
  <c r="CS52" i="6" s="1"/>
  <c r="CS53" i="6" s="1"/>
  <c r="CR51" i="6"/>
  <c r="CR52" i="6" s="1"/>
  <c r="CR53" i="6" s="1"/>
  <c r="CQ51" i="6"/>
  <c r="CQ52" i="6" s="1"/>
  <c r="CQ53" i="6" s="1"/>
  <c r="CP51" i="6"/>
  <c r="CP52" i="6" s="1"/>
  <c r="CP53" i="6" s="1"/>
  <c r="CO51" i="6"/>
  <c r="CO52" i="6" s="1"/>
  <c r="CN51" i="6"/>
  <c r="CM51" i="6"/>
  <c r="CM52" i="6" s="1"/>
  <c r="CM53" i="6" s="1"/>
  <c r="CL51" i="6"/>
  <c r="CL52" i="6" s="1"/>
  <c r="CL53" i="6" s="1"/>
  <c r="CK51" i="6"/>
  <c r="CK52" i="6" s="1"/>
  <c r="CK53" i="6" s="1"/>
  <c r="CJ51" i="6"/>
  <c r="CJ52" i="6" s="1"/>
  <c r="CJ53" i="6" s="1"/>
  <c r="CI51" i="6"/>
  <c r="CI52" i="6" s="1"/>
  <c r="CI53" i="6" s="1"/>
  <c r="CH51" i="6"/>
  <c r="CH52" i="6" s="1"/>
  <c r="CH53" i="6" s="1"/>
  <c r="CG51" i="6"/>
  <c r="CG52" i="6" s="1"/>
  <c r="CF51" i="6"/>
  <c r="CF52" i="6" s="1"/>
  <c r="CF53" i="6" s="1"/>
  <c r="CE51" i="6"/>
  <c r="CE52" i="6" s="1"/>
  <c r="CE53" i="6" s="1"/>
  <c r="CD51" i="6"/>
  <c r="CD52" i="6" s="1"/>
  <c r="CC51" i="6"/>
  <c r="CC52" i="6" s="1"/>
  <c r="CC53" i="6" s="1"/>
  <c r="CB51" i="6"/>
  <c r="CB52" i="6" s="1"/>
  <c r="CB53" i="6" s="1"/>
  <c r="CA51" i="6"/>
  <c r="CA52" i="6" s="1"/>
  <c r="CA53" i="6" s="1"/>
  <c r="BZ51" i="6"/>
  <c r="BZ52" i="6" s="1"/>
  <c r="BZ53" i="6" s="1"/>
  <c r="BY51" i="6"/>
  <c r="BY52" i="6" s="1"/>
  <c r="BX51" i="6"/>
  <c r="BX52" i="6" s="1"/>
  <c r="BX53" i="6" s="1"/>
  <c r="BW51" i="6"/>
  <c r="BW52" i="6" s="1"/>
  <c r="BW53" i="6" s="1"/>
  <c r="BV51" i="6"/>
  <c r="BV52" i="6" s="1"/>
  <c r="BV53" i="6" s="1"/>
  <c r="BU51" i="6"/>
  <c r="BU52" i="6" s="1"/>
  <c r="BU53" i="6" s="1"/>
  <c r="BT51" i="6"/>
  <c r="BT52" i="6" s="1"/>
  <c r="BT53" i="6" s="1"/>
  <c r="BS51" i="6"/>
  <c r="BS52" i="6" s="1"/>
  <c r="BR51" i="6"/>
  <c r="BR52" i="6" s="1"/>
  <c r="BR53" i="6" s="1"/>
  <c r="BQ51" i="6"/>
  <c r="BQ52" i="6" s="1"/>
  <c r="BP51" i="6"/>
  <c r="BP52" i="6" s="1"/>
  <c r="BP53" i="6" s="1"/>
  <c r="BO51" i="6"/>
  <c r="BO52" i="6" s="1"/>
  <c r="BO53" i="6" s="1"/>
  <c r="BN51" i="6"/>
  <c r="BN52" i="6" s="1"/>
  <c r="BN53" i="6" s="1"/>
  <c r="BM51" i="6"/>
  <c r="BM52" i="6" s="1"/>
  <c r="BM53" i="6" s="1"/>
  <c r="BL51" i="6"/>
  <c r="BL52" i="6" s="1"/>
  <c r="BL53" i="6" s="1"/>
  <c r="BK51" i="6"/>
  <c r="BK52" i="6" s="1"/>
  <c r="BJ51" i="6"/>
  <c r="BJ52" i="6" s="1"/>
  <c r="BJ53" i="6" s="1"/>
  <c r="BI51" i="6"/>
  <c r="BI52" i="6" s="1"/>
  <c r="BH51" i="6"/>
  <c r="BH52" i="6" s="1"/>
  <c r="BH53" i="6" s="1"/>
  <c r="BG51" i="6"/>
  <c r="BG52" i="6" s="1"/>
  <c r="BG53" i="6" s="1"/>
  <c r="BF51" i="6"/>
  <c r="BF52" i="6" s="1"/>
  <c r="BF53" i="6" s="1"/>
  <c r="BE51" i="6"/>
  <c r="BE52" i="6" s="1"/>
  <c r="BD51" i="6"/>
  <c r="BD52" i="6" s="1"/>
  <c r="BD53" i="6" s="1"/>
  <c r="BC51" i="6"/>
  <c r="BC52" i="6" s="1"/>
  <c r="BC53" i="6" s="1"/>
  <c r="BB51" i="6"/>
  <c r="BB52" i="6" s="1"/>
  <c r="BB53" i="6" s="1"/>
  <c r="BA51" i="6"/>
  <c r="BA52" i="6" s="1"/>
  <c r="AZ51" i="6"/>
  <c r="AZ52" i="6" s="1"/>
  <c r="AZ53" i="6" s="1"/>
  <c r="AY51" i="6"/>
  <c r="AY52" i="6" s="1"/>
  <c r="AY53" i="6" s="1"/>
  <c r="AX51" i="6"/>
  <c r="AX52" i="6" s="1"/>
  <c r="AX53" i="6" s="1"/>
  <c r="AW51" i="6"/>
  <c r="AW52" i="6" s="1"/>
  <c r="AW53" i="6" s="1"/>
  <c r="AV51" i="6"/>
  <c r="AV52" i="6" s="1"/>
  <c r="AV53" i="6" s="1"/>
  <c r="AU51" i="6"/>
  <c r="AU52" i="6" s="1"/>
  <c r="AU53" i="6" s="1"/>
  <c r="AT51" i="6"/>
  <c r="AT52" i="6" s="1"/>
  <c r="AT53" i="6" s="1"/>
  <c r="AS51" i="6"/>
  <c r="AS52" i="6" s="1"/>
  <c r="AS53" i="6" s="1"/>
  <c r="AR51" i="6"/>
  <c r="AR52" i="6" s="1"/>
  <c r="AR53" i="6" s="1"/>
  <c r="AQ51" i="6"/>
  <c r="AQ52" i="6" s="1"/>
  <c r="AQ53" i="6" s="1"/>
  <c r="AP51" i="6"/>
  <c r="AP52" i="6" s="1"/>
  <c r="AP53" i="6" s="1"/>
  <c r="AO51" i="6"/>
  <c r="AO52" i="6" s="1"/>
  <c r="AN51" i="6"/>
  <c r="AN52" i="6" s="1"/>
  <c r="AN53" i="6" s="1"/>
  <c r="AM51" i="6"/>
  <c r="AM52" i="6" s="1"/>
  <c r="AL51" i="6"/>
  <c r="AL52" i="6" s="1"/>
  <c r="AL53" i="6" s="1"/>
  <c r="AK51" i="6"/>
  <c r="AK52" i="6" s="1"/>
  <c r="AJ51" i="6"/>
  <c r="AJ52" i="6" s="1"/>
  <c r="AJ53" i="6" s="1"/>
  <c r="AI51" i="6"/>
  <c r="AI52" i="6" s="1"/>
  <c r="AI53" i="6" s="1"/>
  <c r="AH51" i="6"/>
  <c r="AH52" i="6" s="1"/>
  <c r="AH53" i="6" s="1"/>
  <c r="AG51" i="6"/>
  <c r="AG52" i="6" s="1"/>
  <c r="AF51" i="6"/>
  <c r="AF52" i="6" s="1"/>
  <c r="AF53" i="6" s="1"/>
  <c r="AE51" i="6"/>
  <c r="AE52" i="6" s="1"/>
  <c r="AD51" i="6"/>
  <c r="AD52" i="6" s="1"/>
  <c r="AD53" i="6" s="1"/>
  <c r="AC51" i="6"/>
  <c r="AC52" i="6" s="1"/>
  <c r="AB51" i="6"/>
  <c r="AB52" i="6" s="1"/>
  <c r="AB53" i="6" s="1"/>
  <c r="AA51" i="6"/>
  <c r="AA52" i="6" s="1"/>
  <c r="AA53" i="6" s="1"/>
  <c r="Z51" i="6"/>
  <c r="Z52" i="6" s="1"/>
  <c r="Z53" i="6" s="1"/>
  <c r="Y51" i="6"/>
  <c r="Y52" i="6" s="1"/>
  <c r="X51" i="6"/>
  <c r="X52" i="6" s="1"/>
  <c r="X53" i="6" s="1"/>
  <c r="W51" i="6"/>
  <c r="W52" i="6" s="1"/>
  <c r="W53" i="6" s="1"/>
  <c r="V51" i="6"/>
  <c r="V52" i="6" s="1"/>
  <c r="V53" i="6" s="1"/>
  <c r="U51" i="6"/>
  <c r="U52" i="6" s="1"/>
  <c r="T51" i="6"/>
  <c r="T52" i="6" s="1"/>
  <c r="T53" i="6" s="1"/>
  <c r="S51" i="6"/>
  <c r="S52" i="6" s="1"/>
  <c r="S53" i="6" s="1"/>
  <c r="R51" i="6"/>
  <c r="R52" i="6" s="1"/>
  <c r="Q51" i="6"/>
  <c r="Q52" i="6" s="1"/>
  <c r="Q53" i="6" s="1"/>
  <c r="P51" i="6"/>
  <c r="P52" i="6" s="1"/>
  <c r="P53" i="6" s="1"/>
  <c r="O51" i="6"/>
  <c r="O52" i="6" s="1"/>
  <c r="O53" i="6" s="1"/>
  <c r="N51" i="6"/>
  <c r="N52" i="6" s="1"/>
  <c r="N53" i="6" s="1"/>
  <c r="M51" i="6"/>
  <c r="M52" i="6" s="1"/>
  <c r="M53" i="6" s="1"/>
  <c r="L51" i="6"/>
  <c r="L52" i="6" s="1"/>
  <c r="L53" i="6" s="1"/>
  <c r="K51" i="6"/>
  <c r="K52" i="6" s="1"/>
  <c r="K53" i="6" s="1"/>
  <c r="J51" i="6"/>
  <c r="J52" i="6" s="1"/>
  <c r="J53" i="6" s="1"/>
  <c r="I51" i="6"/>
  <c r="I52" i="6" s="1"/>
  <c r="I53" i="6" s="1"/>
  <c r="H51" i="6"/>
  <c r="H52" i="6" s="1"/>
  <c r="H53" i="6" s="1"/>
  <c r="I49" i="6"/>
  <c r="J49" i="6" s="1"/>
  <c r="K49" i="6" s="1"/>
  <c r="L49" i="6" s="1"/>
  <c r="M49" i="6" s="1"/>
  <c r="N49" i="6" s="1"/>
  <c r="O49" i="6" s="1"/>
  <c r="P49" i="6" s="1"/>
  <c r="Q49" i="6" s="1"/>
  <c r="R49" i="6" s="1"/>
  <c r="S49" i="6" s="1"/>
  <c r="T49" i="6" s="1"/>
  <c r="U49" i="6" s="1"/>
  <c r="V49" i="6" s="1"/>
  <c r="W49" i="6" s="1"/>
  <c r="X49" i="6" s="1"/>
  <c r="Y49" i="6" s="1"/>
  <c r="Z49" i="6" s="1"/>
  <c r="AA49" i="6" s="1"/>
  <c r="AB49" i="6" s="1"/>
  <c r="AC49" i="6" s="1"/>
  <c r="AD49" i="6" s="1"/>
  <c r="AE49" i="6" s="1"/>
  <c r="AF49" i="6" s="1"/>
  <c r="AG49" i="6" s="1"/>
  <c r="AH49" i="6" s="1"/>
  <c r="AI49" i="6" s="1"/>
  <c r="AJ49" i="6" s="1"/>
  <c r="AK49" i="6" s="1"/>
  <c r="AL49" i="6" s="1"/>
  <c r="AM49" i="6" s="1"/>
  <c r="AN49" i="6" s="1"/>
  <c r="AO49" i="6" s="1"/>
  <c r="AP49" i="6" s="1"/>
  <c r="AQ49" i="6" s="1"/>
  <c r="AR49" i="6" s="1"/>
  <c r="AS49" i="6" s="1"/>
  <c r="AT49" i="6" s="1"/>
  <c r="AU49" i="6" s="1"/>
  <c r="AV49" i="6" s="1"/>
  <c r="AW49" i="6" s="1"/>
  <c r="AX49" i="6" s="1"/>
  <c r="AY49" i="6" s="1"/>
  <c r="AZ49" i="6" s="1"/>
  <c r="BA49" i="6" s="1"/>
  <c r="BB49" i="6" s="1"/>
  <c r="BC49" i="6" s="1"/>
  <c r="BD49" i="6" s="1"/>
  <c r="BE49" i="6" s="1"/>
  <c r="BF49" i="6" s="1"/>
  <c r="BG49" i="6" s="1"/>
  <c r="BH49" i="6" s="1"/>
  <c r="BI49" i="6" s="1"/>
  <c r="BJ49" i="6" s="1"/>
  <c r="BK49" i="6" s="1"/>
  <c r="BL49" i="6" s="1"/>
  <c r="BM49" i="6" s="1"/>
  <c r="BN49" i="6" s="1"/>
  <c r="BO49" i="6" s="1"/>
  <c r="BP49" i="6" s="1"/>
  <c r="BQ49" i="6" s="1"/>
  <c r="BR49" i="6" s="1"/>
  <c r="BS49" i="6" s="1"/>
  <c r="BT49" i="6" s="1"/>
  <c r="BU49" i="6" s="1"/>
  <c r="BV49" i="6" s="1"/>
  <c r="BW49" i="6" s="1"/>
  <c r="BX49" i="6" s="1"/>
  <c r="BY49" i="6" s="1"/>
  <c r="BZ49" i="6" s="1"/>
  <c r="CA49" i="6" s="1"/>
  <c r="CB49" i="6" s="1"/>
  <c r="CC49" i="6" s="1"/>
  <c r="CD49" i="6" s="1"/>
  <c r="CE49" i="6" s="1"/>
  <c r="CF49" i="6" s="1"/>
  <c r="CG49" i="6" s="1"/>
  <c r="CH49" i="6" s="1"/>
  <c r="CI49" i="6" s="1"/>
  <c r="CJ49" i="6" s="1"/>
  <c r="CK49" i="6" s="1"/>
  <c r="CL49" i="6" s="1"/>
  <c r="CM49" i="6" s="1"/>
  <c r="CN49" i="6" s="1"/>
  <c r="CO49" i="6" s="1"/>
  <c r="CP49" i="6" s="1"/>
  <c r="CQ49" i="6" s="1"/>
  <c r="CR49" i="6" s="1"/>
  <c r="CS49" i="6" s="1"/>
  <c r="CT49" i="6" s="1"/>
  <c r="CU49" i="6" s="1"/>
  <c r="CV49" i="6" s="1"/>
  <c r="CW49" i="6" s="1"/>
  <c r="CX49" i="6" s="1"/>
  <c r="CY49" i="6" s="1"/>
  <c r="CZ49" i="6" s="1"/>
  <c r="DA49" i="6" s="1"/>
  <c r="DB49" i="6" s="1"/>
  <c r="DC49" i="6" s="1"/>
  <c r="DD49" i="6" s="1"/>
  <c r="DE49" i="6" s="1"/>
  <c r="G47" i="6"/>
  <c r="H47" i="6" s="1"/>
  <c r="DE46" i="6"/>
  <c r="DD46" i="6"/>
  <c r="DC46" i="6"/>
  <c r="DB46" i="6"/>
  <c r="DA46" i="6"/>
  <c r="CZ46" i="6"/>
  <c r="CY46" i="6"/>
  <c r="CX46" i="6"/>
  <c r="CW46" i="6"/>
  <c r="CV46" i="6"/>
  <c r="CU46" i="6"/>
  <c r="CT46" i="6"/>
  <c r="CS46" i="6"/>
  <c r="CR46" i="6"/>
  <c r="CQ46" i="6"/>
  <c r="CP46" i="6"/>
  <c r="CO46" i="6"/>
  <c r="CN46" i="6"/>
  <c r="CM46" i="6"/>
  <c r="CL46" i="6"/>
  <c r="CK46" i="6"/>
  <c r="CJ46" i="6"/>
  <c r="CI46" i="6"/>
  <c r="CH46" i="6"/>
  <c r="CG46" i="6"/>
  <c r="CF46" i="6"/>
  <c r="CE46" i="6"/>
  <c r="CD46" i="6"/>
  <c r="CC46" i="6"/>
  <c r="CB46" i="6"/>
  <c r="CA46" i="6"/>
  <c r="BZ46" i="6"/>
  <c r="BY46" i="6"/>
  <c r="BX46" i="6"/>
  <c r="BW46" i="6"/>
  <c r="BV46" i="6"/>
  <c r="BU46" i="6"/>
  <c r="BT46" i="6"/>
  <c r="BS46" i="6"/>
  <c r="BR46" i="6"/>
  <c r="BQ46" i="6"/>
  <c r="BP46" i="6"/>
  <c r="BO46" i="6"/>
  <c r="BN46" i="6"/>
  <c r="BM46" i="6"/>
  <c r="BL46" i="6"/>
  <c r="BK46" i="6"/>
  <c r="BJ46" i="6"/>
  <c r="BI46" i="6"/>
  <c r="BH46" i="6"/>
  <c r="BG46" i="6"/>
  <c r="BF46" i="6"/>
  <c r="BE46" i="6"/>
  <c r="BD46" i="6"/>
  <c r="BC46" i="6"/>
  <c r="BB46" i="6"/>
  <c r="BA46" i="6"/>
  <c r="AZ46" i="6"/>
  <c r="AY46" i="6"/>
  <c r="AX46" i="6"/>
  <c r="AW46" i="6"/>
  <c r="AV46" i="6"/>
  <c r="AU46" i="6"/>
  <c r="AT46" i="6"/>
  <c r="AS46" i="6"/>
  <c r="AR46" i="6"/>
  <c r="AQ46" i="6"/>
  <c r="AP46" i="6"/>
  <c r="AO46" i="6"/>
  <c r="AN46" i="6"/>
  <c r="AM46" i="6"/>
  <c r="AL46" i="6"/>
  <c r="AK46" i="6"/>
  <c r="AJ46" i="6"/>
  <c r="AI46" i="6"/>
  <c r="AH46" i="6"/>
  <c r="AG46" i="6"/>
  <c r="AF46" i="6"/>
  <c r="AE46" i="6"/>
  <c r="AD46" i="6"/>
  <c r="AC46" i="6"/>
  <c r="AB46" i="6"/>
  <c r="AA46" i="6"/>
  <c r="Z46" i="6"/>
  <c r="Y46" i="6"/>
  <c r="X46" i="6"/>
  <c r="W46" i="6"/>
  <c r="V46" i="6"/>
  <c r="U46" i="6"/>
  <c r="T46" i="6"/>
  <c r="S46" i="6"/>
  <c r="R46" i="6"/>
  <c r="Q46" i="6"/>
  <c r="P46" i="6"/>
  <c r="O46" i="6"/>
  <c r="N46" i="6"/>
  <c r="M46" i="6"/>
  <c r="L46" i="6"/>
  <c r="K46" i="6"/>
  <c r="J46" i="6"/>
  <c r="I46" i="6"/>
  <c r="H46" i="6"/>
  <c r="H43" i="6"/>
  <c r="I42" i="6"/>
  <c r="I43" i="6" s="1"/>
  <c r="E32" i="6"/>
  <c r="H32" i="6" s="1"/>
  <c r="I32" i="6" s="1"/>
  <c r="H29" i="6"/>
  <c r="I27" i="6"/>
  <c r="I29" i="6" s="1"/>
  <c r="G26" i="6"/>
  <c r="I24" i="6"/>
  <c r="J24" i="6" s="1"/>
  <c r="K24" i="6" s="1"/>
  <c r="L24" i="6" s="1"/>
  <c r="M24" i="6" s="1"/>
  <c r="N24" i="6" s="1"/>
  <c r="O24" i="6" s="1"/>
  <c r="P24" i="6" s="1"/>
  <c r="Q24" i="6" s="1"/>
  <c r="R24" i="6" s="1"/>
  <c r="S24" i="6" s="1"/>
  <c r="T24" i="6" s="1"/>
  <c r="U24" i="6" s="1"/>
  <c r="V24" i="6" s="1"/>
  <c r="W24" i="6" s="1"/>
  <c r="X24" i="6" s="1"/>
  <c r="Y24" i="6" s="1"/>
  <c r="Z24" i="6" s="1"/>
  <c r="AA24" i="6" s="1"/>
  <c r="AB24" i="6" s="1"/>
  <c r="AC24" i="6" s="1"/>
  <c r="AD24" i="6" s="1"/>
  <c r="AE24" i="6" s="1"/>
  <c r="AF24" i="6" s="1"/>
  <c r="AG24" i="6" s="1"/>
  <c r="AH24" i="6" s="1"/>
  <c r="AI24" i="6" s="1"/>
  <c r="AJ24" i="6" s="1"/>
  <c r="AK24" i="6" s="1"/>
  <c r="AL24" i="6" s="1"/>
  <c r="AM24" i="6" s="1"/>
  <c r="AN24" i="6" s="1"/>
  <c r="AO24" i="6" s="1"/>
  <c r="AP24" i="6" s="1"/>
  <c r="AQ24" i="6" s="1"/>
  <c r="AR24" i="6" s="1"/>
  <c r="AS24" i="6" s="1"/>
  <c r="AT24" i="6" s="1"/>
  <c r="AU24" i="6" s="1"/>
  <c r="AV24" i="6" s="1"/>
  <c r="AW24" i="6" s="1"/>
  <c r="AX24" i="6" s="1"/>
  <c r="AY24" i="6" s="1"/>
  <c r="AZ24" i="6" s="1"/>
  <c r="BA24" i="6" s="1"/>
  <c r="BB24" i="6" s="1"/>
  <c r="BC24" i="6" s="1"/>
  <c r="BD24" i="6" s="1"/>
  <c r="BE24" i="6" s="1"/>
  <c r="BF24" i="6" s="1"/>
  <c r="BG24" i="6" s="1"/>
  <c r="BH24" i="6" s="1"/>
  <c r="BI24" i="6" s="1"/>
  <c r="BJ24" i="6" s="1"/>
  <c r="BK24" i="6" s="1"/>
  <c r="BL24" i="6" s="1"/>
  <c r="BM24" i="6" s="1"/>
  <c r="BN24" i="6" s="1"/>
  <c r="BO24" i="6" s="1"/>
  <c r="BP24" i="6" s="1"/>
  <c r="BQ24" i="6" s="1"/>
  <c r="BR24" i="6" s="1"/>
  <c r="BS24" i="6" s="1"/>
  <c r="BT24" i="6" s="1"/>
  <c r="BU24" i="6" s="1"/>
  <c r="BV24" i="6" s="1"/>
  <c r="BW24" i="6" s="1"/>
  <c r="BX24" i="6" s="1"/>
  <c r="BY24" i="6" s="1"/>
  <c r="BZ24" i="6" s="1"/>
  <c r="CA24" i="6" s="1"/>
  <c r="CB24" i="6" s="1"/>
  <c r="CC24" i="6" s="1"/>
  <c r="CD24" i="6" s="1"/>
  <c r="CE24" i="6" s="1"/>
  <c r="CF24" i="6" s="1"/>
  <c r="CG24" i="6" s="1"/>
  <c r="CH24" i="6" s="1"/>
  <c r="CI24" i="6" s="1"/>
  <c r="CJ24" i="6" s="1"/>
  <c r="CK24" i="6" s="1"/>
  <c r="CL24" i="6" s="1"/>
  <c r="CM24" i="6" s="1"/>
  <c r="CN24" i="6" s="1"/>
  <c r="CO24" i="6" s="1"/>
  <c r="CP24" i="6" s="1"/>
  <c r="CQ24" i="6" s="1"/>
  <c r="CR24" i="6" s="1"/>
  <c r="CS24" i="6" s="1"/>
  <c r="CT24" i="6" s="1"/>
  <c r="CU24" i="6" s="1"/>
  <c r="CV24" i="6" s="1"/>
  <c r="CW24" i="6" s="1"/>
  <c r="CX24" i="6" s="1"/>
  <c r="CY24" i="6" s="1"/>
  <c r="CZ24" i="6" s="1"/>
  <c r="DA24" i="6" s="1"/>
  <c r="DB24" i="6" s="1"/>
  <c r="DC24" i="6" s="1"/>
  <c r="DD24" i="6" s="1"/>
  <c r="DE24" i="6" s="1"/>
  <c r="DL23" i="6"/>
  <c r="DL68" i="6" s="1"/>
  <c r="DK23" i="6"/>
  <c r="DK68" i="6" s="1"/>
  <c r="DJ23" i="6"/>
  <c r="DJ68" i="6" s="1"/>
  <c r="DI23" i="6"/>
  <c r="DI68" i="6" s="1"/>
  <c r="DH23" i="6"/>
  <c r="DH68" i="6" s="1"/>
  <c r="DG23" i="6"/>
  <c r="DG68" i="6" s="1"/>
  <c r="DF23" i="6"/>
  <c r="DF68" i="6" s="1"/>
  <c r="DE21" i="6"/>
  <c r="DD21" i="6"/>
  <c r="DC21" i="6"/>
  <c r="DB21" i="6"/>
  <c r="DA21" i="6"/>
  <c r="CZ21" i="6"/>
  <c r="CY21" i="6"/>
  <c r="CX21" i="6"/>
  <c r="CW21" i="6"/>
  <c r="CV21" i="6"/>
  <c r="CU21" i="6"/>
  <c r="CT21" i="6"/>
  <c r="CS21" i="6"/>
  <c r="CR21" i="6"/>
  <c r="CQ21" i="6"/>
  <c r="CP21" i="6"/>
  <c r="CO21" i="6"/>
  <c r="CN21" i="6"/>
  <c r="CM21" i="6"/>
  <c r="CL21" i="6"/>
  <c r="CK21" i="6"/>
  <c r="CJ21" i="6"/>
  <c r="CI21" i="6"/>
  <c r="CH21" i="6"/>
  <c r="CG21" i="6"/>
  <c r="CF21" i="6"/>
  <c r="CE21" i="6"/>
  <c r="CD21" i="6"/>
  <c r="CC21" i="6"/>
  <c r="CB21" i="6"/>
  <c r="CA21" i="6"/>
  <c r="BZ21" i="6"/>
  <c r="BY21" i="6"/>
  <c r="BX21" i="6"/>
  <c r="BW21" i="6"/>
  <c r="BV21" i="6"/>
  <c r="BU21" i="6"/>
  <c r="BT21" i="6"/>
  <c r="BS21" i="6"/>
  <c r="BR21" i="6"/>
  <c r="BQ21" i="6"/>
  <c r="BP21" i="6"/>
  <c r="BO21" i="6"/>
  <c r="BN21" i="6"/>
  <c r="BM21" i="6"/>
  <c r="BL21" i="6"/>
  <c r="BK21" i="6"/>
  <c r="BJ21" i="6"/>
  <c r="BI21" i="6"/>
  <c r="BH21" i="6"/>
  <c r="BG21" i="6"/>
  <c r="BF21" i="6"/>
  <c r="BE21" i="6"/>
  <c r="BD21" i="6"/>
  <c r="BC21" i="6"/>
  <c r="BB21" i="6"/>
  <c r="BA21" i="6"/>
  <c r="AZ21" i="6"/>
  <c r="AY21" i="6"/>
  <c r="AX21" i="6"/>
  <c r="AW21" i="6"/>
  <c r="AV21" i="6"/>
  <c r="AU21" i="6"/>
  <c r="AT21" i="6"/>
  <c r="AS21" i="6"/>
  <c r="AR21" i="6"/>
  <c r="AQ21" i="6"/>
  <c r="AP21" i="6"/>
  <c r="AO21" i="6"/>
  <c r="AN21" i="6"/>
  <c r="AM21" i="6"/>
  <c r="AL21" i="6"/>
  <c r="AK21" i="6"/>
  <c r="AJ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0" i="6"/>
  <c r="H18" i="6"/>
  <c r="I18" i="6" s="1"/>
  <c r="J18" i="6" s="1"/>
  <c r="K18" i="6" s="1"/>
  <c r="L18" i="6" s="1"/>
  <c r="M18" i="6" s="1"/>
  <c r="N18" i="6" s="1"/>
  <c r="O18" i="6" s="1"/>
  <c r="P18" i="6" s="1"/>
  <c r="Q18" i="6" s="1"/>
  <c r="R18" i="6" s="1"/>
  <c r="S18" i="6" s="1"/>
  <c r="T18" i="6" s="1"/>
  <c r="U18" i="6" s="1"/>
  <c r="V18" i="6" s="1"/>
  <c r="W18" i="6" s="1"/>
  <c r="K17" i="6"/>
  <c r="AN16" i="6"/>
  <c r="AN17" i="6" s="1"/>
  <c r="I16" i="6"/>
  <c r="I17" i="6" s="1"/>
  <c r="DE15" i="6"/>
  <c r="DE16" i="6" s="1"/>
  <c r="DE17" i="6" s="1"/>
  <c r="DD15" i="6"/>
  <c r="DD16" i="6" s="1"/>
  <c r="DD17" i="6" s="1"/>
  <c r="DC15" i="6"/>
  <c r="DC16" i="6" s="1"/>
  <c r="DC17" i="6" s="1"/>
  <c r="DB15" i="6"/>
  <c r="DB16" i="6" s="1"/>
  <c r="DB17" i="6" s="1"/>
  <c r="DA15" i="6"/>
  <c r="DA16" i="6" s="1"/>
  <c r="DA17" i="6" s="1"/>
  <c r="CZ15" i="6"/>
  <c r="CZ16" i="6" s="1"/>
  <c r="CZ17" i="6" s="1"/>
  <c r="CY15" i="6"/>
  <c r="CY16" i="6" s="1"/>
  <c r="CY17" i="6" s="1"/>
  <c r="CX15" i="6"/>
  <c r="CX16" i="6" s="1"/>
  <c r="CX17" i="6" s="1"/>
  <c r="CW15" i="6"/>
  <c r="CW16" i="6" s="1"/>
  <c r="CW17" i="6" s="1"/>
  <c r="CV15" i="6"/>
  <c r="CV16" i="6" s="1"/>
  <c r="CV17" i="6" s="1"/>
  <c r="CU15" i="6"/>
  <c r="CU16" i="6" s="1"/>
  <c r="CU17" i="6" s="1"/>
  <c r="CT15" i="6"/>
  <c r="CT16" i="6" s="1"/>
  <c r="CT17" i="6" s="1"/>
  <c r="CS15" i="6"/>
  <c r="CS16" i="6" s="1"/>
  <c r="CS17" i="6" s="1"/>
  <c r="CR15" i="6"/>
  <c r="CR16" i="6" s="1"/>
  <c r="CR17" i="6" s="1"/>
  <c r="CQ15" i="6"/>
  <c r="CQ16" i="6" s="1"/>
  <c r="CQ17" i="6" s="1"/>
  <c r="CP15" i="6"/>
  <c r="CP16" i="6" s="1"/>
  <c r="CP17" i="6" s="1"/>
  <c r="CO15" i="6"/>
  <c r="CO16" i="6" s="1"/>
  <c r="CO17" i="6" s="1"/>
  <c r="CN15" i="6"/>
  <c r="CN16" i="6" s="1"/>
  <c r="CN17" i="6" s="1"/>
  <c r="CM15" i="6"/>
  <c r="CM16" i="6" s="1"/>
  <c r="CM17" i="6" s="1"/>
  <c r="CL15" i="6"/>
  <c r="CL16" i="6" s="1"/>
  <c r="CL17" i="6" s="1"/>
  <c r="CK15" i="6"/>
  <c r="CK16" i="6" s="1"/>
  <c r="CK17" i="6" s="1"/>
  <c r="CJ15" i="6"/>
  <c r="CJ16" i="6" s="1"/>
  <c r="CJ17" i="6" s="1"/>
  <c r="CI15" i="6"/>
  <c r="CI16" i="6" s="1"/>
  <c r="CI17" i="6" s="1"/>
  <c r="CH15" i="6"/>
  <c r="CH16" i="6" s="1"/>
  <c r="CH17" i="6" s="1"/>
  <c r="CG15" i="6"/>
  <c r="CG16" i="6" s="1"/>
  <c r="CG17" i="6" s="1"/>
  <c r="CF15" i="6"/>
  <c r="CF16" i="6" s="1"/>
  <c r="CF17" i="6" s="1"/>
  <c r="CE15" i="6"/>
  <c r="CE16" i="6" s="1"/>
  <c r="CE17" i="6" s="1"/>
  <c r="CD15" i="6"/>
  <c r="CD16" i="6" s="1"/>
  <c r="CD17" i="6" s="1"/>
  <c r="CC15" i="6"/>
  <c r="CC16" i="6" s="1"/>
  <c r="CC17" i="6" s="1"/>
  <c r="CB15" i="6"/>
  <c r="CB16" i="6" s="1"/>
  <c r="CB17" i="6" s="1"/>
  <c r="CA15" i="6"/>
  <c r="CA16" i="6" s="1"/>
  <c r="CA17" i="6" s="1"/>
  <c r="BZ15" i="6"/>
  <c r="BZ16" i="6" s="1"/>
  <c r="BZ17" i="6" s="1"/>
  <c r="BY15" i="6"/>
  <c r="BY16" i="6" s="1"/>
  <c r="BY17" i="6" s="1"/>
  <c r="BX15" i="6"/>
  <c r="BX16" i="6" s="1"/>
  <c r="BX17" i="6" s="1"/>
  <c r="BW15" i="6"/>
  <c r="BW16" i="6" s="1"/>
  <c r="BW17" i="6" s="1"/>
  <c r="BV15" i="6"/>
  <c r="BV16" i="6" s="1"/>
  <c r="BV17" i="6" s="1"/>
  <c r="BU15" i="6"/>
  <c r="BU16" i="6" s="1"/>
  <c r="BU17" i="6" s="1"/>
  <c r="BT15" i="6"/>
  <c r="BT16" i="6" s="1"/>
  <c r="BT17" i="6" s="1"/>
  <c r="BS15" i="6"/>
  <c r="BS16" i="6" s="1"/>
  <c r="BS17" i="6" s="1"/>
  <c r="BR15" i="6"/>
  <c r="BR16" i="6" s="1"/>
  <c r="BR17" i="6" s="1"/>
  <c r="BQ15" i="6"/>
  <c r="BQ16" i="6" s="1"/>
  <c r="BQ17" i="6" s="1"/>
  <c r="BP15" i="6"/>
  <c r="BP16" i="6" s="1"/>
  <c r="BP17" i="6" s="1"/>
  <c r="BO15" i="6"/>
  <c r="BO16" i="6" s="1"/>
  <c r="BO17" i="6" s="1"/>
  <c r="BN15" i="6"/>
  <c r="BN16" i="6" s="1"/>
  <c r="BN17" i="6" s="1"/>
  <c r="BM15" i="6"/>
  <c r="BM16" i="6" s="1"/>
  <c r="BM17" i="6" s="1"/>
  <c r="BL15" i="6"/>
  <c r="BL16" i="6" s="1"/>
  <c r="BL17" i="6" s="1"/>
  <c r="BK15" i="6"/>
  <c r="BK16" i="6" s="1"/>
  <c r="BK17" i="6" s="1"/>
  <c r="BJ15" i="6"/>
  <c r="BJ16" i="6" s="1"/>
  <c r="BJ17" i="6" s="1"/>
  <c r="BI15" i="6"/>
  <c r="BI16" i="6" s="1"/>
  <c r="BI17" i="6" s="1"/>
  <c r="BH15" i="6"/>
  <c r="BH16" i="6" s="1"/>
  <c r="BH17" i="6" s="1"/>
  <c r="BG15" i="6"/>
  <c r="BG16" i="6" s="1"/>
  <c r="BG17" i="6" s="1"/>
  <c r="BF15" i="6"/>
  <c r="BF16" i="6" s="1"/>
  <c r="BF17" i="6" s="1"/>
  <c r="BE15" i="6"/>
  <c r="BE16" i="6" s="1"/>
  <c r="BE17" i="6" s="1"/>
  <c r="BD15" i="6"/>
  <c r="BD16" i="6" s="1"/>
  <c r="BD17" i="6" s="1"/>
  <c r="BC15" i="6"/>
  <c r="BC16" i="6" s="1"/>
  <c r="BC17" i="6" s="1"/>
  <c r="BB15" i="6"/>
  <c r="BB16" i="6" s="1"/>
  <c r="BB17" i="6" s="1"/>
  <c r="BA15" i="6"/>
  <c r="BA16" i="6" s="1"/>
  <c r="BA17" i="6" s="1"/>
  <c r="AZ15" i="6"/>
  <c r="AZ16" i="6" s="1"/>
  <c r="AZ17" i="6" s="1"/>
  <c r="AY15" i="6"/>
  <c r="AY16" i="6" s="1"/>
  <c r="AY17" i="6" s="1"/>
  <c r="AX15" i="6"/>
  <c r="AX16" i="6" s="1"/>
  <c r="AX17" i="6" s="1"/>
  <c r="AW15" i="6"/>
  <c r="AW16" i="6" s="1"/>
  <c r="AW17" i="6" s="1"/>
  <c r="AV15" i="6"/>
  <c r="AV16" i="6" s="1"/>
  <c r="AV17" i="6" s="1"/>
  <c r="AU15" i="6"/>
  <c r="AU16" i="6" s="1"/>
  <c r="AU17" i="6" s="1"/>
  <c r="AT15" i="6"/>
  <c r="AT16" i="6" s="1"/>
  <c r="AT17" i="6" s="1"/>
  <c r="AS15" i="6"/>
  <c r="AS16" i="6" s="1"/>
  <c r="AS17" i="6" s="1"/>
  <c r="AR15" i="6"/>
  <c r="AR16" i="6" s="1"/>
  <c r="AR17" i="6" s="1"/>
  <c r="AQ15" i="6"/>
  <c r="AQ16" i="6" s="1"/>
  <c r="AQ17" i="6" s="1"/>
  <c r="AP15" i="6"/>
  <c r="AP16" i="6" s="1"/>
  <c r="AP17" i="6" s="1"/>
  <c r="AO15" i="6"/>
  <c r="AO16" i="6" s="1"/>
  <c r="AO17" i="6" s="1"/>
  <c r="AN15" i="6"/>
  <c r="AM15" i="6"/>
  <c r="AM16" i="6" s="1"/>
  <c r="AM17" i="6" s="1"/>
  <c r="AL15" i="6"/>
  <c r="AL16" i="6" s="1"/>
  <c r="AL17" i="6" s="1"/>
  <c r="AK15" i="6"/>
  <c r="AK16" i="6" s="1"/>
  <c r="AK17" i="6" s="1"/>
  <c r="AJ15" i="6"/>
  <c r="AJ16" i="6" s="1"/>
  <c r="AJ17" i="6" s="1"/>
  <c r="AI15" i="6"/>
  <c r="AI16" i="6" s="1"/>
  <c r="AI17" i="6" s="1"/>
  <c r="AH15" i="6"/>
  <c r="AH16" i="6" s="1"/>
  <c r="AH17" i="6" s="1"/>
  <c r="AG15" i="6"/>
  <c r="AG16" i="6" s="1"/>
  <c r="AG17" i="6" s="1"/>
  <c r="AF15" i="6"/>
  <c r="AF16" i="6" s="1"/>
  <c r="AF17" i="6" s="1"/>
  <c r="AE15" i="6"/>
  <c r="AE16" i="6" s="1"/>
  <c r="AE17" i="6" s="1"/>
  <c r="AD15" i="6"/>
  <c r="AD16" i="6" s="1"/>
  <c r="AD17" i="6" s="1"/>
  <c r="AC15" i="6"/>
  <c r="AC16" i="6" s="1"/>
  <c r="AC17" i="6" s="1"/>
  <c r="AB15" i="6"/>
  <c r="AB16" i="6" s="1"/>
  <c r="AB17" i="6" s="1"/>
  <c r="AA15" i="6"/>
  <c r="AA16" i="6" s="1"/>
  <c r="AA17" i="6" s="1"/>
  <c r="Z15" i="6"/>
  <c r="Z16" i="6" s="1"/>
  <c r="Z17" i="6" s="1"/>
  <c r="Y15" i="6"/>
  <c r="Y16" i="6" s="1"/>
  <c r="Y17" i="6" s="1"/>
  <c r="X15" i="6"/>
  <c r="X16" i="6" s="1"/>
  <c r="X17" i="6" s="1"/>
  <c r="W15" i="6"/>
  <c r="W16" i="6" s="1"/>
  <c r="W17" i="6" s="1"/>
  <c r="V15" i="6"/>
  <c r="V16" i="6" s="1"/>
  <c r="V17" i="6" s="1"/>
  <c r="U15" i="6"/>
  <c r="U16" i="6" s="1"/>
  <c r="U17" i="6" s="1"/>
  <c r="T15" i="6"/>
  <c r="T16" i="6" s="1"/>
  <c r="T17" i="6" s="1"/>
  <c r="S15" i="6"/>
  <c r="S16" i="6" s="1"/>
  <c r="S17" i="6" s="1"/>
  <c r="R15" i="6"/>
  <c r="R16" i="6" s="1"/>
  <c r="R17" i="6" s="1"/>
  <c r="Q15" i="6"/>
  <c r="Q16" i="6" s="1"/>
  <c r="Q17" i="6" s="1"/>
  <c r="P15" i="6"/>
  <c r="P16" i="6" s="1"/>
  <c r="P17" i="6" s="1"/>
  <c r="O15" i="6"/>
  <c r="O16" i="6" s="1"/>
  <c r="O17" i="6" s="1"/>
  <c r="N15" i="6"/>
  <c r="N16" i="6" s="1"/>
  <c r="N17" i="6" s="1"/>
  <c r="M15" i="6"/>
  <c r="M16" i="6" s="1"/>
  <c r="M17" i="6" s="1"/>
  <c r="L15" i="6"/>
  <c r="L16" i="6" s="1"/>
  <c r="L17" i="6" s="1"/>
  <c r="K15" i="6"/>
  <c r="K16" i="6" s="1"/>
  <c r="J15" i="6"/>
  <c r="J16" i="6" s="1"/>
  <c r="J17" i="6" s="1"/>
  <c r="I15" i="6"/>
  <c r="H15" i="6"/>
  <c r="H16" i="6" s="1"/>
  <c r="H17" i="6" s="1"/>
  <c r="DE14" i="6"/>
  <c r="DD14" i="6"/>
  <c r="DC14" i="6"/>
  <c r="DB14" i="6"/>
  <c r="DA14" i="6"/>
  <c r="CZ14" i="6"/>
  <c r="CY14" i="6"/>
  <c r="CX14" i="6"/>
  <c r="CW14" i="6"/>
  <c r="CV14" i="6"/>
  <c r="CU14" i="6"/>
  <c r="CT14" i="6"/>
  <c r="CS14" i="6"/>
  <c r="CR14" i="6"/>
  <c r="CQ14" i="6"/>
  <c r="CP14" i="6"/>
  <c r="CO14" i="6"/>
  <c r="CN14" i="6"/>
  <c r="CM14" i="6"/>
  <c r="CL14" i="6"/>
  <c r="CK14" i="6"/>
  <c r="CJ14" i="6"/>
  <c r="CI14" i="6"/>
  <c r="CH14" i="6"/>
  <c r="CG14" i="6"/>
  <c r="CF14" i="6"/>
  <c r="CE14" i="6"/>
  <c r="CD14" i="6"/>
  <c r="CC14" i="6"/>
  <c r="CB14" i="6"/>
  <c r="CA14" i="6"/>
  <c r="BZ14" i="6"/>
  <c r="BY14" i="6"/>
  <c r="BX14" i="6"/>
  <c r="BW14" i="6"/>
  <c r="BV14" i="6"/>
  <c r="BU14" i="6"/>
  <c r="BT14" i="6"/>
  <c r="BS14" i="6"/>
  <c r="BR14" i="6"/>
  <c r="BQ14" i="6"/>
  <c r="BP14" i="6"/>
  <c r="BO14" i="6"/>
  <c r="BN14" i="6"/>
  <c r="BM14" i="6"/>
  <c r="BL14" i="6"/>
  <c r="BK14" i="6"/>
  <c r="BJ14" i="6"/>
  <c r="BI14" i="6"/>
  <c r="BH14" i="6"/>
  <c r="BG14" i="6"/>
  <c r="BF14" i="6"/>
  <c r="BE14" i="6"/>
  <c r="BD14" i="6"/>
  <c r="BC14" i="6"/>
  <c r="BB14" i="6"/>
  <c r="BA14" i="6"/>
  <c r="AZ14" i="6"/>
  <c r="AY14" i="6"/>
  <c r="AX14" i="6"/>
  <c r="AW14" i="6"/>
  <c r="AV14" i="6"/>
  <c r="AU14" i="6"/>
  <c r="AT14" i="6"/>
  <c r="AS14" i="6"/>
  <c r="AR14" i="6"/>
  <c r="AQ14" i="6"/>
  <c r="AP14" i="6"/>
  <c r="AO14" i="6"/>
  <c r="AN14" i="6"/>
  <c r="AM14" i="6"/>
  <c r="AL14" i="6"/>
  <c r="AK14" i="6"/>
  <c r="AJ14" i="6"/>
  <c r="AI14" i="6"/>
  <c r="AH14" i="6"/>
  <c r="AG14" i="6"/>
  <c r="AF14" i="6"/>
  <c r="AE14" i="6"/>
  <c r="AD14" i="6"/>
  <c r="AC14" i="6"/>
  <c r="AB14" i="6"/>
  <c r="AA14" i="6"/>
  <c r="Z14" i="6"/>
  <c r="Y14" i="6"/>
  <c r="X14" i="6"/>
  <c r="W14" i="6"/>
  <c r="V14" i="6"/>
  <c r="U14" i="6"/>
  <c r="T14" i="6"/>
  <c r="S14" i="6"/>
  <c r="R14" i="6"/>
  <c r="Q14" i="6"/>
  <c r="P14" i="6"/>
  <c r="O14" i="6"/>
  <c r="N14" i="6"/>
  <c r="M14" i="6"/>
  <c r="L14" i="6"/>
  <c r="K14" i="6"/>
  <c r="J14" i="6"/>
  <c r="I14" i="6"/>
  <c r="H14" i="6"/>
  <c r="H9" i="6"/>
  <c r="I8" i="6"/>
  <c r="I9" i="6" s="1"/>
  <c r="I19" i="6" s="1"/>
  <c r="J6" i="6"/>
  <c r="K6" i="6" s="1"/>
  <c r="L6" i="6" s="1"/>
  <c r="M6" i="6" s="1"/>
  <c r="N6" i="6" s="1"/>
  <c r="O6" i="6" s="1"/>
  <c r="P6" i="6" s="1"/>
  <c r="Q6" i="6" s="1"/>
  <c r="R6" i="6" s="1"/>
  <c r="S6" i="6" s="1"/>
  <c r="T6" i="6" s="1"/>
  <c r="U6" i="6" s="1"/>
  <c r="V6" i="6" s="1"/>
  <c r="W6" i="6" s="1"/>
  <c r="X6" i="6" s="1"/>
  <c r="Y6" i="6" s="1"/>
  <c r="Z6" i="6" s="1"/>
  <c r="AA6" i="6" s="1"/>
  <c r="AB6" i="6" s="1"/>
  <c r="AC6" i="6" s="1"/>
  <c r="AD6" i="6" s="1"/>
  <c r="AE6" i="6" s="1"/>
  <c r="AF6" i="6" s="1"/>
  <c r="AG6" i="6" s="1"/>
  <c r="AH6" i="6" s="1"/>
  <c r="AI6" i="6" s="1"/>
  <c r="AJ6" i="6" s="1"/>
  <c r="AK6" i="6" s="1"/>
  <c r="AL6" i="6" s="1"/>
  <c r="AM6" i="6" s="1"/>
  <c r="AN6" i="6" s="1"/>
  <c r="AO6" i="6" s="1"/>
  <c r="AP6" i="6" s="1"/>
  <c r="AQ6" i="6" s="1"/>
  <c r="AR6" i="6" s="1"/>
  <c r="AS6" i="6" s="1"/>
  <c r="AT6" i="6" s="1"/>
  <c r="AU6" i="6" s="1"/>
  <c r="AV6" i="6" s="1"/>
  <c r="AW6" i="6" s="1"/>
  <c r="AX6" i="6" s="1"/>
  <c r="AY6" i="6" s="1"/>
  <c r="AZ6" i="6" s="1"/>
  <c r="BA6" i="6" s="1"/>
  <c r="BB6" i="6" s="1"/>
  <c r="BC6" i="6" s="1"/>
  <c r="BD6" i="6" s="1"/>
  <c r="BE6" i="6" s="1"/>
  <c r="BF6" i="6" s="1"/>
  <c r="BG6" i="6" s="1"/>
  <c r="BH6" i="6" s="1"/>
  <c r="BI6" i="6" s="1"/>
  <c r="BJ6" i="6" s="1"/>
  <c r="BK6" i="6" s="1"/>
  <c r="BL6" i="6" s="1"/>
  <c r="BM6" i="6" s="1"/>
  <c r="BN6" i="6" s="1"/>
  <c r="BO6" i="6" s="1"/>
  <c r="BP6" i="6" s="1"/>
  <c r="BQ6" i="6" s="1"/>
  <c r="BR6" i="6" s="1"/>
  <c r="BS6" i="6" s="1"/>
  <c r="BT6" i="6" s="1"/>
  <c r="BU6" i="6" s="1"/>
  <c r="BV6" i="6" s="1"/>
  <c r="BW6" i="6" s="1"/>
  <c r="BX6" i="6" s="1"/>
  <c r="BY6" i="6" s="1"/>
  <c r="BZ6" i="6" s="1"/>
  <c r="CA6" i="6" s="1"/>
  <c r="CB6" i="6" s="1"/>
  <c r="CC6" i="6" s="1"/>
  <c r="CD6" i="6" s="1"/>
  <c r="CE6" i="6" s="1"/>
  <c r="CF6" i="6" s="1"/>
  <c r="CG6" i="6" s="1"/>
  <c r="CH6" i="6" s="1"/>
  <c r="CI6" i="6" s="1"/>
  <c r="CJ6" i="6" s="1"/>
  <c r="CK6" i="6" s="1"/>
  <c r="CL6" i="6" s="1"/>
  <c r="CM6" i="6" s="1"/>
  <c r="CN6" i="6" s="1"/>
  <c r="CO6" i="6" s="1"/>
  <c r="CP6" i="6" s="1"/>
  <c r="CQ6" i="6" s="1"/>
  <c r="CR6" i="6" s="1"/>
  <c r="CS6" i="6" s="1"/>
  <c r="CT6" i="6" s="1"/>
  <c r="CU6" i="6" s="1"/>
  <c r="CV6" i="6" s="1"/>
  <c r="CW6" i="6" s="1"/>
  <c r="CX6" i="6" s="1"/>
  <c r="CY6" i="6" s="1"/>
  <c r="CZ6" i="6" s="1"/>
  <c r="DA6" i="6" s="1"/>
  <c r="DB6" i="6" s="1"/>
  <c r="DC6" i="6" s="1"/>
  <c r="DD6" i="6" s="1"/>
  <c r="DE6" i="6" s="1"/>
  <c r="J5" i="6"/>
  <c r="K5" i="6" s="1"/>
  <c r="L5" i="6" s="1"/>
  <c r="M5" i="6" s="1"/>
  <c r="N5" i="6" s="1"/>
  <c r="O5" i="6" s="1"/>
  <c r="P5" i="6" s="1"/>
  <c r="Q5" i="6" s="1"/>
  <c r="R5" i="6" s="1"/>
  <c r="S5" i="6" s="1"/>
  <c r="T5" i="6" s="1"/>
  <c r="U5" i="6" s="1"/>
  <c r="V5" i="6" s="1"/>
  <c r="W5" i="6" s="1"/>
  <c r="X5" i="6" s="1"/>
  <c r="Y5" i="6" s="1"/>
  <c r="Z5" i="6" s="1"/>
  <c r="AA5" i="6" s="1"/>
  <c r="AB5" i="6" s="1"/>
  <c r="AC5" i="6" s="1"/>
  <c r="AD5" i="6" s="1"/>
  <c r="AE5" i="6" s="1"/>
  <c r="AF5" i="6" s="1"/>
  <c r="AG5" i="6" s="1"/>
  <c r="AH5" i="6" s="1"/>
  <c r="AI5" i="6" s="1"/>
  <c r="AJ5" i="6" s="1"/>
  <c r="AK5" i="6" s="1"/>
  <c r="AL5" i="6" s="1"/>
  <c r="AM5" i="6" s="1"/>
  <c r="AN5" i="6" s="1"/>
  <c r="AO5" i="6" s="1"/>
  <c r="AP5" i="6" s="1"/>
  <c r="AQ5" i="6" s="1"/>
  <c r="AR5" i="6" s="1"/>
  <c r="AS5" i="6" s="1"/>
  <c r="AT5" i="6" s="1"/>
  <c r="AU5" i="6" s="1"/>
  <c r="AV5" i="6" s="1"/>
  <c r="AW5" i="6" s="1"/>
  <c r="AX5" i="6" s="1"/>
  <c r="AY5" i="6" s="1"/>
  <c r="AZ5" i="6" s="1"/>
  <c r="BA5" i="6" s="1"/>
  <c r="BB5" i="6" s="1"/>
  <c r="BC5" i="6" s="1"/>
  <c r="BD5" i="6" s="1"/>
  <c r="BE5" i="6" s="1"/>
  <c r="BF5" i="6" s="1"/>
  <c r="BG5" i="6" s="1"/>
  <c r="BH5" i="6" s="1"/>
  <c r="BI5" i="6" s="1"/>
  <c r="BJ5" i="6" s="1"/>
  <c r="BK5" i="6" s="1"/>
  <c r="BL5" i="6" s="1"/>
  <c r="BM5" i="6" s="1"/>
  <c r="BN5" i="6" s="1"/>
  <c r="BO5" i="6" s="1"/>
  <c r="BP5" i="6" s="1"/>
  <c r="BQ5" i="6" s="1"/>
  <c r="BR5" i="6" s="1"/>
  <c r="BS5" i="6" s="1"/>
  <c r="BT5" i="6" s="1"/>
  <c r="BU5" i="6" s="1"/>
  <c r="BV5" i="6" s="1"/>
  <c r="BW5" i="6" s="1"/>
  <c r="BX5" i="6" s="1"/>
  <c r="BY5" i="6" s="1"/>
  <c r="BZ5" i="6" s="1"/>
  <c r="CA5" i="6" s="1"/>
  <c r="CB5" i="6" s="1"/>
  <c r="CC5" i="6" s="1"/>
  <c r="CD5" i="6" s="1"/>
  <c r="CE5" i="6" s="1"/>
  <c r="CF5" i="6" s="1"/>
  <c r="CG5" i="6" s="1"/>
  <c r="CH5" i="6" s="1"/>
  <c r="CI5" i="6" s="1"/>
  <c r="CJ5" i="6" s="1"/>
  <c r="CK5" i="6" s="1"/>
  <c r="CL5" i="6" s="1"/>
  <c r="CM5" i="6" s="1"/>
  <c r="CN5" i="6" s="1"/>
  <c r="CO5" i="6" s="1"/>
  <c r="CP5" i="6" s="1"/>
  <c r="CQ5" i="6" s="1"/>
  <c r="CR5" i="6" s="1"/>
  <c r="CS5" i="6" s="1"/>
  <c r="CT5" i="6" s="1"/>
  <c r="CU5" i="6" s="1"/>
  <c r="CV5" i="6" s="1"/>
  <c r="CW5" i="6" s="1"/>
  <c r="CX5" i="6" s="1"/>
  <c r="CY5" i="6" s="1"/>
  <c r="CZ5" i="6" s="1"/>
  <c r="DA5" i="6" s="1"/>
  <c r="DB5" i="6" s="1"/>
  <c r="DC5" i="6" s="1"/>
  <c r="DD5" i="6" s="1"/>
  <c r="DE5" i="6" s="1"/>
  <c r="DL120" i="5"/>
  <c r="DK120" i="5"/>
  <c r="DJ120" i="5"/>
  <c r="DI120" i="5"/>
  <c r="DH120" i="5"/>
  <c r="DG120" i="5"/>
  <c r="DF120" i="5"/>
  <c r="E118" i="5"/>
  <c r="H118" i="5" s="1"/>
  <c r="H119" i="5" s="1"/>
  <c r="H120" i="5" s="1"/>
  <c r="H121" i="5" s="1"/>
  <c r="DL117" i="5"/>
  <c r="DK117" i="5"/>
  <c r="DJ117" i="5"/>
  <c r="DI117" i="5"/>
  <c r="DH117" i="5"/>
  <c r="DG117" i="5"/>
  <c r="DF117" i="5"/>
  <c r="G115" i="5"/>
  <c r="F115" i="5"/>
  <c r="E115" i="5"/>
  <c r="D115" i="5"/>
  <c r="C115" i="5"/>
  <c r="F113" i="5"/>
  <c r="E113" i="5"/>
  <c r="D113" i="5"/>
  <c r="C113" i="5"/>
  <c r="F112" i="5"/>
  <c r="E112" i="5"/>
  <c r="D112" i="5"/>
  <c r="C112" i="5"/>
  <c r="G111" i="5"/>
  <c r="G110" i="5"/>
  <c r="F110" i="5"/>
  <c r="E110" i="5"/>
  <c r="D110" i="5"/>
  <c r="C110" i="5"/>
  <c r="E109" i="5"/>
  <c r="H108" i="5"/>
  <c r="I108" i="5" s="1"/>
  <c r="J108" i="5" s="1"/>
  <c r="K108" i="5" s="1"/>
  <c r="L108" i="5" s="1"/>
  <c r="M108" i="5" s="1"/>
  <c r="N108" i="5" s="1"/>
  <c r="O108" i="5" s="1"/>
  <c r="P108" i="5" s="1"/>
  <c r="Q108" i="5" s="1"/>
  <c r="R108" i="5" s="1"/>
  <c r="S108" i="5" s="1"/>
  <c r="T108" i="5" s="1"/>
  <c r="U108" i="5" s="1"/>
  <c r="V108" i="5" s="1"/>
  <c r="W108" i="5" s="1"/>
  <c r="X108" i="5" s="1"/>
  <c r="Y108" i="5" s="1"/>
  <c r="Z108" i="5" s="1"/>
  <c r="AA108" i="5" s="1"/>
  <c r="AB108" i="5" s="1"/>
  <c r="AC108" i="5" s="1"/>
  <c r="AD108" i="5" s="1"/>
  <c r="AE108" i="5" s="1"/>
  <c r="AF108" i="5" s="1"/>
  <c r="AG108" i="5" s="1"/>
  <c r="AH108" i="5" s="1"/>
  <c r="AI108" i="5" s="1"/>
  <c r="AJ108" i="5" s="1"/>
  <c r="AK108" i="5" s="1"/>
  <c r="AL108" i="5" s="1"/>
  <c r="AM108" i="5" s="1"/>
  <c r="AN108" i="5" s="1"/>
  <c r="AO108" i="5" s="1"/>
  <c r="AP108" i="5" s="1"/>
  <c r="AQ108" i="5" s="1"/>
  <c r="AR108" i="5" s="1"/>
  <c r="AS108" i="5" s="1"/>
  <c r="AT108" i="5" s="1"/>
  <c r="AU108" i="5" s="1"/>
  <c r="AV108" i="5" s="1"/>
  <c r="AW108" i="5" s="1"/>
  <c r="AX108" i="5" s="1"/>
  <c r="AY108" i="5" s="1"/>
  <c r="AZ108" i="5" s="1"/>
  <c r="BA108" i="5" s="1"/>
  <c r="BB108" i="5" s="1"/>
  <c r="BC108" i="5" s="1"/>
  <c r="BD108" i="5" s="1"/>
  <c r="BE108" i="5" s="1"/>
  <c r="BF108" i="5" s="1"/>
  <c r="BG108" i="5" s="1"/>
  <c r="BH108" i="5" s="1"/>
  <c r="BI108" i="5" s="1"/>
  <c r="BJ108" i="5" s="1"/>
  <c r="BK108" i="5" s="1"/>
  <c r="BL108" i="5" s="1"/>
  <c r="BM108" i="5" s="1"/>
  <c r="BN108" i="5" s="1"/>
  <c r="BO108" i="5" s="1"/>
  <c r="BP108" i="5" s="1"/>
  <c r="BQ108" i="5" s="1"/>
  <c r="BR108" i="5" s="1"/>
  <c r="BS108" i="5" s="1"/>
  <c r="BT108" i="5" s="1"/>
  <c r="BU108" i="5" s="1"/>
  <c r="BV108" i="5" s="1"/>
  <c r="BW108" i="5" s="1"/>
  <c r="BX108" i="5" s="1"/>
  <c r="BY108" i="5" s="1"/>
  <c r="BZ108" i="5" s="1"/>
  <c r="CA108" i="5" s="1"/>
  <c r="CB108" i="5" s="1"/>
  <c r="CC108" i="5" s="1"/>
  <c r="CD108" i="5" s="1"/>
  <c r="CE108" i="5" s="1"/>
  <c r="CF108" i="5" s="1"/>
  <c r="CG108" i="5" s="1"/>
  <c r="CH108" i="5" s="1"/>
  <c r="CI108" i="5" s="1"/>
  <c r="CJ108" i="5" s="1"/>
  <c r="CK108" i="5" s="1"/>
  <c r="CL108" i="5" s="1"/>
  <c r="CM108" i="5" s="1"/>
  <c r="CN108" i="5" s="1"/>
  <c r="CO108" i="5" s="1"/>
  <c r="CP108" i="5" s="1"/>
  <c r="CQ108" i="5" s="1"/>
  <c r="CR108" i="5" s="1"/>
  <c r="CS108" i="5" s="1"/>
  <c r="CT108" i="5" s="1"/>
  <c r="CU108" i="5" s="1"/>
  <c r="CV108" i="5" s="1"/>
  <c r="CW108" i="5" s="1"/>
  <c r="CX108" i="5" s="1"/>
  <c r="CY108" i="5" s="1"/>
  <c r="CZ108" i="5" s="1"/>
  <c r="DA108" i="5" s="1"/>
  <c r="DB108" i="5" s="1"/>
  <c r="DC108" i="5" s="1"/>
  <c r="DD108" i="5" s="1"/>
  <c r="DE108" i="5" s="1"/>
  <c r="E107" i="5"/>
  <c r="I105" i="5"/>
  <c r="H105" i="5"/>
  <c r="H107" i="5" s="1"/>
  <c r="DK104" i="5"/>
  <c r="DJ104" i="5"/>
  <c r="DI104" i="5"/>
  <c r="B103" i="5"/>
  <c r="G102" i="5"/>
  <c r="G100" i="5"/>
  <c r="H100" i="5" s="1"/>
  <c r="I100" i="5" s="1"/>
  <c r="J100" i="5" s="1"/>
  <c r="K100" i="5" s="1"/>
  <c r="L100" i="5" s="1"/>
  <c r="M100" i="5" s="1"/>
  <c r="N100" i="5" s="1"/>
  <c r="O100" i="5" s="1"/>
  <c r="P100" i="5" s="1"/>
  <c r="Q100" i="5" s="1"/>
  <c r="R100" i="5" s="1"/>
  <c r="S100" i="5" s="1"/>
  <c r="T100" i="5" s="1"/>
  <c r="U100" i="5" s="1"/>
  <c r="V100" i="5" s="1"/>
  <c r="W100" i="5" s="1"/>
  <c r="X100" i="5" s="1"/>
  <c r="Y100" i="5" s="1"/>
  <c r="Z100" i="5" s="1"/>
  <c r="AA100" i="5" s="1"/>
  <c r="AB100" i="5" s="1"/>
  <c r="AC100" i="5" s="1"/>
  <c r="AD100" i="5" s="1"/>
  <c r="AE100" i="5" s="1"/>
  <c r="AF100" i="5" s="1"/>
  <c r="AG100" i="5" s="1"/>
  <c r="AH100" i="5" s="1"/>
  <c r="AI100" i="5" s="1"/>
  <c r="AJ100" i="5" s="1"/>
  <c r="AK100" i="5" s="1"/>
  <c r="AL100" i="5" s="1"/>
  <c r="AM100" i="5" s="1"/>
  <c r="AN100" i="5" s="1"/>
  <c r="AO100" i="5" s="1"/>
  <c r="AP100" i="5" s="1"/>
  <c r="AQ100" i="5" s="1"/>
  <c r="AR100" i="5" s="1"/>
  <c r="AS100" i="5" s="1"/>
  <c r="AT100" i="5" s="1"/>
  <c r="AU100" i="5" s="1"/>
  <c r="AV100" i="5" s="1"/>
  <c r="AW100" i="5" s="1"/>
  <c r="AX100" i="5" s="1"/>
  <c r="AY100" i="5" s="1"/>
  <c r="AZ100" i="5" s="1"/>
  <c r="BA100" i="5" s="1"/>
  <c r="BB100" i="5" s="1"/>
  <c r="BC100" i="5" s="1"/>
  <c r="BD100" i="5" s="1"/>
  <c r="BE100" i="5" s="1"/>
  <c r="BF100" i="5" s="1"/>
  <c r="BG100" i="5" s="1"/>
  <c r="BH100" i="5" s="1"/>
  <c r="BI100" i="5" s="1"/>
  <c r="BJ100" i="5" s="1"/>
  <c r="BK100" i="5" s="1"/>
  <c r="BL100" i="5" s="1"/>
  <c r="BM100" i="5" s="1"/>
  <c r="BN100" i="5" s="1"/>
  <c r="BO100" i="5" s="1"/>
  <c r="BP100" i="5" s="1"/>
  <c r="BQ100" i="5" s="1"/>
  <c r="BR100" i="5" s="1"/>
  <c r="BS100" i="5" s="1"/>
  <c r="BT100" i="5" s="1"/>
  <c r="BU100" i="5" s="1"/>
  <c r="BV100" i="5" s="1"/>
  <c r="BW100" i="5" s="1"/>
  <c r="BX100" i="5" s="1"/>
  <c r="BY100" i="5" s="1"/>
  <c r="BZ100" i="5" s="1"/>
  <c r="CA100" i="5" s="1"/>
  <c r="CB100" i="5" s="1"/>
  <c r="CC100" i="5" s="1"/>
  <c r="CD100" i="5" s="1"/>
  <c r="CE100" i="5" s="1"/>
  <c r="CF100" i="5" s="1"/>
  <c r="CG100" i="5" s="1"/>
  <c r="CH100" i="5" s="1"/>
  <c r="CI100" i="5" s="1"/>
  <c r="CJ100" i="5" s="1"/>
  <c r="CK100" i="5" s="1"/>
  <c r="CL100" i="5" s="1"/>
  <c r="CM100" i="5" s="1"/>
  <c r="CN100" i="5" s="1"/>
  <c r="CO100" i="5" s="1"/>
  <c r="CP100" i="5" s="1"/>
  <c r="CQ100" i="5" s="1"/>
  <c r="CR100" i="5" s="1"/>
  <c r="CS100" i="5" s="1"/>
  <c r="CT100" i="5" s="1"/>
  <c r="CU100" i="5" s="1"/>
  <c r="CV100" i="5" s="1"/>
  <c r="CW100" i="5" s="1"/>
  <c r="CX100" i="5" s="1"/>
  <c r="CY100" i="5" s="1"/>
  <c r="CZ100" i="5" s="1"/>
  <c r="DA100" i="5" s="1"/>
  <c r="DB100" i="5" s="1"/>
  <c r="DC100" i="5" s="1"/>
  <c r="DD100" i="5" s="1"/>
  <c r="DE100" i="5" s="1"/>
  <c r="H99" i="5"/>
  <c r="I99" i="5" s="1"/>
  <c r="J99" i="5" s="1"/>
  <c r="K99" i="5" s="1"/>
  <c r="DE98" i="5"/>
  <c r="DD98" i="5"/>
  <c r="DC98" i="5"/>
  <c r="DB98" i="5"/>
  <c r="DA98" i="5"/>
  <c r="CZ98" i="5"/>
  <c r="CY98" i="5"/>
  <c r="CX98" i="5"/>
  <c r="CW98" i="5"/>
  <c r="CV98" i="5"/>
  <c r="CU98" i="5"/>
  <c r="CT98" i="5"/>
  <c r="CS98" i="5"/>
  <c r="CR98" i="5"/>
  <c r="CQ98" i="5"/>
  <c r="CP98" i="5"/>
  <c r="CO98" i="5"/>
  <c r="CN98" i="5"/>
  <c r="CM98" i="5"/>
  <c r="CL98" i="5"/>
  <c r="CK98" i="5"/>
  <c r="CJ98" i="5"/>
  <c r="CI98" i="5"/>
  <c r="CH98" i="5"/>
  <c r="CG98" i="5"/>
  <c r="CF98" i="5"/>
  <c r="CE98" i="5"/>
  <c r="CD98" i="5"/>
  <c r="CC98" i="5"/>
  <c r="CB98" i="5"/>
  <c r="CA98" i="5"/>
  <c r="BZ98" i="5"/>
  <c r="BY98" i="5"/>
  <c r="BX98" i="5"/>
  <c r="BW98" i="5"/>
  <c r="BV98" i="5"/>
  <c r="BU98" i="5"/>
  <c r="BT98" i="5"/>
  <c r="BS98" i="5"/>
  <c r="BR98" i="5"/>
  <c r="BQ98" i="5"/>
  <c r="BP98" i="5"/>
  <c r="BO98" i="5"/>
  <c r="BN98" i="5"/>
  <c r="BM98" i="5"/>
  <c r="BL98" i="5"/>
  <c r="BK98" i="5"/>
  <c r="BJ98" i="5"/>
  <c r="BI98" i="5"/>
  <c r="BH98" i="5"/>
  <c r="BG98" i="5"/>
  <c r="BF98" i="5"/>
  <c r="BE98" i="5"/>
  <c r="BD98" i="5"/>
  <c r="BC98" i="5"/>
  <c r="BB98" i="5"/>
  <c r="BA98" i="5"/>
  <c r="AZ98" i="5"/>
  <c r="AY98" i="5"/>
  <c r="AX98" i="5"/>
  <c r="AW98" i="5"/>
  <c r="AV98" i="5"/>
  <c r="AU98" i="5"/>
  <c r="AT98" i="5"/>
  <c r="AS98" i="5"/>
  <c r="AR98" i="5"/>
  <c r="AQ98" i="5"/>
  <c r="AP98" i="5"/>
  <c r="AO98" i="5"/>
  <c r="AN98" i="5"/>
  <c r="AM98" i="5"/>
  <c r="AL98" i="5"/>
  <c r="AK98" i="5"/>
  <c r="AJ98" i="5"/>
  <c r="AI98" i="5"/>
  <c r="AH98" i="5"/>
  <c r="AG98" i="5"/>
  <c r="AF98" i="5"/>
  <c r="AE98" i="5"/>
  <c r="AD98" i="5"/>
  <c r="AC98" i="5"/>
  <c r="AB98" i="5"/>
  <c r="AA98" i="5"/>
  <c r="Z98" i="5"/>
  <c r="Y98" i="5"/>
  <c r="X98" i="5"/>
  <c r="W98" i="5"/>
  <c r="V98" i="5"/>
  <c r="U98" i="5"/>
  <c r="T98" i="5"/>
  <c r="S98" i="5"/>
  <c r="R98" i="5"/>
  <c r="Q98" i="5"/>
  <c r="P98" i="5"/>
  <c r="O98" i="5"/>
  <c r="N98" i="5"/>
  <c r="M98" i="5"/>
  <c r="L98" i="5"/>
  <c r="K98" i="5"/>
  <c r="J98" i="5"/>
  <c r="I98" i="5"/>
  <c r="H98" i="5"/>
  <c r="B97" i="5"/>
  <c r="G96" i="5"/>
  <c r="H95" i="5"/>
  <c r="H93" i="5"/>
  <c r="I93" i="5" s="1"/>
  <c r="J93" i="5" s="1"/>
  <c r="K93" i="5" s="1"/>
  <c r="DE92" i="5"/>
  <c r="DD92" i="5"/>
  <c r="DC92" i="5"/>
  <c r="DB92" i="5"/>
  <c r="DA92" i="5"/>
  <c r="CZ92" i="5"/>
  <c r="CY92" i="5"/>
  <c r="CX92" i="5"/>
  <c r="CW92" i="5"/>
  <c r="CV92" i="5"/>
  <c r="CU92" i="5"/>
  <c r="CT92" i="5"/>
  <c r="CS92" i="5"/>
  <c r="CR92" i="5"/>
  <c r="CQ92" i="5"/>
  <c r="CP92" i="5"/>
  <c r="CO92" i="5"/>
  <c r="CN92" i="5"/>
  <c r="CM92" i="5"/>
  <c r="CL92" i="5"/>
  <c r="CK92" i="5"/>
  <c r="CJ92" i="5"/>
  <c r="CI92" i="5"/>
  <c r="CH92" i="5"/>
  <c r="CG92" i="5"/>
  <c r="CF92" i="5"/>
  <c r="CE92" i="5"/>
  <c r="CD92" i="5"/>
  <c r="CC92" i="5"/>
  <c r="CB92" i="5"/>
  <c r="CA92" i="5"/>
  <c r="BZ92" i="5"/>
  <c r="BY92" i="5"/>
  <c r="BX92" i="5"/>
  <c r="BW92" i="5"/>
  <c r="BV92" i="5"/>
  <c r="BU92" i="5"/>
  <c r="BT92" i="5"/>
  <c r="BS92" i="5"/>
  <c r="BR92" i="5"/>
  <c r="BQ92" i="5"/>
  <c r="BP92" i="5"/>
  <c r="BO92" i="5"/>
  <c r="BN92" i="5"/>
  <c r="BM92" i="5"/>
  <c r="BL92" i="5"/>
  <c r="BK92" i="5"/>
  <c r="BJ92" i="5"/>
  <c r="BI92" i="5"/>
  <c r="BH92" i="5"/>
  <c r="BG92" i="5"/>
  <c r="BF92" i="5"/>
  <c r="BE92" i="5"/>
  <c r="BD92" i="5"/>
  <c r="BC92" i="5"/>
  <c r="BB92" i="5"/>
  <c r="BA92" i="5"/>
  <c r="AZ92" i="5"/>
  <c r="AY92" i="5"/>
  <c r="AX92" i="5"/>
  <c r="AW92" i="5"/>
  <c r="AV92" i="5"/>
  <c r="AU92" i="5"/>
  <c r="AT92" i="5"/>
  <c r="AS92" i="5"/>
  <c r="AR92" i="5"/>
  <c r="AQ92" i="5"/>
  <c r="AP92" i="5"/>
  <c r="AO92" i="5"/>
  <c r="AN92" i="5"/>
  <c r="AM92" i="5"/>
  <c r="AL92" i="5"/>
  <c r="AK92" i="5"/>
  <c r="AJ92" i="5"/>
  <c r="AI92" i="5"/>
  <c r="AH92" i="5"/>
  <c r="AG92" i="5"/>
  <c r="AF92" i="5"/>
  <c r="AE92" i="5"/>
  <c r="AD92" i="5"/>
  <c r="AC92" i="5"/>
  <c r="AB92" i="5"/>
  <c r="AA92" i="5"/>
  <c r="Z92" i="5"/>
  <c r="Y92" i="5"/>
  <c r="X92" i="5"/>
  <c r="W92" i="5"/>
  <c r="V92" i="5"/>
  <c r="U92" i="5"/>
  <c r="T92" i="5"/>
  <c r="S92" i="5"/>
  <c r="R92" i="5"/>
  <c r="Q92" i="5"/>
  <c r="P92" i="5"/>
  <c r="O92" i="5"/>
  <c r="N92" i="5"/>
  <c r="M92" i="5"/>
  <c r="L92" i="5"/>
  <c r="K92" i="5"/>
  <c r="J92" i="5"/>
  <c r="J83" i="6" s="1"/>
  <c r="I92" i="5"/>
  <c r="H92" i="5"/>
  <c r="B91" i="5"/>
  <c r="B89" i="5"/>
  <c r="G87" i="5"/>
  <c r="G78" i="6" s="1"/>
  <c r="G103" i="6" s="1"/>
  <c r="G86" i="5"/>
  <c r="G85" i="5"/>
  <c r="F85" i="5"/>
  <c r="E85" i="5"/>
  <c r="D85" i="5"/>
  <c r="C85" i="5"/>
  <c r="E84" i="5"/>
  <c r="B84" i="5"/>
  <c r="DE83" i="5"/>
  <c r="DD83" i="5"/>
  <c r="DC83" i="5"/>
  <c r="DB83" i="5"/>
  <c r="DA83" i="5"/>
  <c r="CZ83" i="5"/>
  <c r="CY83" i="5"/>
  <c r="CX83" i="5"/>
  <c r="CW83" i="5"/>
  <c r="CV83" i="5"/>
  <c r="CU83" i="5"/>
  <c r="CT83" i="5"/>
  <c r="CS83" i="5"/>
  <c r="CR83" i="5"/>
  <c r="CQ83" i="5"/>
  <c r="CP83" i="5"/>
  <c r="CO83" i="5"/>
  <c r="CN83" i="5"/>
  <c r="CM83" i="5"/>
  <c r="CL83" i="5"/>
  <c r="CK83" i="5"/>
  <c r="CJ83" i="5"/>
  <c r="CI83" i="5"/>
  <c r="CH83" i="5"/>
  <c r="CG83" i="5"/>
  <c r="CF83" i="5"/>
  <c r="CE83" i="5"/>
  <c r="CD83" i="5"/>
  <c r="CC83" i="5"/>
  <c r="CB83" i="5"/>
  <c r="CA83" i="5"/>
  <c r="BZ83" i="5"/>
  <c r="BY83" i="5"/>
  <c r="BX83" i="5"/>
  <c r="BW83" i="5"/>
  <c r="BV83" i="5"/>
  <c r="BU83" i="5"/>
  <c r="BT83" i="5"/>
  <c r="BS83" i="5"/>
  <c r="BR83" i="5"/>
  <c r="BQ83" i="5"/>
  <c r="BP83" i="5"/>
  <c r="BO83" i="5"/>
  <c r="BN83" i="5"/>
  <c r="BM83" i="5"/>
  <c r="BL83" i="5"/>
  <c r="BK83" i="5"/>
  <c r="BJ83" i="5"/>
  <c r="BI83" i="5"/>
  <c r="BH83" i="5"/>
  <c r="BG83" i="5"/>
  <c r="BF83" i="5"/>
  <c r="BE83" i="5"/>
  <c r="BD83" i="5"/>
  <c r="BC83" i="5"/>
  <c r="BB83" i="5"/>
  <c r="BA83" i="5"/>
  <c r="AZ83" i="5"/>
  <c r="AY83" i="5"/>
  <c r="AX83" i="5"/>
  <c r="AW83" i="5"/>
  <c r="AV83" i="5"/>
  <c r="AU83" i="5"/>
  <c r="AT83" i="5"/>
  <c r="AS83" i="5"/>
  <c r="AR83" i="5"/>
  <c r="AQ83" i="5"/>
  <c r="AP83" i="5"/>
  <c r="AO83" i="5"/>
  <c r="AN83" i="5"/>
  <c r="AM83" i="5"/>
  <c r="AL83" i="5"/>
  <c r="AK83" i="5"/>
  <c r="AJ83" i="5"/>
  <c r="AI83" i="5"/>
  <c r="AH83" i="5"/>
  <c r="AG83" i="5"/>
  <c r="AF83" i="5"/>
  <c r="AE83" i="5"/>
  <c r="AD83" i="5"/>
  <c r="AC83" i="5"/>
  <c r="AB83" i="5"/>
  <c r="AA83" i="5"/>
  <c r="Z83" i="5"/>
  <c r="Y83" i="5"/>
  <c r="X83" i="5"/>
  <c r="W83" i="5"/>
  <c r="V83" i="5"/>
  <c r="U83" i="5"/>
  <c r="T83" i="5"/>
  <c r="S83" i="5"/>
  <c r="R83" i="5"/>
  <c r="Q83" i="5"/>
  <c r="P83" i="5"/>
  <c r="O83" i="5"/>
  <c r="N83" i="5"/>
  <c r="M83" i="5"/>
  <c r="L83" i="5"/>
  <c r="K83" i="5"/>
  <c r="J83" i="5"/>
  <c r="I83" i="5"/>
  <c r="H83" i="5"/>
  <c r="E82" i="5"/>
  <c r="H80" i="5"/>
  <c r="H82" i="5" s="1"/>
  <c r="G73" i="5"/>
  <c r="H70" i="5"/>
  <c r="H71" i="5" s="1"/>
  <c r="H72" i="5" s="1"/>
  <c r="H65" i="5"/>
  <c r="H66" i="5" s="1"/>
  <c r="I66" i="5" s="1"/>
  <c r="I67" i="5" s="1"/>
  <c r="H30" i="5"/>
  <c r="I30" i="5" s="1"/>
  <c r="J30" i="5" s="1"/>
  <c r="K30" i="5" s="1"/>
  <c r="DE28" i="5"/>
  <c r="DD28" i="5"/>
  <c r="DC28" i="5"/>
  <c r="DB28" i="5"/>
  <c r="DA28" i="5"/>
  <c r="CZ28" i="5"/>
  <c r="CY28" i="5"/>
  <c r="CX28" i="5"/>
  <c r="CW28" i="5"/>
  <c r="CV28" i="5"/>
  <c r="CU28" i="5"/>
  <c r="CT28" i="5"/>
  <c r="CS28" i="5"/>
  <c r="CR28" i="5"/>
  <c r="CQ28" i="5"/>
  <c r="CP28" i="5"/>
  <c r="CO28" i="5"/>
  <c r="CN28" i="5"/>
  <c r="CM28" i="5"/>
  <c r="CL28" i="5"/>
  <c r="CK28" i="5"/>
  <c r="CJ28" i="5"/>
  <c r="CI28" i="5"/>
  <c r="CH28" i="5"/>
  <c r="CG28" i="5"/>
  <c r="CF28" i="5"/>
  <c r="CE28" i="5"/>
  <c r="CD28" i="5"/>
  <c r="CC28" i="5"/>
  <c r="CB28" i="5"/>
  <c r="CA28" i="5"/>
  <c r="BZ28" i="5"/>
  <c r="BY28" i="5"/>
  <c r="BX28" i="5"/>
  <c r="BW28" i="5"/>
  <c r="BV28" i="5"/>
  <c r="BU28" i="5"/>
  <c r="BT28" i="5"/>
  <c r="BS28" i="5"/>
  <c r="BR28" i="5"/>
  <c r="BQ28" i="5"/>
  <c r="BP28" i="5"/>
  <c r="BO28" i="5"/>
  <c r="BN28" i="5"/>
  <c r="BM28" i="5"/>
  <c r="BL28" i="5"/>
  <c r="BK28" i="5"/>
  <c r="BJ28" i="5"/>
  <c r="BI28" i="5"/>
  <c r="BH28" i="5"/>
  <c r="BG28" i="5"/>
  <c r="BF28" i="5"/>
  <c r="BE28" i="5"/>
  <c r="BD28" i="5"/>
  <c r="BC28" i="5"/>
  <c r="BB28" i="5"/>
  <c r="BA28" i="5"/>
  <c r="AZ28" i="5"/>
  <c r="AY28" i="5"/>
  <c r="AX28" i="5"/>
  <c r="AW28" i="5"/>
  <c r="AV28" i="5"/>
  <c r="AU28" i="5"/>
  <c r="AT28" i="5"/>
  <c r="AS28" i="5"/>
  <c r="AR28" i="5"/>
  <c r="AQ28" i="5"/>
  <c r="AP28" i="5"/>
  <c r="AO28" i="5"/>
  <c r="AN28" i="5"/>
  <c r="AM28" i="5"/>
  <c r="AL28" i="5"/>
  <c r="AK28" i="5"/>
  <c r="AJ28" i="5"/>
  <c r="AI28" i="5"/>
  <c r="AH28" i="5"/>
  <c r="AG28" i="5"/>
  <c r="AF28" i="5"/>
  <c r="AE28" i="5"/>
  <c r="AD28" i="5"/>
  <c r="AC28" i="5"/>
  <c r="AB28" i="5"/>
  <c r="AA28" i="5"/>
  <c r="Z28" i="5"/>
  <c r="Y28" i="5"/>
  <c r="X28" i="5"/>
  <c r="W28" i="5"/>
  <c r="V28" i="5"/>
  <c r="U28" i="5"/>
  <c r="T28" i="5"/>
  <c r="S28" i="5"/>
  <c r="R28" i="5"/>
  <c r="Q28" i="5"/>
  <c r="P28" i="5"/>
  <c r="O28" i="5"/>
  <c r="N28" i="5"/>
  <c r="M28" i="5"/>
  <c r="L28" i="5"/>
  <c r="K28" i="5"/>
  <c r="J28" i="5"/>
  <c r="I28" i="5"/>
  <c r="G27" i="5"/>
  <c r="H25" i="5"/>
  <c r="H27" i="5" s="1"/>
  <c r="H22" i="5"/>
  <c r="DE21" i="5"/>
  <c r="DD21" i="5"/>
  <c r="DC21" i="5"/>
  <c r="DB21" i="5"/>
  <c r="DA21" i="5"/>
  <c r="CZ21" i="5"/>
  <c r="CY21" i="5"/>
  <c r="CX21" i="5"/>
  <c r="CW21" i="5"/>
  <c r="CV21" i="5"/>
  <c r="CU21" i="5"/>
  <c r="CT21" i="5"/>
  <c r="CS21" i="5"/>
  <c r="CR21" i="5"/>
  <c r="CQ21" i="5"/>
  <c r="CP21" i="5"/>
  <c r="CO21" i="5"/>
  <c r="CN21" i="5"/>
  <c r="CM21" i="5"/>
  <c r="CL21" i="5"/>
  <c r="CK21" i="5"/>
  <c r="CJ21" i="5"/>
  <c r="CI21" i="5"/>
  <c r="CH21" i="5"/>
  <c r="CG21" i="5"/>
  <c r="CF21" i="5"/>
  <c r="CE21" i="5"/>
  <c r="CD21" i="5"/>
  <c r="CC21" i="5"/>
  <c r="CB21" i="5"/>
  <c r="CA21" i="5"/>
  <c r="BZ21" i="5"/>
  <c r="BY21" i="5"/>
  <c r="BX21" i="5"/>
  <c r="BW21" i="5"/>
  <c r="BV21" i="5"/>
  <c r="BU21" i="5"/>
  <c r="BT21" i="5"/>
  <c r="BS21" i="5"/>
  <c r="BR21" i="5"/>
  <c r="BQ21" i="5"/>
  <c r="BP21" i="5"/>
  <c r="BO21" i="5"/>
  <c r="BN21" i="5"/>
  <c r="BM21" i="5"/>
  <c r="BL21" i="5"/>
  <c r="BK21" i="5"/>
  <c r="BJ21" i="5"/>
  <c r="BI21" i="5"/>
  <c r="BH21" i="5"/>
  <c r="BG21" i="5"/>
  <c r="BF21" i="5"/>
  <c r="BE21" i="5"/>
  <c r="BD21" i="5"/>
  <c r="BC21" i="5"/>
  <c r="BB21" i="5"/>
  <c r="BA21" i="5"/>
  <c r="AZ21" i="5"/>
  <c r="AY21" i="5"/>
  <c r="AX21" i="5"/>
  <c r="AW21" i="5"/>
  <c r="AV21" i="5"/>
  <c r="AU21"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I21" i="5"/>
  <c r="H21" i="5"/>
  <c r="I19" i="5"/>
  <c r="J19" i="5" s="1"/>
  <c r="DE17" i="5"/>
  <c r="DD17" i="5"/>
  <c r="DC17" i="5"/>
  <c r="DB17" i="5"/>
  <c r="DA17" i="5"/>
  <c r="CZ17" i="5"/>
  <c r="CY17" i="5"/>
  <c r="CX17" i="5"/>
  <c r="CW17" i="5"/>
  <c r="CV17" i="5"/>
  <c r="CU17" i="5"/>
  <c r="CT17" i="5"/>
  <c r="CS17" i="5"/>
  <c r="CR17" i="5"/>
  <c r="CQ17" i="5"/>
  <c r="CP17" i="5"/>
  <c r="CO17" i="5"/>
  <c r="CN17" i="5"/>
  <c r="CM17" i="5"/>
  <c r="CL17" i="5"/>
  <c r="CK17" i="5"/>
  <c r="CJ17" i="5"/>
  <c r="CI17" i="5"/>
  <c r="CH17" i="5"/>
  <c r="CG17" i="5"/>
  <c r="CF17" i="5"/>
  <c r="CE17" i="5"/>
  <c r="CD17" i="5"/>
  <c r="CC17" i="5"/>
  <c r="CB17" i="5"/>
  <c r="CA17" i="5"/>
  <c r="BZ17" i="5"/>
  <c r="BY17" i="5"/>
  <c r="BX17" i="5"/>
  <c r="BW17" i="5"/>
  <c r="BV17" i="5"/>
  <c r="BU17" i="5"/>
  <c r="BT17" i="5"/>
  <c r="BS17" i="5"/>
  <c r="BR17" i="5"/>
  <c r="BQ17" i="5"/>
  <c r="BP17" i="5"/>
  <c r="BO17" i="5"/>
  <c r="BN17" i="5"/>
  <c r="BM17" i="5"/>
  <c r="BL17" i="5"/>
  <c r="BK17" i="5"/>
  <c r="BJ17" i="5"/>
  <c r="BI17" i="5"/>
  <c r="BH17" i="5"/>
  <c r="BG17" i="5"/>
  <c r="BF17" i="5"/>
  <c r="BE17" i="5"/>
  <c r="BD17" i="5"/>
  <c r="BC17" i="5"/>
  <c r="BB17" i="5"/>
  <c r="BA17" i="5"/>
  <c r="AZ17" i="5"/>
  <c r="AY17" i="5"/>
  <c r="AX17" i="5"/>
  <c r="AW17" i="5"/>
  <c r="AV17" i="5"/>
  <c r="AU17" i="5"/>
  <c r="AT17" i="5"/>
  <c r="AS17"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R17" i="5"/>
  <c r="Q17" i="5"/>
  <c r="P17" i="5"/>
  <c r="O17" i="5"/>
  <c r="N17" i="5"/>
  <c r="M17" i="5"/>
  <c r="L17" i="5"/>
  <c r="K17" i="5"/>
  <c r="J17" i="5"/>
  <c r="I17" i="5"/>
  <c r="H17" i="5"/>
  <c r="I15" i="5"/>
  <c r="J15" i="5" s="1"/>
  <c r="J3" i="5"/>
  <c r="K3" i="5" s="1"/>
  <c r="L3" i="5" s="1"/>
  <c r="M3" i="5" s="1"/>
  <c r="N3" i="5" s="1"/>
  <c r="O3" i="5" s="1"/>
  <c r="P3" i="5" s="1"/>
  <c r="Q3" i="5" s="1"/>
  <c r="R3" i="5" s="1"/>
  <c r="S3" i="5" s="1"/>
  <c r="T3" i="5" s="1"/>
  <c r="U3" i="5" s="1"/>
  <c r="V3" i="5" s="1"/>
  <c r="W3" i="5" s="1"/>
  <c r="X3" i="5" s="1"/>
  <c r="Y3" i="5" s="1"/>
  <c r="Z3" i="5" s="1"/>
  <c r="AA3" i="5" s="1"/>
  <c r="AB3" i="5" s="1"/>
  <c r="AC3" i="5" s="1"/>
  <c r="AD3" i="5" s="1"/>
  <c r="AE3" i="5" s="1"/>
  <c r="AF3" i="5" s="1"/>
  <c r="AG3" i="5" s="1"/>
  <c r="AH3" i="5" s="1"/>
  <c r="AI3" i="5" s="1"/>
  <c r="AJ3" i="5" s="1"/>
  <c r="AK3" i="5" s="1"/>
  <c r="AL3" i="5" s="1"/>
  <c r="AM3" i="5" s="1"/>
  <c r="AN3" i="5" s="1"/>
  <c r="AO3" i="5" s="1"/>
  <c r="AP3" i="5" s="1"/>
  <c r="AQ3" i="5" s="1"/>
  <c r="AR3" i="5" s="1"/>
  <c r="AS3" i="5" s="1"/>
  <c r="AT3" i="5" s="1"/>
  <c r="AU3" i="5" s="1"/>
  <c r="AV3" i="5" s="1"/>
  <c r="AW3" i="5" s="1"/>
  <c r="AX3" i="5" s="1"/>
  <c r="AY3" i="5" s="1"/>
  <c r="AZ3" i="5" s="1"/>
  <c r="BA3" i="5" s="1"/>
  <c r="BB3" i="5" s="1"/>
  <c r="BC3" i="5" s="1"/>
  <c r="BD3" i="5" s="1"/>
  <c r="BE3" i="5" s="1"/>
  <c r="BF3" i="5" s="1"/>
  <c r="BG3" i="5" s="1"/>
  <c r="BH3" i="5" s="1"/>
  <c r="BI3" i="5" s="1"/>
  <c r="BJ3" i="5" s="1"/>
  <c r="BK3" i="5" s="1"/>
  <c r="BL3" i="5" s="1"/>
  <c r="BM3" i="5" s="1"/>
  <c r="BN3" i="5" s="1"/>
  <c r="BO3" i="5" s="1"/>
  <c r="BP3" i="5" s="1"/>
  <c r="BQ3" i="5" s="1"/>
  <c r="BR3" i="5" s="1"/>
  <c r="BS3" i="5" s="1"/>
  <c r="BT3" i="5" s="1"/>
  <c r="BU3" i="5" s="1"/>
  <c r="BV3" i="5" s="1"/>
  <c r="BW3" i="5" s="1"/>
  <c r="BX3" i="5" s="1"/>
  <c r="BY3" i="5" s="1"/>
  <c r="BZ3" i="5" s="1"/>
  <c r="CA3" i="5" s="1"/>
  <c r="CB3" i="5" s="1"/>
  <c r="CC3" i="5" s="1"/>
  <c r="CD3" i="5" s="1"/>
  <c r="CE3" i="5" s="1"/>
  <c r="CF3" i="5" s="1"/>
  <c r="CG3" i="5" s="1"/>
  <c r="CH3" i="5" s="1"/>
  <c r="CI3" i="5" s="1"/>
  <c r="CJ3" i="5" s="1"/>
  <c r="CK3" i="5" s="1"/>
  <c r="CL3" i="5" s="1"/>
  <c r="CM3" i="5" s="1"/>
  <c r="CN3" i="5" s="1"/>
  <c r="CO3" i="5" s="1"/>
  <c r="CP3" i="5" s="1"/>
  <c r="CQ3" i="5" s="1"/>
  <c r="CR3" i="5" s="1"/>
  <c r="CS3" i="5" s="1"/>
  <c r="CT3" i="5" s="1"/>
  <c r="CU3" i="5" s="1"/>
  <c r="CV3" i="5" s="1"/>
  <c r="CW3" i="5" s="1"/>
  <c r="CX3" i="5" s="1"/>
  <c r="CY3" i="5" s="1"/>
  <c r="CZ3" i="5" s="1"/>
  <c r="DA3" i="5" s="1"/>
  <c r="DB3" i="5" s="1"/>
  <c r="DC3" i="5" s="1"/>
  <c r="DD3" i="5" s="1"/>
  <c r="DE3" i="5" s="1"/>
  <c r="J2" i="5"/>
  <c r="K2" i="5" s="1"/>
  <c r="L2" i="5" s="1"/>
  <c r="M2" i="5" s="1"/>
  <c r="N2" i="5" s="1"/>
  <c r="O2" i="5" s="1"/>
  <c r="P2" i="5" s="1"/>
  <c r="Q2" i="5" s="1"/>
  <c r="R2" i="5" s="1"/>
  <c r="S2" i="5" s="1"/>
  <c r="T2" i="5" s="1"/>
  <c r="U2" i="5" s="1"/>
  <c r="V2" i="5" s="1"/>
  <c r="W2" i="5" s="1"/>
  <c r="X2" i="5" s="1"/>
  <c r="Y2" i="5" s="1"/>
  <c r="Z2" i="5" s="1"/>
  <c r="AA2" i="5" s="1"/>
  <c r="AB2" i="5" s="1"/>
  <c r="AC2" i="5" s="1"/>
  <c r="AD2" i="5" s="1"/>
  <c r="AE2" i="5" s="1"/>
  <c r="AF2" i="5" s="1"/>
  <c r="AG2" i="5" s="1"/>
  <c r="AH2" i="5" s="1"/>
  <c r="AI2" i="5" s="1"/>
  <c r="AJ2" i="5" s="1"/>
  <c r="AK2" i="5" s="1"/>
  <c r="AL2" i="5" s="1"/>
  <c r="AM2" i="5" s="1"/>
  <c r="AN2" i="5" s="1"/>
  <c r="AO2" i="5" s="1"/>
  <c r="AP2" i="5" s="1"/>
  <c r="AQ2" i="5" s="1"/>
  <c r="AR2" i="5" s="1"/>
  <c r="AS2" i="5" s="1"/>
  <c r="AT2" i="5" s="1"/>
  <c r="AU2" i="5" s="1"/>
  <c r="AV2" i="5" s="1"/>
  <c r="AW2" i="5" s="1"/>
  <c r="AX2" i="5" s="1"/>
  <c r="AY2" i="5" s="1"/>
  <c r="AZ2" i="5" s="1"/>
  <c r="BA2" i="5" s="1"/>
  <c r="BB2" i="5" s="1"/>
  <c r="BC2" i="5" s="1"/>
  <c r="BD2" i="5" s="1"/>
  <c r="BE2" i="5" s="1"/>
  <c r="BF2" i="5" s="1"/>
  <c r="BG2" i="5" s="1"/>
  <c r="BH2" i="5" s="1"/>
  <c r="BI2" i="5" s="1"/>
  <c r="BJ2" i="5" s="1"/>
  <c r="BK2" i="5" s="1"/>
  <c r="BL2" i="5" s="1"/>
  <c r="BM2" i="5" s="1"/>
  <c r="BN2" i="5" s="1"/>
  <c r="BO2" i="5" s="1"/>
  <c r="BP2" i="5" s="1"/>
  <c r="BQ2" i="5" s="1"/>
  <c r="BR2" i="5" s="1"/>
  <c r="BS2" i="5" s="1"/>
  <c r="BT2" i="5" s="1"/>
  <c r="BU2" i="5" s="1"/>
  <c r="BV2" i="5" s="1"/>
  <c r="BW2" i="5" s="1"/>
  <c r="BX2" i="5" s="1"/>
  <c r="BY2" i="5" s="1"/>
  <c r="BZ2" i="5" s="1"/>
  <c r="CA2" i="5" s="1"/>
  <c r="CB2" i="5" s="1"/>
  <c r="CC2" i="5" s="1"/>
  <c r="CD2" i="5" s="1"/>
  <c r="CE2" i="5" s="1"/>
  <c r="CF2" i="5" s="1"/>
  <c r="CG2" i="5" s="1"/>
  <c r="CH2" i="5" s="1"/>
  <c r="CI2" i="5" s="1"/>
  <c r="CJ2" i="5" s="1"/>
  <c r="CK2" i="5" s="1"/>
  <c r="CL2" i="5" s="1"/>
  <c r="CM2" i="5" s="1"/>
  <c r="CN2" i="5" s="1"/>
  <c r="CO2" i="5" s="1"/>
  <c r="CP2" i="5" s="1"/>
  <c r="CQ2" i="5" s="1"/>
  <c r="CR2" i="5" s="1"/>
  <c r="CS2" i="5" s="1"/>
  <c r="CT2" i="5" s="1"/>
  <c r="CU2" i="5" s="1"/>
  <c r="CV2" i="5" s="1"/>
  <c r="CW2" i="5" s="1"/>
  <c r="CX2" i="5" s="1"/>
  <c r="CY2" i="5" s="1"/>
  <c r="CZ2" i="5" s="1"/>
  <c r="DA2" i="5" s="1"/>
  <c r="DB2" i="5" s="1"/>
  <c r="DC2" i="5" s="1"/>
  <c r="DD2" i="5" s="1"/>
  <c r="DE2" i="5" s="1"/>
  <c r="AI19" i="4"/>
  <c r="AJ19" i="4" s="1"/>
  <c r="AK19" i="4" s="1"/>
  <c r="AL19" i="4" s="1"/>
  <c r="AM19" i="4" s="1"/>
  <c r="AN19" i="4" s="1"/>
  <c r="AO19" i="4" s="1"/>
  <c r="AP19" i="4" s="1"/>
  <c r="AQ19" i="4" s="1"/>
  <c r="AR19" i="4" s="1"/>
  <c r="AS19" i="4" s="1"/>
  <c r="AT19" i="4" s="1"/>
  <c r="AU19" i="4" s="1"/>
  <c r="AV19" i="4" s="1"/>
  <c r="AW19" i="4" s="1"/>
  <c r="AX19" i="4" s="1"/>
  <c r="AY19" i="4" s="1"/>
  <c r="AZ19" i="4" s="1"/>
  <c r="BA19" i="4" s="1"/>
  <c r="BB19" i="4" s="1"/>
  <c r="BC19" i="4" s="1"/>
  <c r="BD19" i="4" s="1"/>
  <c r="AH19" i="4"/>
  <c r="AG19" i="4"/>
  <c r="AF19" i="4"/>
  <c r="R18" i="4"/>
  <c r="S18" i="4" s="1"/>
  <c r="T18" i="4" s="1"/>
  <c r="U18" i="4" s="1"/>
  <c r="V18" i="4" s="1"/>
  <c r="W18" i="4" s="1"/>
  <c r="X18" i="4" s="1"/>
  <c r="Y18" i="4" s="1"/>
  <c r="Z18" i="4" s="1"/>
  <c r="AA18" i="4" s="1"/>
  <c r="AB18" i="4" s="1"/>
  <c r="AC18" i="4" s="1"/>
  <c r="AD18" i="4" s="1"/>
  <c r="AE18" i="4" s="1"/>
  <c r="G18" i="4"/>
  <c r="H18" i="4" s="1"/>
  <c r="I18" i="4" s="1"/>
  <c r="J18" i="4" s="1"/>
  <c r="K18" i="4" s="1"/>
  <c r="L18" i="4" s="1"/>
  <c r="M18" i="4" s="1"/>
  <c r="N18" i="4" s="1"/>
  <c r="O18" i="4" s="1"/>
  <c r="P18" i="4" s="1"/>
  <c r="Q18" i="4" s="1"/>
  <c r="E17" i="4"/>
  <c r="F17" i="4" s="1"/>
  <c r="D17" i="4"/>
  <c r="C17" i="4"/>
  <c r="B17" i="4"/>
  <c r="B11" i="4"/>
  <c r="C9" i="4"/>
  <c r="B9" i="4"/>
  <c r="G6" i="4"/>
  <c r="B1" i="4"/>
  <c r="I73" i="3"/>
  <c r="I79" i="3" s="1"/>
  <c r="I70" i="3"/>
  <c r="I76" i="3" s="1"/>
  <c r="I66" i="3"/>
  <c r="I65" i="3"/>
  <c r="I72" i="3" s="1"/>
  <c r="I78" i="3" s="1"/>
  <c r="I64" i="3"/>
  <c r="I71" i="3" s="1"/>
  <c r="I77" i="3" s="1"/>
  <c r="I63" i="3"/>
  <c r="I62" i="3"/>
  <c r="I69" i="3" s="1"/>
  <c r="I75" i="3" s="1"/>
  <c r="J61" i="3"/>
  <c r="J53" i="3"/>
  <c r="E24" i="3"/>
  <c r="B22" i="3"/>
  <c r="G19" i="3"/>
  <c r="G24" i="3" s="1"/>
  <c r="E19" i="3"/>
  <c r="H17" i="3"/>
  <c r="G17" i="3"/>
  <c r="J16" i="3"/>
  <c r="J38" i="3" s="1"/>
  <c r="G16" i="3"/>
  <c r="O11" i="7" s="1"/>
  <c r="F16" i="3"/>
  <c r="E16" i="3"/>
  <c r="D16" i="3"/>
  <c r="C16" i="3"/>
  <c r="DA13" i="3"/>
  <c r="CZ13" i="3"/>
  <c r="K12" i="3"/>
  <c r="J12" i="3"/>
  <c r="J17" i="3" s="1"/>
  <c r="D5" i="3"/>
  <c r="C5" i="3"/>
  <c r="C1" i="4" s="1"/>
  <c r="K4" i="3"/>
  <c r="K16" i="3" s="1"/>
  <c r="C2" i="3"/>
  <c r="B2" i="3"/>
  <c r="A17" i="2"/>
  <c r="A16" i="2"/>
  <c r="A13" i="2"/>
  <c r="A12" i="2"/>
  <c r="A11" i="2"/>
  <c r="A10" i="2"/>
  <c r="A9" i="2"/>
  <c r="A8" i="2"/>
  <c r="A7" i="2"/>
  <c r="A6" i="2"/>
  <c r="A5" i="2"/>
  <c r="C55" i="1"/>
  <c r="C53" i="1"/>
  <c r="C52" i="1"/>
  <c r="C51" i="1"/>
  <c r="C49" i="1"/>
  <c r="C48" i="1"/>
  <c r="C47" i="1"/>
  <c r="C46" i="1"/>
  <c r="C45" i="1"/>
  <c r="C43" i="1"/>
  <c r="C42" i="1"/>
  <c r="I31" i="1"/>
  <c r="D31" i="1"/>
  <c r="C31" i="1"/>
  <c r="D30" i="1"/>
  <c r="C30" i="1"/>
  <c r="CY29" i="1"/>
  <c r="CX29" i="1"/>
  <c r="CW29" i="1"/>
  <c r="CV29" i="1"/>
  <c r="CU29" i="1"/>
  <c r="CT29" i="1"/>
  <c r="CS29" i="1"/>
  <c r="CR29" i="1"/>
  <c r="CQ29" i="1"/>
  <c r="CP29" i="1"/>
  <c r="CO29" i="1"/>
  <c r="CN29" i="1"/>
  <c r="CM29" i="1"/>
  <c r="CL29" i="1"/>
  <c r="CK29" i="1"/>
  <c r="CJ29" i="1"/>
  <c r="CI29" i="1"/>
  <c r="CH29" i="1"/>
  <c r="CG29" i="1"/>
  <c r="CF29" i="1"/>
  <c r="CE29" i="1"/>
  <c r="CD29" i="1"/>
  <c r="CC29" i="1"/>
  <c r="CB29" i="1"/>
  <c r="CA29" i="1"/>
  <c r="BZ29" i="1"/>
  <c r="BY29" i="1"/>
  <c r="BX29" i="1"/>
  <c r="BW29" i="1"/>
  <c r="BV29" i="1"/>
  <c r="BU29" i="1"/>
  <c r="BT29" i="1"/>
  <c r="BS29" i="1"/>
  <c r="BR29" i="1"/>
  <c r="BQ29" i="1"/>
  <c r="BP29" i="1"/>
  <c r="BO29" i="1"/>
  <c r="BN29" i="1"/>
  <c r="BM29" i="1"/>
  <c r="BL29" i="1"/>
  <c r="BK29" i="1"/>
  <c r="BJ29" i="1"/>
  <c r="BI29" i="1"/>
  <c r="BH29" i="1"/>
  <c r="BG29" i="1"/>
  <c r="BF29" i="1"/>
  <c r="BE29" i="1"/>
  <c r="BD29" i="1"/>
  <c r="BC29" i="1"/>
  <c r="BB29" i="1"/>
  <c r="BA29" i="1"/>
  <c r="AZ29" i="1"/>
  <c r="AY29" i="1"/>
  <c r="AX29" i="1"/>
  <c r="AW29" i="1"/>
  <c r="AV29" i="1"/>
  <c r="AU29" i="1"/>
  <c r="AT29" i="1"/>
  <c r="AS29" i="1"/>
  <c r="AR29" i="1"/>
  <c r="AQ29" i="1"/>
  <c r="AP29" i="1"/>
  <c r="AO29" i="1"/>
  <c r="AN29" i="1"/>
  <c r="AM29" i="1"/>
  <c r="AL29" i="1"/>
  <c r="AK29" i="1"/>
  <c r="AJ29" i="1"/>
  <c r="AI29" i="1"/>
  <c r="AH29" i="1"/>
  <c r="AG29" i="1"/>
  <c r="AF29" i="1"/>
  <c r="AE29" i="1"/>
  <c r="AD29" i="1"/>
  <c r="AC29" i="1"/>
  <c r="AB29" i="1"/>
  <c r="AA29" i="1"/>
  <c r="Z29" i="1"/>
  <c r="Y29" i="1"/>
  <c r="X29" i="1"/>
  <c r="W29" i="1"/>
  <c r="V29" i="1"/>
  <c r="U29" i="1"/>
  <c r="T29" i="1"/>
  <c r="S29" i="1"/>
  <c r="R29" i="1"/>
  <c r="Q29" i="1"/>
  <c r="P29" i="1"/>
  <c r="O29" i="1"/>
  <c r="N29" i="1"/>
  <c r="M29" i="1"/>
  <c r="L29" i="1"/>
  <c r="K29" i="1"/>
  <c r="J29" i="1"/>
  <c r="I29" i="1"/>
  <c r="H29" i="1"/>
  <c r="G29" i="1"/>
  <c r="F29" i="1"/>
  <c r="E29" i="1"/>
  <c r="C29" i="1"/>
  <c r="CY28" i="1"/>
  <c r="CX28" i="1"/>
  <c r="CW28" i="1"/>
  <c r="CV28" i="1"/>
  <c r="CU28" i="1"/>
  <c r="CT28" i="1"/>
  <c r="CS28" i="1"/>
  <c r="CR28" i="1"/>
  <c r="CQ28" i="1"/>
  <c r="CP28" i="1"/>
  <c r="CO28" i="1"/>
  <c r="CN28" i="1"/>
  <c r="CM28" i="1"/>
  <c r="CL28" i="1"/>
  <c r="CK28" i="1"/>
  <c r="CJ28" i="1"/>
  <c r="CI28" i="1"/>
  <c r="CH28" i="1"/>
  <c r="CG28" i="1"/>
  <c r="CF28" i="1"/>
  <c r="CE28" i="1"/>
  <c r="CD28" i="1"/>
  <c r="CC28" i="1"/>
  <c r="CB28" i="1"/>
  <c r="CA28" i="1"/>
  <c r="BZ28" i="1"/>
  <c r="BY28" i="1"/>
  <c r="BX28" i="1"/>
  <c r="BW28" i="1"/>
  <c r="BV28" i="1"/>
  <c r="BU28" i="1"/>
  <c r="BT28" i="1"/>
  <c r="BS28" i="1"/>
  <c r="BR28" i="1"/>
  <c r="BQ28" i="1"/>
  <c r="BP28" i="1"/>
  <c r="BO28" i="1"/>
  <c r="BN28" i="1"/>
  <c r="BM28" i="1"/>
  <c r="BL28" i="1"/>
  <c r="BK28" i="1"/>
  <c r="BJ28" i="1"/>
  <c r="BI28" i="1"/>
  <c r="BH28" i="1"/>
  <c r="BG28" i="1"/>
  <c r="BF28" i="1"/>
  <c r="BE28" i="1"/>
  <c r="BD28" i="1"/>
  <c r="BC28" i="1"/>
  <c r="BB28" i="1"/>
  <c r="BA28" i="1"/>
  <c r="AZ28" i="1"/>
  <c r="AY28" i="1"/>
  <c r="AX28" i="1"/>
  <c r="AW28" i="1"/>
  <c r="AV28" i="1"/>
  <c r="AU28" i="1"/>
  <c r="AT28" i="1"/>
  <c r="AS28" i="1"/>
  <c r="AR28" i="1"/>
  <c r="AQ28" i="1"/>
  <c r="AP28" i="1"/>
  <c r="AO28" i="1"/>
  <c r="AN28" i="1"/>
  <c r="AM28" i="1"/>
  <c r="AL28" i="1"/>
  <c r="AK28" i="1"/>
  <c r="AJ28" i="1"/>
  <c r="AI28" i="1"/>
  <c r="AH28" i="1"/>
  <c r="AG28" i="1"/>
  <c r="AF28" i="1"/>
  <c r="AE28" i="1"/>
  <c r="AD28" i="1"/>
  <c r="AC28" i="1"/>
  <c r="AB28" i="1"/>
  <c r="AA28" i="1"/>
  <c r="Z28" i="1"/>
  <c r="Y28" i="1"/>
  <c r="X28" i="1"/>
  <c r="W28" i="1"/>
  <c r="V28" i="1"/>
  <c r="U28" i="1"/>
  <c r="T28" i="1"/>
  <c r="S28" i="1"/>
  <c r="R28" i="1"/>
  <c r="Q28" i="1"/>
  <c r="P28" i="1"/>
  <c r="O28" i="1"/>
  <c r="N28" i="1"/>
  <c r="M28" i="1"/>
  <c r="L28" i="1"/>
  <c r="K28" i="1"/>
  <c r="J28" i="1"/>
  <c r="I28" i="1"/>
  <c r="H28" i="1"/>
  <c r="G28" i="1"/>
  <c r="F28" i="1"/>
  <c r="E28" i="1"/>
  <c r="C28" i="1"/>
  <c r="CY27" i="1"/>
  <c r="CX27" i="1"/>
  <c r="CW27" i="1"/>
  <c r="CV27" i="1"/>
  <c r="CU27" i="1"/>
  <c r="CT27" i="1"/>
  <c r="CS27" i="1"/>
  <c r="CR27" i="1"/>
  <c r="CQ27" i="1"/>
  <c r="CP27" i="1"/>
  <c r="CO27" i="1"/>
  <c r="CN27" i="1"/>
  <c r="CM27" i="1"/>
  <c r="CL27" i="1"/>
  <c r="CK27" i="1"/>
  <c r="CJ27" i="1"/>
  <c r="CI27" i="1"/>
  <c r="CH27" i="1"/>
  <c r="CG27" i="1"/>
  <c r="CF27" i="1"/>
  <c r="CE27" i="1"/>
  <c r="CD27" i="1"/>
  <c r="CC27" i="1"/>
  <c r="CB27" i="1"/>
  <c r="CA27" i="1"/>
  <c r="BZ27" i="1"/>
  <c r="BY27" i="1"/>
  <c r="BX27" i="1"/>
  <c r="BW27" i="1"/>
  <c r="BV27" i="1"/>
  <c r="BU27" i="1"/>
  <c r="BT27" i="1"/>
  <c r="BS27" i="1"/>
  <c r="BR27" i="1"/>
  <c r="BQ27" i="1"/>
  <c r="BP27" i="1"/>
  <c r="BO27" i="1"/>
  <c r="BN27" i="1"/>
  <c r="BM27" i="1"/>
  <c r="BL27" i="1"/>
  <c r="BK27" i="1"/>
  <c r="BJ27" i="1"/>
  <c r="BI27" i="1"/>
  <c r="BH27" i="1"/>
  <c r="BG27" i="1"/>
  <c r="BF27" i="1"/>
  <c r="BE27" i="1"/>
  <c r="BD27" i="1"/>
  <c r="BC27" i="1"/>
  <c r="BB27" i="1"/>
  <c r="BA27" i="1"/>
  <c r="AZ27" i="1"/>
  <c r="AY27" i="1"/>
  <c r="AX27" i="1"/>
  <c r="AW27" i="1"/>
  <c r="AV27" i="1"/>
  <c r="AU27" i="1"/>
  <c r="AT27" i="1"/>
  <c r="AS27" i="1"/>
  <c r="AR27" i="1"/>
  <c r="AQ27" i="1"/>
  <c r="AP27" i="1"/>
  <c r="AO27" i="1"/>
  <c r="AN27" i="1"/>
  <c r="AM27" i="1"/>
  <c r="AL27" i="1"/>
  <c r="AK27" i="1"/>
  <c r="AJ27" i="1"/>
  <c r="AI27" i="1"/>
  <c r="AH27" i="1"/>
  <c r="AG27" i="1"/>
  <c r="AF27" i="1"/>
  <c r="AE27" i="1"/>
  <c r="AD27" i="1"/>
  <c r="AC27" i="1"/>
  <c r="AB27" i="1"/>
  <c r="AA27" i="1"/>
  <c r="Z27" i="1"/>
  <c r="Y27" i="1"/>
  <c r="X27" i="1"/>
  <c r="W27" i="1"/>
  <c r="V27" i="1"/>
  <c r="U27" i="1"/>
  <c r="T27" i="1"/>
  <c r="S27" i="1"/>
  <c r="R27" i="1"/>
  <c r="Q27" i="1"/>
  <c r="P27" i="1"/>
  <c r="O27" i="1"/>
  <c r="N27" i="1"/>
  <c r="M27" i="1"/>
  <c r="L27" i="1"/>
  <c r="K27" i="1"/>
  <c r="J27" i="1"/>
  <c r="I27" i="1"/>
  <c r="H27" i="1"/>
  <c r="G27" i="1"/>
  <c r="F27" i="1"/>
  <c r="E27" i="1"/>
  <c r="C27" i="1"/>
  <c r="CY26" i="1"/>
  <c r="CX26" i="1"/>
  <c r="CW26" i="1"/>
  <c r="CV26" i="1"/>
  <c r="CU26" i="1"/>
  <c r="CT26" i="1"/>
  <c r="CS26" i="1"/>
  <c r="CR26" i="1"/>
  <c r="CQ26" i="1"/>
  <c r="CP26" i="1"/>
  <c r="CO26" i="1"/>
  <c r="CN26" i="1"/>
  <c r="CM26" i="1"/>
  <c r="CL26" i="1"/>
  <c r="CK26" i="1"/>
  <c r="CJ26" i="1"/>
  <c r="CI26" i="1"/>
  <c r="CH26" i="1"/>
  <c r="CG26" i="1"/>
  <c r="CF26" i="1"/>
  <c r="CE26" i="1"/>
  <c r="CD26" i="1"/>
  <c r="CC26" i="1"/>
  <c r="CB26" i="1"/>
  <c r="CA26" i="1"/>
  <c r="BZ26" i="1"/>
  <c r="BY26" i="1"/>
  <c r="BX26" i="1"/>
  <c r="BW26" i="1"/>
  <c r="BV26" i="1"/>
  <c r="BU26" i="1"/>
  <c r="BT26" i="1"/>
  <c r="BS26" i="1"/>
  <c r="BR26" i="1"/>
  <c r="BQ26" i="1"/>
  <c r="BP26" i="1"/>
  <c r="BO26" i="1"/>
  <c r="BN26" i="1"/>
  <c r="BM26" i="1"/>
  <c r="BL26" i="1"/>
  <c r="BK26" i="1"/>
  <c r="BJ26" i="1"/>
  <c r="BI26" i="1"/>
  <c r="BH26" i="1"/>
  <c r="BG26" i="1"/>
  <c r="BF26" i="1"/>
  <c r="BE26" i="1"/>
  <c r="BD26" i="1"/>
  <c r="BC26" i="1"/>
  <c r="BB26" i="1"/>
  <c r="BA26" i="1"/>
  <c r="AZ26" i="1"/>
  <c r="AY26" i="1"/>
  <c r="AX26" i="1"/>
  <c r="AW26" i="1"/>
  <c r="AV26" i="1"/>
  <c r="AU26" i="1"/>
  <c r="AT26" i="1"/>
  <c r="AS26" i="1"/>
  <c r="AR26" i="1"/>
  <c r="AQ26" i="1"/>
  <c r="AP26"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H26" i="1"/>
  <c r="G26" i="1"/>
  <c r="F26" i="1"/>
  <c r="E26" i="1"/>
  <c r="C26" i="1"/>
  <c r="CY25" i="1"/>
  <c r="CX25" i="1"/>
  <c r="CW25" i="1"/>
  <c r="CV25" i="1"/>
  <c r="CU25" i="1"/>
  <c r="CT25" i="1"/>
  <c r="CS25" i="1"/>
  <c r="CR25" i="1"/>
  <c r="CQ25" i="1"/>
  <c r="CP25" i="1"/>
  <c r="CO25" i="1"/>
  <c r="CN25" i="1"/>
  <c r="CM25" i="1"/>
  <c r="CL25" i="1"/>
  <c r="CK25" i="1"/>
  <c r="CJ25" i="1"/>
  <c r="CI25" i="1"/>
  <c r="CH25" i="1"/>
  <c r="CG25" i="1"/>
  <c r="CF25" i="1"/>
  <c r="CE25" i="1"/>
  <c r="CD25" i="1"/>
  <c r="CC25" i="1"/>
  <c r="CB25" i="1"/>
  <c r="CA25" i="1"/>
  <c r="BZ25" i="1"/>
  <c r="BY25" i="1"/>
  <c r="BX25" i="1"/>
  <c r="BW25" i="1"/>
  <c r="BV25" i="1"/>
  <c r="BU25" i="1"/>
  <c r="BT25" i="1"/>
  <c r="BS25" i="1"/>
  <c r="BR25" i="1"/>
  <c r="BQ25" i="1"/>
  <c r="BP25" i="1"/>
  <c r="BO25" i="1"/>
  <c r="BN25" i="1"/>
  <c r="BM25" i="1"/>
  <c r="BL25" i="1"/>
  <c r="BK25" i="1"/>
  <c r="BJ25" i="1"/>
  <c r="BI25" i="1"/>
  <c r="BH25" i="1"/>
  <c r="BG25" i="1"/>
  <c r="BF25" i="1"/>
  <c r="BE25" i="1"/>
  <c r="BD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C25" i="1"/>
  <c r="D13" i="1"/>
  <c r="D14" i="1" s="1"/>
  <c r="D10" i="1"/>
  <c r="D9" i="1"/>
  <c r="D8" i="1"/>
  <c r="G88" i="5" s="1"/>
  <c r="D7" i="1"/>
  <c r="J44" i="3" s="1"/>
  <c r="D6" i="1"/>
  <c r="D5" i="1"/>
  <c r="F14" i="7" s="1"/>
  <c r="D4" i="1"/>
  <c r="F15" i="7" s="1"/>
  <c r="D3" i="1"/>
  <c r="H16" i="5" s="1"/>
  <c r="H41" i="5" s="1"/>
  <c r="H42" i="5" s="1"/>
  <c r="D2" i="1"/>
  <c r="B26" i="8" s="1"/>
  <c r="L85" i="6" l="1"/>
  <c r="I144" i="6"/>
  <c r="L131" i="6"/>
  <c r="K132" i="6"/>
  <c r="K133" i="6" s="1"/>
  <c r="J121" i="6"/>
  <c r="J137" i="6"/>
  <c r="K136" i="6"/>
  <c r="L115" i="6"/>
  <c r="M113" i="6"/>
  <c r="J118" i="6"/>
  <c r="K116" i="6"/>
  <c r="I96" i="6"/>
  <c r="I98" i="6" s="1"/>
  <c r="I122" i="6" s="1"/>
  <c r="I123" i="6" s="1"/>
  <c r="I124" i="6" s="1"/>
  <c r="H85" i="6"/>
  <c r="J85" i="6"/>
  <c r="J96" i="6"/>
  <c r="J98" i="6" s="1"/>
  <c r="J100" i="6" s="1"/>
  <c r="H100" i="6"/>
  <c r="I20" i="6"/>
  <c r="I22" i="6" s="1"/>
  <c r="I23" i="6" s="1"/>
  <c r="J42" i="6"/>
  <c r="K42" i="6" s="1"/>
  <c r="H58" i="6"/>
  <c r="J8" i="6"/>
  <c r="J57" i="6"/>
  <c r="J58" i="6" s="1"/>
  <c r="J27" i="6"/>
  <c r="K27" i="6" s="1"/>
  <c r="L27" i="6" s="1"/>
  <c r="E13" i="1"/>
  <c r="J34" i="5"/>
  <c r="J38" i="5" s="1"/>
  <c r="K33" i="5"/>
  <c r="I54" i="5"/>
  <c r="I56" i="5" s="1"/>
  <c r="K50" i="5"/>
  <c r="K51" i="5" s="1"/>
  <c r="K52" i="5" s="1"/>
  <c r="H59" i="5"/>
  <c r="O40" i="5"/>
  <c r="J55" i="5"/>
  <c r="K55" i="5" s="1"/>
  <c r="L55" i="5" s="1"/>
  <c r="M55" i="5" s="1"/>
  <c r="N55" i="5" s="1"/>
  <c r="O55" i="5" s="1"/>
  <c r="P55" i="5" s="1"/>
  <c r="Q55" i="5" s="1"/>
  <c r="R55" i="5" s="1"/>
  <c r="S55" i="5" s="1"/>
  <c r="T55" i="5" s="1"/>
  <c r="U55" i="5" s="1"/>
  <c r="V55" i="5" s="1"/>
  <c r="W55" i="5" s="1"/>
  <c r="X55" i="5" s="1"/>
  <c r="Y55" i="5" s="1"/>
  <c r="Z55" i="5" s="1"/>
  <c r="AA55" i="5" s="1"/>
  <c r="AB55" i="5" s="1"/>
  <c r="AC55" i="5" s="1"/>
  <c r="AD55" i="5" s="1"/>
  <c r="AE55" i="5" s="1"/>
  <c r="AF55" i="5" s="1"/>
  <c r="AG55" i="5" s="1"/>
  <c r="AH55" i="5" s="1"/>
  <c r="AI55" i="5" s="1"/>
  <c r="AJ55" i="5" s="1"/>
  <c r="AK55" i="5" s="1"/>
  <c r="AL55" i="5" s="1"/>
  <c r="AM55" i="5" s="1"/>
  <c r="AN55" i="5" s="1"/>
  <c r="AO55" i="5" s="1"/>
  <c r="AP55" i="5" s="1"/>
  <c r="AQ55" i="5" s="1"/>
  <c r="AR55" i="5" s="1"/>
  <c r="AS55" i="5" s="1"/>
  <c r="AT55" i="5" s="1"/>
  <c r="AU55" i="5" s="1"/>
  <c r="AV55" i="5" s="1"/>
  <c r="AW55" i="5" s="1"/>
  <c r="AX55" i="5" s="1"/>
  <c r="AY55" i="5" s="1"/>
  <c r="AZ55" i="5" s="1"/>
  <c r="BA55" i="5" s="1"/>
  <c r="BB55" i="5" s="1"/>
  <c r="BC55" i="5" s="1"/>
  <c r="BD55" i="5" s="1"/>
  <c r="BE55" i="5" s="1"/>
  <c r="BF55" i="5" s="1"/>
  <c r="BG55" i="5" s="1"/>
  <c r="BH55" i="5" s="1"/>
  <c r="BI55" i="5" s="1"/>
  <c r="BJ55" i="5" s="1"/>
  <c r="BK55" i="5" s="1"/>
  <c r="BL55" i="5" s="1"/>
  <c r="BM55" i="5" s="1"/>
  <c r="BN55" i="5" s="1"/>
  <c r="BO55" i="5" s="1"/>
  <c r="BP55" i="5" s="1"/>
  <c r="BQ55" i="5" s="1"/>
  <c r="BR55" i="5" s="1"/>
  <c r="BS55" i="5" s="1"/>
  <c r="BT55" i="5" s="1"/>
  <c r="BU55" i="5" s="1"/>
  <c r="BV55" i="5" s="1"/>
  <c r="BW55" i="5" s="1"/>
  <c r="BX55" i="5" s="1"/>
  <c r="BY55" i="5" s="1"/>
  <c r="BZ55" i="5" s="1"/>
  <c r="CA55" i="5" s="1"/>
  <c r="CB55" i="5" s="1"/>
  <c r="CC55" i="5" s="1"/>
  <c r="CD55" i="5" s="1"/>
  <c r="CE55" i="5" s="1"/>
  <c r="CF55" i="5" s="1"/>
  <c r="CG55" i="5" s="1"/>
  <c r="CH55" i="5" s="1"/>
  <c r="CI55" i="5" s="1"/>
  <c r="CJ55" i="5" s="1"/>
  <c r="CK55" i="5" s="1"/>
  <c r="CL55" i="5" s="1"/>
  <c r="CM55" i="5" s="1"/>
  <c r="CN55" i="5" s="1"/>
  <c r="CO55" i="5" s="1"/>
  <c r="CP55" i="5" s="1"/>
  <c r="CQ55" i="5" s="1"/>
  <c r="CR55" i="5" s="1"/>
  <c r="CS55" i="5" s="1"/>
  <c r="CT55" i="5" s="1"/>
  <c r="CU55" i="5" s="1"/>
  <c r="CV55" i="5" s="1"/>
  <c r="CW55" i="5" s="1"/>
  <c r="CX55" i="5" s="1"/>
  <c r="CY55" i="5" s="1"/>
  <c r="CZ55" i="5" s="1"/>
  <c r="DA55" i="5" s="1"/>
  <c r="DB55" i="5" s="1"/>
  <c r="DC55" i="5" s="1"/>
  <c r="DD55" i="5" s="1"/>
  <c r="DE55" i="5" s="1"/>
  <c r="I57" i="5"/>
  <c r="I36" i="5"/>
  <c r="I39" i="5" s="1"/>
  <c r="J35" i="5"/>
  <c r="H150" i="5"/>
  <c r="H29" i="5"/>
  <c r="H31" i="5" s="1"/>
  <c r="I146" i="5"/>
  <c r="I150" i="5" s="1"/>
  <c r="I151" i="5" s="1"/>
  <c r="H130" i="5"/>
  <c r="H131" i="5" s="1"/>
  <c r="J129" i="5"/>
  <c r="K129" i="5" s="1"/>
  <c r="K122" i="5"/>
  <c r="I123" i="5"/>
  <c r="I127" i="5" s="1"/>
  <c r="J105" i="5"/>
  <c r="K105" i="5" s="1"/>
  <c r="K107" i="5" s="1"/>
  <c r="K109" i="5" s="1"/>
  <c r="I107" i="5"/>
  <c r="I109" i="5" s="1"/>
  <c r="H148" i="5"/>
  <c r="H145" i="5"/>
  <c r="I143" i="5"/>
  <c r="H128" i="5"/>
  <c r="J124" i="5"/>
  <c r="J139" i="5"/>
  <c r="I140" i="5"/>
  <c r="I141" i="5" s="1"/>
  <c r="H147" i="5"/>
  <c r="H84" i="5"/>
  <c r="J66" i="5"/>
  <c r="K66" i="5" s="1"/>
  <c r="I22" i="5"/>
  <c r="K19" i="5"/>
  <c r="J22" i="5"/>
  <c r="H109" i="5"/>
  <c r="I16" i="5"/>
  <c r="I41" i="5" s="1"/>
  <c r="I65" i="5"/>
  <c r="J65" i="5" s="1"/>
  <c r="K65" i="5" s="1"/>
  <c r="L65" i="5" s="1"/>
  <c r="M65" i="5" s="1"/>
  <c r="N65" i="5" s="1"/>
  <c r="O65" i="5" s="1"/>
  <c r="P65" i="5" s="1"/>
  <c r="Q65" i="5" s="1"/>
  <c r="R65" i="5" s="1"/>
  <c r="S65" i="5" s="1"/>
  <c r="T65" i="5" s="1"/>
  <c r="U65" i="5" s="1"/>
  <c r="V65" i="5" s="1"/>
  <c r="W65" i="5" s="1"/>
  <c r="X65" i="5" s="1"/>
  <c r="Y65" i="5" s="1"/>
  <c r="Z65" i="5" s="1"/>
  <c r="AA65" i="5" s="1"/>
  <c r="AB65" i="5" s="1"/>
  <c r="AC65" i="5" s="1"/>
  <c r="AD65" i="5" s="1"/>
  <c r="AE65" i="5" s="1"/>
  <c r="AF65" i="5" s="1"/>
  <c r="AG65" i="5" s="1"/>
  <c r="AH65" i="5" s="1"/>
  <c r="AI65" i="5" s="1"/>
  <c r="AJ65" i="5" s="1"/>
  <c r="AK65" i="5" s="1"/>
  <c r="AL65" i="5" s="1"/>
  <c r="AM65" i="5" s="1"/>
  <c r="AN65" i="5" s="1"/>
  <c r="AO65" i="5" s="1"/>
  <c r="AP65" i="5" s="1"/>
  <c r="AQ65" i="5" s="1"/>
  <c r="AR65" i="5" s="1"/>
  <c r="AS65" i="5" s="1"/>
  <c r="AT65" i="5" s="1"/>
  <c r="AU65" i="5" s="1"/>
  <c r="AV65" i="5" s="1"/>
  <c r="AW65" i="5" s="1"/>
  <c r="AX65" i="5" s="1"/>
  <c r="AY65" i="5" s="1"/>
  <c r="AZ65" i="5" s="1"/>
  <c r="BA65" i="5" s="1"/>
  <c r="BB65" i="5" s="1"/>
  <c r="BC65" i="5" s="1"/>
  <c r="BD65" i="5" s="1"/>
  <c r="BE65" i="5" s="1"/>
  <c r="BF65" i="5" s="1"/>
  <c r="BG65" i="5" s="1"/>
  <c r="BH65" i="5" s="1"/>
  <c r="BI65" i="5" s="1"/>
  <c r="BJ65" i="5" s="1"/>
  <c r="BK65" i="5" s="1"/>
  <c r="BL65" i="5" s="1"/>
  <c r="BM65" i="5" s="1"/>
  <c r="BN65" i="5" s="1"/>
  <c r="BO65" i="5" s="1"/>
  <c r="BP65" i="5" s="1"/>
  <c r="BQ65" i="5" s="1"/>
  <c r="BR65" i="5" s="1"/>
  <c r="BS65" i="5" s="1"/>
  <c r="BT65" i="5" s="1"/>
  <c r="BU65" i="5" s="1"/>
  <c r="BV65" i="5" s="1"/>
  <c r="BW65" i="5" s="1"/>
  <c r="BX65" i="5" s="1"/>
  <c r="BY65" i="5" s="1"/>
  <c r="BZ65" i="5" s="1"/>
  <c r="CA65" i="5" s="1"/>
  <c r="CB65" i="5" s="1"/>
  <c r="CC65" i="5" s="1"/>
  <c r="CD65" i="5" s="1"/>
  <c r="CE65" i="5" s="1"/>
  <c r="CF65" i="5" s="1"/>
  <c r="CG65" i="5" s="1"/>
  <c r="CH65" i="5" s="1"/>
  <c r="CI65" i="5" s="1"/>
  <c r="CJ65" i="5" s="1"/>
  <c r="CK65" i="5" s="1"/>
  <c r="CL65" i="5" s="1"/>
  <c r="CM65" i="5" s="1"/>
  <c r="CN65" i="5" s="1"/>
  <c r="CO65" i="5" s="1"/>
  <c r="CP65" i="5" s="1"/>
  <c r="CQ65" i="5" s="1"/>
  <c r="CR65" i="5" s="1"/>
  <c r="CS65" i="5" s="1"/>
  <c r="CT65" i="5" s="1"/>
  <c r="CU65" i="5" s="1"/>
  <c r="CV65" i="5" s="1"/>
  <c r="CW65" i="5" s="1"/>
  <c r="CX65" i="5" s="1"/>
  <c r="CY65" i="5" s="1"/>
  <c r="CZ65" i="5" s="1"/>
  <c r="DA65" i="5" s="1"/>
  <c r="DB65" i="5" s="1"/>
  <c r="DC65" i="5" s="1"/>
  <c r="DD65" i="5" s="1"/>
  <c r="DE65" i="5" s="1"/>
  <c r="H87" i="5"/>
  <c r="J87" i="5" s="1"/>
  <c r="I87" i="5"/>
  <c r="I112" i="5" s="1"/>
  <c r="Q11" i="7"/>
  <c r="K31" i="1" s="1"/>
  <c r="K19" i="3"/>
  <c r="K38" i="3"/>
  <c r="I6" i="4"/>
  <c r="D1" i="4"/>
  <c r="E5" i="3"/>
  <c r="D2" i="3"/>
  <c r="B24" i="8"/>
  <c r="F13" i="7"/>
  <c r="C3" i="6"/>
  <c r="G71" i="6" s="1"/>
  <c r="D5" i="5"/>
  <c r="B14" i="3"/>
  <c r="K14" i="3"/>
  <c r="G79" i="6"/>
  <c r="G104" i="6" s="1"/>
  <c r="G113" i="5"/>
  <c r="H88" i="5"/>
  <c r="H110" i="5"/>
  <c r="H111" i="5" s="1"/>
  <c r="H85" i="5"/>
  <c r="H86" i="5" s="1"/>
  <c r="H26" i="5"/>
  <c r="D9" i="4"/>
  <c r="L4" i="3"/>
  <c r="K17" i="3"/>
  <c r="P11" i="7"/>
  <c r="J31" i="1" s="1"/>
  <c r="J19" i="3"/>
  <c r="H6" i="4"/>
  <c r="J14" i="3"/>
  <c r="N11" i="7"/>
  <c r="H31" i="1" s="1"/>
  <c r="F6" i="4"/>
  <c r="K11" i="7"/>
  <c r="E31" i="1" s="1"/>
  <c r="C6" i="4"/>
  <c r="C19" i="3"/>
  <c r="C24" i="3" s="1"/>
  <c r="H16" i="3"/>
  <c r="H19" i="3" s="1"/>
  <c r="C4" i="6"/>
  <c r="D6" i="5"/>
  <c r="L11" i="7"/>
  <c r="F31" i="1" s="1"/>
  <c r="D6" i="4"/>
  <c r="D19" i="3"/>
  <c r="D24" i="3" s="1"/>
  <c r="F19" i="3"/>
  <c r="F24" i="3" s="1"/>
  <c r="I25" i="5"/>
  <c r="C11" i="4"/>
  <c r="J16" i="5"/>
  <c r="J41" i="5" s="1"/>
  <c r="K15" i="5"/>
  <c r="M11" i="7"/>
  <c r="G31" i="1" s="1"/>
  <c r="E6" i="4"/>
  <c r="H18" i="5"/>
  <c r="H23" i="5" s="1"/>
  <c r="H24" i="5" s="1"/>
  <c r="L93" i="5"/>
  <c r="K94" i="5"/>
  <c r="H73" i="5"/>
  <c r="I80" i="5"/>
  <c r="I94" i="5"/>
  <c r="L30" i="5"/>
  <c r="I83" i="6"/>
  <c r="I85" i="6" s="1"/>
  <c r="I87" i="6" s="1"/>
  <c r="I88" i="6" s="1"/>
  <c r="H94" i="5"/>
  <c r="H96" i="5" s="1"/>
  <c r="H97" i="5" s="1"/>
  <c r="L99" i="5"/>
  <c r="H67" i="5"/>
  <c r="H101" i="5"/>
  <c r="I101" i="5" s="1"/>
  <c r="I102" i="5" s="1"/>
  <c r="I103" i="5" s="1"/>
  <c r="I95" i="5"/>
  <c r="J94" i="5"/>
  <c r="G112" i="5"/>
  <c r="I118" i="5"/>
  <c r="I89" i="6"/>
  <c r="X18" i="6"/>
  <c r="Y18" i="6" s="1"/>
  <c r="Z18" i="6" s="1"/>
  <c r="AA18" i="6" s="1"/>
  <c r="AB18" i="6" s="1"/>
  <c r="AC18" i="6" s="1"/>
  <c r="AD18" i="6" s="1"/>
  <c r="AE18" i="6" s="1"/>
  <c r="AF18" i="6" s="1"/>
  <c r="AG18" i="6" s="1"/>
  <c r="AH18" i="6" s="1"/>
  <c r="AI18" i="6" s="1"/>
  <c r="AJ18" i="6" s="1"/>
  <c r="AK18" i="6" s="1"/>
  <c r="W20" i="6"/>
  <c r="G15" i="6"/>
  <c r="G21" i="6"/>
  <c r="H48" i="6"/>
  <c r="H54" i="6" s="1"/>
  <c r="I47" i="6"/>
  <c r="AO53" i="6"/>
  <c r="BS53" i="6"/>
  <c r="CD53" i="6"/>
  <c r="Y53" i="6"/>
  <c r="AG53" i="6"/>
  <c r="BE53" i="6"/>
  <c r="H101" i="6"/>
  <c r="H102" i="6" s="1"/>
  <c r="H76" i="6"/>
  <c r="H77" i="6" s="1"/>
  <c r="H33" i="6"/>
  <c r="H34" i="6" s="1"/>
  <c r="H35" i="6" s="1"/>
  <c r="H19" i="6"/>
  <c r="H20" i="6"/>
  <c r="J32" i="6"/>
  <c r="I33" i="6"/>
  <c r="I34" i="6" s="1"/>
  <c r="I35" i="6" s="1"/>
  <c r="U53" i="6"/>
  <c r="AC53" i="6"/>
  <c r="AK53" i="6"/>
  <c r="BA53" i="6"/>
  <c r="BI53" i="6"/>
  <c r="BQ53" i="6"/>
  <c r="BY53" i="6"/>
  <c r="CG53" i="6"/>
  <c r="CO53" i="6"/>
  <c r="CW53" i="6"/>
  <c r="DE53" i="6"/>
  <c r="R53" i="6"/>
  <c r="AM53" i="6"/>
  <c r="AE53" i="6"/>
  <c r="BK53" i="6"/>
  <c r="J86" i="6"/>
  <c r="DC53" i="6"/>
  <c r="M84" i="6"/>
  <c r="J71" i="6"/>
  <c r="I73" i="6"/>
  <c r="I75" i="6" s="1"/>
  <c r="I56" i="6"/>
  <c r="J56" i="6" s="1"/>
  <c r="E75" i="8"/>
  <c r="B75" i="8"/>
  <c r="H92" i="6"/>
  <c r="I92" i="6" s="1"/>
  <c r="H87" i="6"/>
  <c r="H88" i="6" s="1"/>
  <c r="L10" i="8"/>
  <c r="H44" i="6" s="1"/>
  <c r="H110" i="6"/>
  <c r="H111" i="6" s="1"/>
  <c r="H112" i="6" s="1"/>
  <c r="I110" i="6"/>
  <c r="I111" i="6" s="1"/>
  <c r="I112" i="6" s="1"/>
  <c r="H73" i="6"/>
  <c r="H75" i="6" s="1"/>
  <c r="K85" i="6"/>
  <c r="I100" i="6"/>
  <c r="E42" i="8"/>
  <c r="J110" i="6"/>
  <c r="J111" i="6" s="1"/>
  <c r="J112" i="6" s="1"/>
  <c r="K109" i="6"/>
  <c r="C46" i="7"/>
  <c r="F61" i="8"/>
  <c r="L62" i="8"/>
  <c r="M61" i="8"/>
  <c r="C48" i="7"/>
  <c r="C42" i="7"/>
  <c r="C43" i="7" s="1"/>
  <c r="K29" i="6" l="1"/>
  <c r="K96" i="6"/>
  <c r="J29" i="6"/>
  <c r="K121" i="6"/>
  <c r="J122" i="6"/>
  <c r="J123" i="6" s="1"/>
  <c r="J124" i="6" s="1"/>
  <c r="M131" i="6"/>
  <c r="L132" i="6"/>
  <c r="L133" i="6" s="1"/>
  <c r="M115" i="6"/>
  <c r="N113" i="6"/>
  <c r="J119" i="6"/>
  <c r="J127" i="6" s="1"/>
  <c r="J129" i="6" s="1"/>
  <c r="J130" i="6" s="1"/>
  <c r="J120" i="6"/>
  <c r="L116" i="6"/>
  <c r="K118" i="6"/>
  <c r="K137" i="6"/>
  <c r="L136" i="6"/>
  <c r="J43" i="6"/>
  <c r="J44" i="6" s="1"/>
  <c r="J9" i="6"/>
  <c r="J19" i="6" s="1"/>
  <c r="K8" i="6"/>
  <c r="M27" i="6"/>
  <c r="L29" i="6"/>
  <c r="F13" i="1"/>
  <c r="E14" i="1"/>
  <c r="I42" i="5"/>
  <c r="H43" i="5" s="1"/>
  <c r="H45" i="5" s="1"/>
  <c r="H64" i="5" s="1"/>
  <c r="L50" i="5"/>
  <c r="M50" i="5" s="1"/>
  <c r="I59" i="5"/>
  <c r="J54" i="5"/>
  <c r="J56" i="5" s="1"/>
  <c r="K34" i="5"/>
  <c r="K38" i="5" s="1"/>
  <c r="L33" i="5"/>
  <c r="K35" i="5"/>
  <c r="J36" i="5"/>
  <c r="J39" i="5" s="1"/>
  <c r="P40" i="5"/>
  <c r="I61" i="5"/>
  <c r="I62" i="5" s="1"/>
  <c r="I63" i="5" s="1"/>
  <c r="J57" i="5"/>
  <c r="I58" i="5"/>
  <c r="I60" i="5" s="1"/>
  <c r="I46" i="5" s="1"/>
  <c r="I48" i="5" s="1"/>
  <c r="I49" i="5" s="1"/>
  <c r="I53" i="5" s="1"/>
  <c r="I90" i="5" s="1"/>
  <c r="L51" i="5"/>
  <c r="L52" i="5" s="1"/>
  <c r="H149" i="5"/>
  <c r="H135" i="5" s="1"/>
  <c r="H137" i="5" s="1"/>
  <c r="H138" i="5" s="1"/>
  <c r="H142" i="5" s="1"/>
  <c r="J107" i="5"/>
  <c r="J109" i="5" s="1"/>
  <c r="J67" i="5"/>
  <c r="J146" i="5"/>
  <c r="I29" i="5"/>
  <c r="I147" i="5"/>
  <c r="I149" i="5" s="1"/>
  <c r="I135" i="5" s="1"/>
  <c r="I137" i="5" s="1"/>
  <c r="I138" i="5" s="1"/>
  <c r="I142" i="5" s="1"/>
  <c r="I91" i="5" s="1"/>
  <c r="I110" i="5"/>
  <c r="I101" i="6" s="1"/>
  <c r="G80" i="5"/>
  <c r="DK152" i="5"/>
  <c r="DG152" i="5"/>
  <c r="DH152" i="5"/>
  <c r="DJ152" i="5"/>
  <c r="DI152" i="5"/>
  <c r="DF152" i="5"/>
  <c r="DL152" i="5"/>
  <c r="K123" i="5"/>
  <c r="K127" i="5" s="1"/>
  <c r="L122" i="5"/>
  <c r="J130" i="5"/>
  <c r="L105" i="5"/>
  <c r="L107" i="5" s="1"/>
  <c r="L109" i="5" s="1"/>
  <c r="I130" i="5"/>
  <c r="I131" i="5" s="1"/>
  <c r="I128" i="5"/>
  <c r="L129" i="5"/>
  <c r="K139" i="5"/>
  <c r="J140" i="5"/>
  <c r="J141" i="5" s="1"/>
  <c r="J125" i="5"/>
  <c r="J128" i="5" s="1"/>
  <c r="K124" i="5"/>
  <c r="I148" i="5"/>
  <c r="I145" i="5"/>
  <c r="I152" i="5" s="1"/>
  <c r="J143" i="5"/>
  <c r="K87" i="5"/>
  <c r="K112" i="5" s="1"/>
  <c r="I85" i="5"/>
  <c r="I86" i="5" s="1"/>
  <c r="I78" i="6"/>
  <c r="I103" i="6" s="1"/>
  <c r="I26" i="5"/>
  <c r="I18" i="5"/>
  <c r="I23" i="5" s="1"/>
  <c r="I24" i="5" s="1"/>
  <c r="H112" i="5"/>
  <c r="H78" i="6"/>
  <c r="H103" i="6" s="1"/>
  <c r="L19" i="5"/>
  <c r="K22" i="5"/>
  <c r="K43" i="6"/>
  <c r="K44" i="6" s="1"/>
  <c r="L42" i="6"/>
  <c r="E9" i="4"/>
  <c r="H93" i="6"/>
  <c r="H94" i="6" s="1"/>
  <c r="K98" i="6"/>
  <c r="K100" i="6" s="1"/>
  <c r="L96" i="6"/>
  <c r="N84" i="6"/>
  <c r="M85" i="6"/>
  <c r="K67" i="5"/>
  <c r="L66" i="5"/>
  <c r="J80" i="5"/>
  <c r="I82" i="5"/>
  <c r="I84" i="5" s="1"/>
  <c r="L17" i="3"/>
  <c r="L16" i="3"/>
  <c r="M4" i="3"/>
  <c r="H89" i="5"/>
  <c r="M99" i="5"/>
  <c r="AK20" i="6"/>
  <c r="AL18" i="6"/>
  <c r="AM18" i="6" s="1"/>
  <c r="AN18" i="6" s="1"/>
  <c r="AO18" i="6" s="1"/>
  <c r="AP18" i="6" s="1"/>
  <c r="AQ18" i="6" s="1"/>
  <c r="AR18" i="6" s="1"/>
  <c r="AS18" i="6" s="1"/>
  <c r="AT18" i="6" s="1"/>
  <c r="AU18" i="6" s="1"/>
  <c r="AV18" i="6" s="1"/>
  <c r="AW18" i="6" s="1"/>
  <c r="AX18" i="6" s="1"/>
  <c r="AY18" i="6" s="1"/>
  <c r="J95" i="5"/>
  <c r="I96" i="5"/>
  <c r="I97" i="5" s="1"/>
  <c r="K32" i="6"/>
  <c r="D11" i="4"/>
  <c r="I48" i="6"/>
  <c r="I54" i="6" s="1"/>
  <c r="J47" i="6"/>
  <c r="H102" i="5"/>
  <c r="H103" i="5" s="1"/>
  <c r="J78" i="6"/>
  <c r="K78" i="6" s="1"/>
  <c r="J112" i="5"/>
  <c r="J103" i="6" s="1"/>
  <c r="L87" i="5"/>
  <c r="M93" i="5"/>
  <c r="L94" i="5"/>
  <c r="M30" i="5"/>
  <c r="H59" i="6"/>
  <c r="G68" i="5"/>
  <c r="K68" i="5" s="1"/>
  <c r="L109" i="6"/>
  <c r="K110" i="6"/>
  <c r="K111" i="6" s="1"/>
  <c r="K112" i="6" s="1"/>
  <c r="K71" i="6"/>
  <c r="J73" i="6"/>
  <c r="J75" i="6" s="1"/>
  <c r="J22" i="6"/>
  <c r="J23" i="6" s="1"/>
  <c r="J89" i="6"/>
  <c r="I93" i="6"/>
  <c r="I94" i="6" s="1"/>
  <c r="K16" i="5"/>
  <c r="K41" i="5" s="1"/>
  <c r="L15" i="5"/>
  <c r="I27" i="5"/>
  <c r="J25" i="5"/>
  <c r="K25" i="5" s="1"/>
  <c r="L25" i="5" s="1"/>
  <c r="M25" i="5" s="1"/>
  <c r="N25" i="5" s="1"/>
  <c r="O25" i="5" s="1"/>
  <c r="P25" i="5" s="1"/>
  <c r="Q25" i="5" s="1"/>
  <c r="R25" i="5" s="1"/>
  <c r="S25" i="5" s="1"/>
  <c r="T25" i="5" s="1"/>
  <c r="U25" i="5" s="1"/>
  <c r="V25" i="5" s="1"/>
  <c r="H74" i="5"/>
  <c r="H75" i="5" s="1"/>
  <c r="H79" i="6"/>
  <c r="H104" i="6" s="1"/>
  <c r="H113" i="5"/>
  <c r="I88" i="5"/>
  <c r="I119" i="5"/>
  <c r="I120" i="5" s="1"/>
  <c r="I121" i="5" s="1"/>
  <c r="J118" i="5"/>
  <c r="J7" i="7"/>
  <c r="D28" i="1" s="1"/>
  <c r="B28" i="1" s="1"/>
  <c r="J5" i="7"/>
  <c r="D26" i="1" s="1"/>
  <c r="B26" i="1" s="1"/>
  <c r="J87" i="6"/>
  <c r="J88" i="6" s="1"/>
  <c r="K86" i="6"/>
  <c r="J92" i="6"/>
  <c r="J13" i="8"/>
  <c r="J11" i="8"/>
  <c r="DC36" i="6"/>
  <c r="CU36" i="6"/>
  <c r="CM36" i="6"/>
  <c r="CE36" i="6"/>
  <c r="BW36" i="6"/>
  <c r="BO36" i="6"/>
  <c r="BG36" i="6"/>
  <c r="AY36" i="6"/>
  <c r="AQ36" i="6"/>
  <c r="AI36" i="6"/>
  <c r="AA36" i="6"/>
  <c r="S36" i="6"/>
  <c r="K36" i="6"/>
  <c r="DA26" i="6"/>
  <c r="CS26" i="6"/>
  <c r="CK26" i="6"/>
  <c r="CC26" i="6"/>
  <c r="BU26" i="6"/>
  <c r="BM26" i="6"/>
  <c r="BE26" i="6"/>
  <c r="AW26" i="6"/>
  <c r="AO26" i="6"/>
  <c r="AG26" i="6"/>
  <c r="Y26" i="6"/>
  <c r="Q26" i="6"/>
  <c r="I26" i="6"/>
  <c r="DB36" i="6"/>
  <c r="CT36" i="6"/>
  <c r="CL36" i="6"/>
  <c r="CD36" i="6"/>
  <c r="BV36" i="6"/>
  <c r="BN36" i="6"/>
  <c r="BF36" i="6"/>
  <c r="AX36" i="6"/>
  <c r="AP36" i="6"/>
  <c r="AH36" i="6"/>
  <c r="Z36" i="6"/>
  <c r="R36" i="6"/>
  <c r="J36" i="6"/>
  <c r="CZ26" i="6"/>
  <c r="CR26" i="6"/>
  <c r="CJ26" i="6"/>
  <c r="CB26" i="6"/>
  <c r="BT26" i="6"/>
  <c r="BL26" i="6"/>
  <c r="BD26" i="6"/>
  <c r="AV26" i="6"/>
  <c r="AN26" i="6"/>
  <c r="AF26" i="6"/>
  <c r="X26" i="6"/>
  <c r="P26" i="6"/>
  <c r="H26" i="6"/>
  <c r="DE36" i="6"/>
  <c r="CW36" i="6"/>
  <c r="CO36" i="6"/>
  <c r="CG36" i="6"/>
  <c r="BY36" i="6"/>
  <c r="BQ36" i="6"/>
  <c r="BI36" i="6"/>
  <c r="BA36" i="6"/>
  <c r="AS36" i="6"/>
  <c r="AK36" i="6"/>
  <c r="AC36" i="6"/>
  <c r="U36" i="6"/>
  <c r="M36" i="6"/>
  <c r="DC26" i="6"/>
  <c r="CU26" i="6"/>
  <c r="CM26" i="6"/>
  <c r="CE26" i="6"/>
  <c r="BW26" i="6"/>
  <c r="BO26" i="6"/>
  <c r="BG26" i="6"/>
  <c r="AY26" i="6"/>
  <c r="AQ26" i="6"/>
  <c r="AI26" i="6"/>
  <c r="AA26" i="6"/>
  <c r="S26" i="6"/>
  <c r="K26" i="6"/>
  <c r="K30" i="6" s="1"/>
  <c r="K38" i="6" s="1"/>
  <c r="K40" i="6" s="1"/>
  <c r="K41" i="6" s="1"/>
  <c r="CV36" i="6"/>
  <c r="CI36" i="6"/>
  <c r="BU36" i="6"/>
  <c r="BJ36" i="6"/>
  <c r="AV36" i="6"/>
  <c r="AJ36" i="6"/>
  <c r="W36" i="6"/>
  <c r="I36" i="6"/>
  <c r="CT26" i="6"/>
  <c r="CG26" i="6"/>
  <c r="BS26" i="6"/>
  <c r="BH26" i="6"/>
  <c r="AT26" i="6"/>
  <c r="AH26" i="6"/>
  <c r="U26" i="6"/>
  <c r="CS36" i="6"/>
  <c r="CH36" i="6"/>
  <c r="BT36" i="6"/>
  <c r="BH36" i="6"/>
  <c r="AU36" i="6"/>
  <c r="AG36" i="6"/>
  <c r="V36" i="6"/>
  <c r="H36" i="6"/>
  <c r="DE26" i="6"/>
  <c r="CQ26" i="6"/>
  <c r="CF26" i="6"/>
  <c r="BR26" i="6"/>
  <c r="BF26" i="6"/>
  <c r="AS26" i="6"/>
  <c r="AE26" i="6"/>
  <c r="T26" i="6"/>
  <c r="CR36" i="6"/>
  <c r="CF36" i="6"/>
  <c r="BS36" i="6"/>
  <c r="BE36" i="6"/>
  <c r="AT36" i="6"/>
  <c r="AF36" i="6"/>
  <c r="T36" i="6"/>
  <c r="DD26" i="6"/>
  <c r="CP26" i="6"/>
  <c r="CD26" i="6"/>
  <c r="BQ26" i="6"/>
  <c r="BC26" i="6"/>
  <c r="AR26" i="6"/>
  <c r="AD26" i="6"/>
  <c r="R26" i="6"/>
  <c r="CY36" i="6"/>
  <c r="CK36" i="6"/>
  <c r="BZ36" i="6"/>
  <c r="BL36" i="6"/>
  <c r="AZ36" i="6"/>
  <c r="AM36" i="6"/>
  <c r="Y36" i="6"/>
  <c r="N36" i="6"/>
  <c r="DA36" i="6"/>
  <c r="CB36" i="6"/>
  <c r="BC36" i="6"/>
  <c r="AD36" i="6"/>
  <c r="CV26" i="6"/>
  <c r="BY26" i="6"/>
  <c r="BB26" i="6"/>
  <c r="AK26" i="6"/>
  <c r="N26" i="6"/>
  <c r="CZ36" i="6"/>
  <c r="CA36" i="6"/>
  <c r="BB36" i="6"/>
  <c r="AB36" i="6"/>
  <c r="CO26" i="6"/>
  <c r="BX26" i="6"/>
  <c r="BA26" i="6"/>
  <c r="AJ26" i="6"/>
  <c r="M26" i="6"/>
  <c r="CX36" i="6"/>
  <c r="BX36" i="6"/>
  <c r="AW36" i="6"/>
  <c r="X36" i="6"/>
  <c r="CN26" i="6"/>
  <c r="BV26" i="6"/>
  <c r="AZ26" i="6"/>
  <c r="AC26" i="6"/>
  <c r="L26" i="6"/>
  <c r="CQ36" i="6"/>
  <c r="BR36" i="6"/>
  <c r="AR36" i="6"/>
  <c r="Q36" i="6"/>
  <c r="CP36" i="6"/>
  <c r="BP36" i="6"/>
  <c r="AO36" i="6"/>
  <c r="P36" i="6"/>
  <c r="DD36" i="6"/>
  <c r="CC36" i="6"/>
  <c r="BD36" i="6"/>
  <c r="AE36" i="6"/>
  <c r="CW26" i="6"/>
  <c r="BZ26" i="6"/>
  <c r="BI26" i="6"/>
  <c r="AL26" i="6"/>
  <c r="O26" i="6"/>
  <c r="BK36" i="6"/>
  <c r="CI26" i="6"/>
  <c r="AU26" i="6"/>
  <c r="AN36" i="6"/>
  <c r="CH26" i="6"/>
  <c r="AP26" i="6"/>
  <c r="AL36" i="6"/>
  <c r="CA26" i="6"/>
  <c r="AM26" i="6"/>
  <c r="O36" i="6"/>
  <c r="BP26" i="6"/>
  <c r="AB26" i="6"/>
  <c r="L36" i="6"/>
  <c r="DB26" i="6"/>
  <c r="BN26" i="6"/>
  <c r="Z26" i="6"/>
  <c r="BM36" i="6"/>
  <c r="CL26" i="6"/>
  <c r="AX26" i="6"/>
  <c r="J26" i="6"/>
  <c r="J30" i="6" s="1"/>
  <c r="J38" i="6" s="1"/>
  <c r="J40" i="6" s="1"/>
  <c r="J41" i="6" s="1"/>
  <c r="J45" i="6" s="1"/>
  <c r="CY26" i="6"/>
  <c r="CX26" i="6"/>
  <c r="BK26" i="6"/>
  <c r="BJ26" i="6"/>
  <c r="W26" i="6"/>
  <c r="CJ36" i="6"/>
  <c r="CN36" i="6"/>
  <c r="V26" i="6"/>
  <c r="I44" i="6"/>
  <c r="B8" i="7"/>
  <c r="J8" i="7" s="1"/>
  <c r="D29" i="1" s="1"/>
  <c r="B29" i="1" s="1"/>
  <c r="B6" i="7"/>
  <c r="J6" i="7" s="1"/>
  <c r="D27" i="1" s="1"/>
  <c r="B27" i="1" s="1"/>
  <c r="C47" i="7"/>
  <c r="B4" i="7"/>
  <c r="J110" i="5"/>
  <c r="J85" i="5"/>
  <c r="J26" i="5"/>
  <c r="J18" i="5"/>
  <c r="J23" i="5" s="1"/>
  <c r="J24" i="5" s="1"/>
  <c r="E1" i="4"/>
  <c r="F5" i="3"/>
  <c r="E2" i="3"/>
  <c r="L137" i="6" l="1"/>
  <c r="M136" i="6"/>
  <c r="J134" i="6"/>
  <c r="M116" i="6"/>
  <c r="L118" i="6"/>
  <c r="M132" i="6"/>
  <c r="M133" i="6" s="1"/>
  <c r="N131" i="6"/>
  <c r="O113" i="6"/>
  <c r="N115" i="6"/>
  <c r="K120" i="6"/>
  <c r="K119" i="6"/>
  <c r="K127" i="6" s="1"/>
  <c r="K129" i="6" s="1"/>
  <c r="K130" i="6" s="1"/>
  <c r="L121" i="6"/>
  <c r="K122" i="6"/>
  <c r="K123" i="6" s="1"/>
  <c r="K124" i="6" s="1"/>
  <c r="K31" i="6"/>
  <c r="K37" i="6" s="1"/>
  <c r="J33" i="6"/>
  <c r="J34" i="6" s="1"/>
  <c r="J35" i="6" s="1"/>
  <c r="K45" i="6"/>
  <c r="M29" i="6"/>
  <c r="N27" i="6"/>
  <c r="J31" i="6"/>
  <c r="J37" i="6" s="1"/>
  <c r="J55" i="6" s="1"/>
  <c r="M31" i="6"/>
  <c r="M37" i="6" s="1"/>
  <c r="K9" i="6"/>
  <c r="L8" i="6"/>
  <c r="I43" i="5"/>
  <c r="I45" i="5" s="1"/>
  <c r="F14" i="1"/>
  <c r="G13" i="1"/>
  <c r="H90" i="5"/>
  <c r="H115" i="5" s="1"/>
  <c r="H91" i="5"/>
  <c r="L34" i="5"/>
  <c r="L38" i="5" s="1"/>
  <c r="M33" i="5"/>
  <c r="K54" i="5"/>
  <c r="J59" i="5"/>
  <c r="L35" i="5"/>
  <c r="K36" i="5"/>
  <c r="K39" i="5" s="1"/>
  <c r="N50" i="5"/>
  <c r="M51" i="5"/>
  <c r="M52" i="5" s="1"/>
  <c r="I64" i="5"/>
  <c r="Q40" i="5"/>
  <c r="K57" i="5"/>
  <c r="J61" i="5"/>
  <c r="J62" i="5" s="1"/>
  <c r="J63" i="5" s="1"/>
  <c r="J58" i="5"/>
  <c r="J60" i="5" s="1"/>
  <c r="J46" i="5" s="1"/>
  <c r="J48" i="5" s="1"/>
  <c r="J49" i="5" s="1"/>
  <c r="J53" i="5" s="1"/>
  <c r="J42" i="5"/>
  <c r="J43" i="5" s="1"/>
  <c r="J45" i="5" s="1"/>
  <c r="M105" i="5"/>
  <c r="M107" i="5" s="1"/>
  <c r="M109" i="5" s="1"/>
  <c r="J131" i="5"/>
  <c r="J132" i="5" s="1"/>
  <c r="J134" i="5" s="1"/>
  <c r="M87" i="5"/>
  <c r="J29" i="5"/>
  <c r="J31" i="5" s="1"/>
  <c r="J32" i="5" s="1"/>
  <c r="J147" i="5"/>
  <c r="J149" i="5" s="1"/>
  <c r="J135" i="5" s="1"/>
  <c r="J137" i="5" s="1"/>
  <c r="J138" i="5" s="1"/>
  <c r="J142" i="5" s="1"/>
  <c r="J91" i="5" s="1"/>
  <c r="K146" i="5"/>
  <c r="J150" i="5"/>
  <c r="J151" i="5" s="1"/>
  <c r="K130" i="5"/>
  <c r="I111" i="5"/>
  <c r="I102" i="6" s="1"/>
  <c r="H132" i="5"/>
  <c r="H134" i="5" s="1"/>
  <c r="H153" i="5" s="1"/>
  <c r="I132" i="5"/>
  <c r="I134" i="5" s="1"/>
  <c r="I153" i="5" s="1"/>
  <c r="L123" i="5"/>
  <c r="L127" i="5" s="1"/>
  <c r="M122" i="5"/>
  <c r="L139" i="5"/>
  <c r="K140" i="5"/>
  <c r="K141" i="5" s="1"/>
  <c r="L124" i="5"/>
  <c r="K125" i="5"/>
  <c r="K128" i="5" s="1"/>
  <c r="M129" i="5"/>
  <c r="J145" i="5"/>
  <c r="K143" i="5"/>
  <c r="J148" i="5"/>
  <c r="I76" i="6"/>
  <c r="H114" i="5"/>
  <c r="H105" i="6"/>
  <c r="L22" i="5"/>
  <c r="M19" i="5"/>
  <c r="F1" i="4"/>
  <c r="G5" i="3"/>
  <c r="F2" i="3"/>
  <c r="K80" i="5"/>
  <c r="J82" i="5"/>
  <c r="J84" i="5" s="1"/>
  <c r="J76" i="6"/>
  <c r="J86" i="5"/>
  <c r="K87" i="6"/>
  <c r="K88" i="6" s="1"/>
  <c r="L86" i="6"/>
  <c r="K92" i="6"/>
  <c r="DA89" i="6"/>
  <c r="CS89" i="6"/>
  <c r="CK89" i="6"/>
  <c r="CC89" i="6"/>
  <c r="BU89" i="6"/>
  <c r="BM89" i="6"/>
  <c r="BE89" i="6"/>
  <c r="AW89" i="6"/>
  <c r="AO89" i="6"/>
  <c r="AG89" i="6"/>
  <c r="Y89" i="6"/>
  <c r="Q89" i="6"/>
  <c r="CZ89" i="6"/>
  <c r="CR89" i="6"/>
  <c r="CJ89" i="6"/>
  <c r="CB89" i="6"/>
  <c r="BT89" i="6"/>
  <c r="BL89" i="6"/>
  <c r="BD89" i="6"/>
  <c r="AV89" i="6"/>
  <c r="AN89" i="6"/>
  <c r="AF89" i="6"/>
  <c r="X89" i="6"/>
  <c r="P89" i="6"/>
  <c r="CY89" i="6"/>
  <c r="CQ89" i="6"/>
  <c r="CI89" i="6"/>
  <c r="CA89" i="6"/>
  <c r="BS89" i="6"/>
  <c r="BK89" i="6"/>
  <c r="BC89" i="6"/>
  <c r="AU89" i="6"/>
  <c r="AM89" i="6"/>
  <c r="AE89" i="6"/>
  <c r="W89" i="6"/>
  <c r="O89" i="6"/>
  <c r="CU89" i="6"/>
  <c r="CG89" i="6"/>
  <c r="BV89" i="6"/>
  <c r="BH89" i="6"/>
  <c r="AT89" i="6"/>
  <c r="AI89" i="6"/>
  <c r="U89" i="6"/>
  <c r="DE89" i="6"/>
  <c r="CT89" i="6"/>
  <c r="CF89" i="6"/>
  <c r="BR89" i="6"/>
  <c r="BG89" i="6"/>
  <c r="AS89" i="6"/>
  <c r="AH89" i="6"/>
  <c r="T89" i="6"/>
  <c r="DD89" i="6"/>
  <c r="CP89" i="6"/>
  <c r="CE89" i="6"/>
  <c r="BQ89" i="6"/>
  <c r="BF89" i="6"/>
  <c r="AR89" i="6"/>
  <c r="AD89" i="6"/>
  <c r="S89" i="6"/>
  <c r="CV89" i="6"/>
  <c r="CH89" i="6"/>
  <c r="BW89" i="6"/>
  <c r="BI89" i="6"/>
  <c r="AX89" i="6"/>
  <c r="AJ89" i="6"/>
  <c r="V89" i="6"/>
  <c r="K89" i="6"/>
  <c r="DC89" i="6"/>
  <c r="CD89" i="6"/>
  <c r="BB89" i="6"/>
  <c r="AC89" i="6"/>
  <c r="DB89" i="6"/>
  <c r="BZ89" i="6"/>
  <c r="BA89" i="6"/>
  <c r="AB89" i="6"/>
  <c r="CX89" i="6"/>
  <c r="BY89" i="6"/>
  <c r="AZ89" i="6"/>
  <c r="AA89" i="6"/>
  <c r="CL89" i="6"/>
  <c r="BJ89" i="6"/>
  <c r="AK89" i="6"/>
  <c r="L89" i="6"/>
  <c r="CW89" i="6"/>
  <c r="AY89" i="6"/>
  <c r="CO89" i="6"/>
  <c r="AQ89" i="6"/>
  <c r="CN89" i="6"/>
  <c r="AP89" i="6"/>
  <c r="BX89" i="6"/>
  <c r="Z89" i="6"/>
  <c r="BP89" i="6"/>
  <c r="R89" i="6"/>
  <c r="BO89" i="6"/>
  <c r="N89" i="6"/>
  <c r="BN89" i="6"/>
  <c r="M89" i="6"/>
  <c r="CM89" i="6"/>
  <c r="AL89" i="6"/>
  <c r="J93" i="6"/>
  <c r="J94" i="6" s="1"/>
  <c r="J143" i="6" s="1"/>
  <c r="DH59" i="6"/>
  <c r="CZ59" i="6"/>
  <c r="CZ60" i="6" s="1"/>
  <c r="CR59" i="6"/>
  <c r="CR60" i="6" s="1"/>
  <c r="CJ59" i="6"/>
  <c r="CJ60" i="6" s="1"/>
  <c r="CB59" i="6"/>
  <c r="CB60" i="6" s="1"/>
  <c r="BT59" i="6"/>
  <c r="BT60" i="6" s="1"/>
  <c r="BL59" i="6"/>
  <c r="BL60" i="6" s="1"/>
  <c r="BD59" i="6"/>
  <c r="BD60" i="6" s="1"/>
  <c r="AV59" i="6"/>
  <c r="AV60" i="6" s="1"/>
  <c r="AN59" i="6"/>
  <c r="AN60" i="6" s="1"/>
  <c r="AF59" i="6"/>
  <c r="AF60" i="6" s="1"/>
  <c r="X59" i="6"/>
  <c r="X60" i="6" s="1"/>
  <c r="P59" i="6"/>
  <c r="P60" i="6" s="1"/>
  <c r="DG59" i="6"/>
  <c r="CY59" i="6"/>
  <c r="CY60" i="6" s="1"/>
  <c r="CQ59" i="6"/>
  <c r="CQ60" i="6" s="1"/>
  <c r="CI59" i="6"/>
  <c r="CI60" i="6" s="1"/>
  <c r="CA59" i="6"/>
  <c r="CA60" i="6" s="1"/>
  <c r="BS59" i="6"/>
  <c r="BS60" i="6" s="1"/>
  <c r="BK59" i="6"/>
  <c r="BK60" i="6" s="1"/>
  <c r="BC59" i="6"/>
  <c r="BC60" i="6" s="1"/>
  <c r="AU59" i="6"/>
  <c r="AU60" i="6" s="1"/>
  <c r="AM59" i="6"/>
  <c r="AM60" i="6" s="1"/>
  <c r="AE59" i="6"/>
  <c r="AE60" i="6" s="1"/>
  <c r="W59" i="6"/>
  <c r="W60" i="6" s="1"/>
  <c r="O59" i="6"/>
  <c r="O60" i="6" s="1"/>
  <c r="DF59" i="6"/>
  <c r="CX59" i="6"/>
  <c r="CX60" i="6" s="1"/>
  <c r="CP59" i="6"/>
  <c r="CP60" i="6" s="1"/>
  <c r="CH59" i="6"/>
  <c r="CH60" i="6" s="1"/>
  <c r="BZ59" i="6"/>
  <c r="BZ60" i="6" s="1"/>
  <c r="BR59" i="6"/>
  <c r="BR60" i="6" s="1"/>
  <c r="BJ59" i="6"/>
  <c r="BJ60" i="6" s="1"/>
  <c r="BB59" i="6"/>
  <c r="BB60" i="6" s="1"/>
  <c r="AT59" i="6"/>
  <c r="AT60" i="6" s="1"/>
  <c r="AL59" i="6"/>
  <c r="AL60" i="6" s="1"/>
  <c r="AD59" i="6"/>
  <c r="AD60" i="6" s="1"/>
  <c r="V59" i="6"/>
  <c r="V60" i="6" s="1"/>
  <c r="N59" i="6"/>
  <c r="N60" i="6" s="1"/>
  <c r="DI59" i="6"/>
  <c r="DA59" i="6"/>
  <c r="DA60" i="6" s="1"/>
  <c r="CS59" i="6"/>
  <c r="CS60" i="6" s="1"/>
  <c r="CK59" i="6"/>
  <c r="CK60" i="6" s="1"/>
  <c r="CC59" i="6"/>
  <c r="CC60" i="6" s="1"/>
  <c r="BU59" i="6"/>
  <c r="BU60" i="6" s="1"/>
  <c r="BM59" i="6"/>
  <c r="BM60" i="6" s="1"/>
  <c r="BE59" i="6"/>
  <c r="BE60" i="6" s="1"/>
  <c r="AW59" i="6"/>
  <c r="AW60" i="6" s="1"/>
  <c r="AO59" i="6"/>
  <c r="AO60" i="6" s="1"/>
  <c r="AG59" i="6"/>
  <c r="AG60" i="6" s="1"/>
  <c r="Y59" i="6"/>
  <c r="Y60" i="6" s="1"/>
  <c r="Q59" i="6"/>
  <c r="Q60" i="6" s="1"/>
  <c r="DL59" i="6"/>
  <c r="CV59" i="6"/>
  <c r="CV60" i="6" s="1"/>
  <c r="CF59" i="6"/>
  <c r="CF60" i="6" s="1"/>
  <c r="BP59" i="6"/>
  <c r="BP60" i="6" s="1"/>
  <c r="AZ59" i="6"/>
  <c r="AZ60" i="6" s="1"/>
  <c r="AJ59" i="6"/>
  <c r="AJ60" i="6" s="1"/>
  <c r="T59" i="6"/>
  <c r="T60" i="6" s="1"/>
  <c r="DK59" i="6"/>
  <c r="CU59" i="6"/>
  <c r="CU60" i="6" s="1"/>
  <c r="CE59" i="6"/>
  <c r="CE60" i="6" s="1"/>
  <c r="BO59" i="6"/>
  <c r="BO60" i="6" s="1"/>
  <c r="AY59" i="6"/>
  <c r="AY60" i="6" s="1"/>
  <c r="AI59" i="6"/>
  <c r="AI60" i="6" s="1"/>
  <c r="S59" i="6"/>
  <c r="S60" i="6" s="1"/>
  <c r="DJ59" i="6"/>
  <c r="CT59" i="6"/>
  <c r="CT60" i="6" s="1"/>
  <c r="CD59" i="6"/>
  <c r="CD60" i="6" s="1"/>
  <c r="BN59" i="6"/>
  <c r="BN60" i="6" s="1"/>
  <c r="AX59" i="6"/>
  <c r="AX60" i="6" s="1"/>
  <c r="AH59" i="6"/>
  <c r="AH60" i="6" s="1"/>
  <c r="R59" i="6"/>
  <c r="R60" i="6" s="1"/>
  <c r="DE59" i="6"/>
  <c r="DE60" i="6" s="1"/>
  <c r="CO59" i="6"/>
  <c r="CO60" i="6" s="1"/>
  <c r="BY59" i="6"/>
  <c r="BY60" i="6" s="1"/>
  <c r="BI59" i="6"/>
  <c r="BI60" i="6" s="1"/>
  <c r="AS59" i="6"/>
  <c r="AS60" i="6" s="1"/>
  <c r="AC59" i="6"/>
  <c r="AC60" i="6" s="1"/>
  <c r="M59" i="6"/>
  <c r="M60" i="6" s="1"/>
  <c r="CM59" i="6"/>
  <c r="CM60" i="6" s="1"/>
  <c r="BG59" i="6"/>
  <c r="BG60" i="6" s="1"/>
  <c r="AA59" i="6"/>
  <c r="AA60" i="6" s="1"/>
  <c r="CL59" i="6"/>
  <c r="CL60" i="6" s="1"/>
  <c r="BF59" i="6"/>
  <c r="BF60" i="6" s="1"/>
  <c r="Z59" i="6"/>
  <c r="Z60" i="6" s="1"/>
  <c r="CG59" i="6"/>
  <c r="CG60" i="6" s="1"/>
  <c r="BA59" i="6"/>
  <c r="BA60" i="6" s="1"/>
  <c r="U59" i="6"/>
  <c r="U60" i="6" s="1"/>
  <c r="DD59" i="6"/>
  <c r="DD60" i="6" s="1"/>
  <c r="BX59" i="6"/>
  <c r="BX60" i="6" s="1"/>
  <c r="AR59" i="6"/>
  <c r="AR60" i="6" s="1"/>
  <c r="L59" i="6"/>
  <c r="L60" i="6" s="1"/>
  <c r="DC59" i="6"/>
  <c r="DC60" i="6" s="1"/>
  <c r="BW59" i="6"/>
  <c r="BW60" i="6" s="1"/>
  <c r="AQ59" i="6"/>
  <c r="AQ60" i="6" s="1"/>
  <c r="K59" i="6"/>
  <c r="K60" i="6" s="1"/>
  <c r="CW59" i="6"/>
  <c r="CW60" i="6" s="1"/>
  <c r="BQ59" i="6"/>
  <c r="BQ60" i="6" s="1"/>
  <c r="AK59" i="6"/>
  <c r="AK60" i="6" s="1"/>
  <c r="CN59" i="6"/>
  <c r="CN60" i="6" s="1"/>
  <c r="BV59" i="6"/>
  <c r="BV60" i="6" s="1"/>
  <c r="BH59" i="6"/>
  <c r="BH60" i="6" s="1"/>
  <c r="AP59" i="6"/>
  <c r="AP60" i="6" s="1"/>
  <c r="J59" i="6"/>
  <c r="J60" i="6" s="1"/>
  <c r="AB59" i="6"/>
  <c r="AB60" i="6" s="1"/>
  <c r="DB59" i="6"/>
  <c r="DB60" i="6" s="1"/>
  <c r="I59" i="6"/>
  <c r="I60" i="6" s="1"/>
  <c r="I61" i="6" s="1"/>
  <c r="N30" i="5"/>
  <c r="N93" i="5"/>
  <c r="M94" i="5"/>
  <c r="J96" i="5"/>
  <c r="J97" i="5" s="1"/>
  <c r="J101" i="5"/>
  <c r="J102" i="5" s="1"/>
  <c r="J103" i="5" s="1"/>
  <c r="K95" i="5"/>
  <c r="L43" i="6"/>
  <c r="L44" i="6" s="1"/>
  <c r="M42" i="6"/>
  <c r="K73" i="6"/>
  <c r="K75" i="6" s="1"/>
  <c r="L71" i="6"/>
  <c r="M112" i="5"/>
  <c r="O87" i="5"/>
  <c r="N99" i="5"/>
  <c r="L68" i="5"/>
  <c r="L67" i="5"/>
  <c r="M66" i="5"/>
  <c r="K103" i="6"/>
  <c r="L78" i="6"/>
  <c r="E11" i="4"/>
  <c r="K69" i="5"/>
  <c r="L112" i="5"/>
  <c r="N87" i="5"/>
  <c r="H80" i="6"/>
  <c r="J119" i="5"/>
  <c r="J120" i="5" s="1"/>
  <c r="J121" i="5" s="1"/>
  <c r="K118" i="5"/>
  <c r="L16" i="5"/>
  <c r="L41" i="5" s="1"/>
  <c r="M15" i="5"/>
  <c r="K47" i="6"/>
  <c r="J48" i="6"/>
  <c r="J54" i="6" s="1"/>
  <c r="O84" i="6"/>
  <c r="N85" i="6"/>
  <c r="I77" i="6"/>
  <c r="I89" i="5"/>
  <c r="J101" i="6"/>
  <c r="J111" i="5"/>
  <c r="I31" i="6"/>
  <c r="I37" i="6" s="1"/>
  <c r="I30" i="6"/>
  <c r="I38" i="6" s="1"/>
  <c r="I40" i="6" s="1"/>
  <c r="I41" i="6" s="1"/>
  <c r="I45" i="6" s="1"/>
  <c r="I55" i="6" s="1"/>
  <c r="F9" i="4"/>
  <c r="J4" i="7"/>
  <c r="V27" i="5"/>
  <c r="W25" i="5"/>
  <c r="X25" i="5" s="1"/>
  <c r="Y25" i="5" s="1"/>
  <c r="Z25" i="5" s="1"/>
  <c r="AA25" i="5" s="1"/>
  <c r="AB25" i="5" s="1"/>
  <c r="AC25" i="5" s="1"/>
  <c r="AD25" i="5" s="1"/>
  <c r="AE25" i="5" s="1"/>
  <c r="AF25" i="5" s="1"/>
  <c r="AG25" i="5" s="1"/>
  <c r="AH25" i="5" s="1"/>
  <c r="AI25" i="5" s="1"/>
  <c r="AY20" i="6"/>
  <c r="AZ18" i="6"/>
  <c r="BA18" i="6" s="1"/>
  <c r="BB18" i="6" s="1"/>
  <c r="BC18" i="6" s="1"/>
  <c r="BD18" i="6" s="1"/>
  <c r="BE18" i="6" s="1"/>
  <c r="BF18" i="6" s="1"/>
  <c r="BG18" i="6" s="1"/>
  <c r="BH18" i="6" s="1"/>
  <c r="BI18" i="6" s="1"/>
  <c r="BJ18" i="6" s="1"/>
  <c r="BK18" i="6" s="1"/>
  <c r="BL18" i="6" s="1"/>
  <c r="BM18" i="6" s="1"/>
  <c r="K110" i="5"/>
  <c r="K111" i="5" s="1"/>
  <c r="K85" i="5"/>
  <c r="K86" i="5" s="1"/>
  <c r="K26" i="5"/>
  <c r="K18" i="5"/>
  <c r="K23" i="5" s="1"/>
  <c r="K24" i="5" s="1"/>
  <c r="K33" i="6"/>
  <c r="K34" i="6" s="1"/>
  <c r="K35" i="6" s="1"/>
  <c r="L32" i="6"/>
  <c r="M16" i="3"/>
  <c r="M17" i="3"/>
  <c r="N4" i="3"/>
  <c r="M30" i="6"/>
  <c r="M38" i="6" s="1"/>
  <c r="M40" i="6" s="1"/>
  <c r="M41" i="6" s="1"/>
  <c r="M96" i="6"/>
  <c r="L98" i="6"/>
  <c r="L100" i="6" s="1"/>
  <c r="K81" i="6"/>
  <c r="L30" i="6"/>
  <c r="L38" i="6" s="1"/>
  <c r="L40" i="6" s="1"/>
  <c r="L41" i="6" s="1"/>
  <c r="L31" i="6"/>
  <c r="L37" i="6" s="1"/>
  <c r="L110" i="6"/>
  <c r="L111" i="6" s="1"/>
  <c r="L112" i="6" s="1"/>
  <c r="M109" i="6"/>
  <c r="H31" i="6"/>
  <c r="H37" i="6" s="1"/>
  <c r="H30" i="6"/>
  <c r="H38" i="6" s="1"/>
  <c r="H40" i="6" s="1"/>
  <c r="H41" i="6" s="1"/>
  <c r="I79" i="6"/>
  <c r="I113" i="5"/>
  <c r="J88" i="5"/>
  <c r="J68" i="5"/>
  <c r="J69" i="5" s="1"/>
  <c r="H68" i="5"/>
  <c r="H69" i="5" s="1"/>
  <c r="I68" i="5"/>
  <c r="I69" i="5" s="1"/>
  <c r="I70" i="5" s="1"/>
  <c r="R11" i="7"/>
  <c r="J6" i="4"/>
  <c r="L19" i="3"/>
  <c r="L38" i="3"/>
  <c r="I31" i="5"/>
  <c r="I32" i="5" s="1"/>
  <c r="I77" i="5" s="1"/>
  <c r="J126" i="6" l="1"/>
  <c r="J144" i="6" s="1"/>
  <c r="L143" i="6"/>
  <c r="L120" i="6"/>
  <c r="L126" i="6" s="1"/>
  <c r="L119" i="6"/>
  <c r="L127" i="6" s="1"/>
  <c r="L129" i="6" s="1"/>
  <c r="L130" i="6" s="1"/>
  <c r="L134" i="6" s="1"/>
  <c r="L144" i="6" s="1"/>
  <c r="N132" i="6"/>
  <c r="N133" i="6" s="1"/>
  <c r="O131" i="6"/>
  <c r="M121" i="6"/>
  <c r="L122" i="6"/>
  <c r="L123" i="6" s="1"/>
  <c r="L124" i="6" s="1"/>
  <c r="N116" i="6"/>
  <c r="M118" i="6"/>
  <c r="P113" i="6"/>
  <c r="O115" i="6"/>
  <c r="M137" i="6"/>
  <c r="N136" i="6"/>
  <c r="L45" i="6"/>
  <c r="L81" i="6" s="1"/>
  <c r="L9" i="6"/>
  <c r="M8" i="6"/>
  <c r="K93" i="6"/>
  <c r="K94" i="6" s="1"/>
  <c r="K143" i="6" s="1"/>
  <c r="O27" i="6"/>
  <c r="N29" i="6"/>
  <c r="K19" i="6"/>
  <c r="K22" i="6" s="1"/>
  <c r="K23" i="6" s="1"/>
  <c r="K76" i="6"/>
  <c r="K77" i="6" s="1"/>
  <c r="K101" i="6"/>
  <c r="H13" i="1"/>
  <c r="G14" i="1"/>
  <c r="M34" i="5"/>
  <c r="M38" i="5" s="1"/>
  <c r="N33" i="5"/>
  <c r="K59" i="5"/>
  <c r="L54" i="5"/>
  <c r="K56" i="5"/>
  <c r="J64" i="5"/>
  <c r="K42" i="5"/>
  <c r="K43" i="5" s="1"/>
  <c r="K45" i="5" s="1"/>
  <c r="L57" i="5"/>
  <c r="K58" i="5"/>
  <c r="K60" i="5" s="1"/>
  <c r="K46" i="5" s="1"/>
  <c r="K48" i="5" s="1"/>
  <c r="K49" i="5" s="1"/>
  <c r="K53" i="5" s="1"/>
  <c r="K90" i="5" s="1"/>
  <c r="K61" i="5"/>
  <c r="K62" i="5" s="1"/>
  <c r="K63" i="5" s="1"/>
  <c r="M35" i="5"/>
  <c r="L36" i="5"/>
  <c r="L39" i="5" s="1"/>
  <c r="R40" i="5"/>
  <c r="J90" i="5"/>
  <c r="O50" i="5"/>
  <c r="N51" i="5"/>
  <c r="N52" i="5" s="1"/>
  <c r="N105" i="5"/>
  <c r="J152" i="5"/>
  <c r="K29" i="5"/>
  <c r="K31" i="5" s="1"/>
  <c r="K32" i="5" s="1"/>
  <c r="L146" i="5"/>
  <c r="K147" i="5"/>
  <c r="K149" i="5" s="1"/>
  <c r="K135" i="5" s="1"/>
  <c r="K137" i="5" s="1"/>
  <c r="K138" i="5" s="1"/>
  <c r="K142" i="5" s="1"/>
  <c r="K91" i="5" s="1"/>
  <c r="K150" i="5"/>
  <c r="K151" i="5" s="1"/>
  <c r="L130" i="5"/>
  <c r="I114" i="5"/>
  <c r="M123" i="5"/>
  <c r="M127" i="5" s="1"/>
  <c r="N122" i="5"/>
  <c r="J153" i="5"/>
  <c r="K148" i="5"/>
  <c r="K145" i="5"/>
  <c r="L143" i="5"/>
  <c r="L140" i="5"/>
  <c r="L141" i="5" s="1"/>
  <c r="M139" i="5"/>
  <c r="M124" i="5"/>
  <c r="L125" i="5"/>
  <c r="L128" i="5" s="1"/>
  <c r="K131" i="5"/>
  <c r="K132" i="5" s="1"/>
  <c r="K134" i="5" s="1"/>
  <c r="N129" i="5"/>
  <c r="M22" i="5"/>
  <c r="N19" i="5"/>
  <c r="I115" i="5"/>
  <c r="I116" i="5" s="1"/>
  <c r="H116" i="5"/>
  <c r="H104" i="5"/>
  <c r="P84" i="6"/>
  <c r="O85" i="6"/>
  <c r="L103" i="6"/>
  <c r="M78" i="6"/>
  <c r="S11" i="7"/>
  <c r="M31" i="1" s="1"/>
  <c r="K6" i="4"/>
  <c r="M19" i="3"/>
  <c r="M38" i="3"/>
  <c r="I71" i="5"/>
  <c r="I72" i="5" s="1"/>
  <c r="I73" i="5" s="1"/>
  <c r="J70" i="5"/>
  <c r="L118" i="5"/>
  <c r="K119" i="5"/>
  <c r="K120" i="5" s="1"/>
  <c r="K121" i="5" s="1"/>
  <c r="N66" i="5"/>
  <c r="M68" i="5"/>
  <c r="M67" i="5"/>
  <c r="L31" i="1"/>
  <c r="O105" i="5"/>
  <c r="N107" i="5"/>
  <c r="N109" i="5" s="1"/>
  <c r="N17" i="3"/>
  <c r="N16" i="3"/>
  <c r="O4" i="3"/>
  <c r="F11" i="4"/>
  <c r="O93" i="5"/>
  <c r="N94" i="5"/>
  <c r="J77" i="6"/>
  <c r="J89" i="5"/>
  <c r="O30" i="5"/>
  <c r="AJ25" i="5"/>
  <c r="AK25" i="5" s="1"/>
  <c r="AL25" i="5" s="1"/>
  <c r="AM25" i="5" s="1"/>
  <c r="AN25" i="5" s="1"/>
  <c r="AO25" i="5" s="1"/>
  <c r="AP25" i="5" s="1"/>
  <c r="AQ25" i="5" s="1"/>
  <c r="AR25" i="5" s="1"/>
  <c r="AS25" i="5" s="1"/>
  <c r="AT25" i="5" s="1"/>
  <c r="AU25" i="5" s="1"/>
  <c r="AV25" i="5" s="1"/>
  <c r="AI27" i="5"/>
  <c r="J102" i="6"/>
  <c r="L73" i="6"/>
  <c r="L75" i="6" s="1"/>
  <c r="M71" i="6"/>
  <c r="N112" i="5"/>
  <c r="P87" i="5"/>
  <c r="L69" i="5"/>
  <c r="M86" i="6"/>
  <c r="L92" i="6"/>
  <c r="L93" i="6" s="1"/>
  <c r="L94" i="6" s="1"/>
  <c r="L87" i="6"/>
  <c r="L88" i="6" s="1"/>
  <c r="I104" i="6"/>
  <c r="I105" i="6" s="1"/>
  <c r="J79" i="6"/>
  <c r="BM20" i="6"/>
  <c r="BN18" i="6"/>
  <c r="BO18" i="6" s="1"/>
  <c r="BP18" i="6" s="1"/>
  <c r="BQ18" i="6" s="1"/>
  <c r="BR18" i="6" s="1"/>
  <c r="BS18" i="6" s="1"/>
  <c r="BT18" i="6" s="1"/>
  <c r="BU18" i="6" s="1"/>
  <c r="BV18" i="6" s="1"/>
  <c r="BW18" i="6" s="1"/>
  <c r="BX18" i="6" s="1"/>
  <c r="BY18" i="6" s="1"/>
  <c r="BZ18" i="6" s="1"/>
  <c r="CA18" i="6" s="1"/>
  <c r="M16" i="5"/>
  <c r="M41" i="5" s="1"/>
  <c r="N15" i="5"/>
  <c r="H45" i="6"/>
  <c r="H81" i="6" s="1"/>
  <c r="O112" i="5"/>
  <c r="Q87" i="5"/>
  <c r="L33" i="6"/>
  <c r="L34" i="6" s="1"/>
  <c r="L35" i="6" s="1"/>
  <c r="M32" i="6"/>
  <c r="K96" i="5"/>
  <c r="K97" i="5" s="1"/>
  <c r="L95" i="5"/>
  <c r="K101" i="5"/>
  <c r="K102" i="5" s="1"/>
  <c r="K103" i="5" s="1"/>
  <c r="L47" i="6"/>
  <c r="K48" i="6"/>
  <c r="K54" i="6" s="1"/>
  <c r="K55" i="6" s="1"/>
  <c r="L80" i="5"/>
  <c r="K82" i="5"/>
  <c r="K84" i="5" s="1"/>
  <c r="G1" i="4"/>
  <c r="G2" i="3"/>
  <c r="J5" i="3"/>
  <c r="N42" i="6"/>
  <c r="M43" i="6"/>
  <c r="M44" i="6" s="1"/>
  <c r="M45" i="6" s="1"/>
  <c r="M110" i="6"/>
  <c r="M111" i="6" s="1"/>
  <c r="M112" i="6" s="1"/>
  <c r="N109" i="6"/>
  <c r="L85" i="5"/>
  <c r="L86" i="5" s="1"/>
  <c r="L110" i="5"/>
  <c r="L111" i="5" s="1"/>
  <c r="L26" i="5"/>
  <c r="L18" i="5"/>
  <c r="L23" i="5" s="1"/>
  <c r="L24" i="5" s="1"/>
  <c r="K82" i="6"/>
  <c r="K106" i="6"/>
  <c r="K107" i="6" s="1"/>
  <c r="I62" i="6"/>
  <c r="I63" i="6" s="1"/>
  <c r="I64" i="6" s="1"/>
  <c r="J61" i="6"/>
  <c r="N96" i="6"/>
  <c r="M98" i="6"/>
  <c r="M100" i="6" s="1"/>
  <c r="DA9" i="7"/>
  <c r="CS9" i="7"/>
  <c r="CK9" i="7"/>
  <c r="CC9" i="7"/>
  <c r="BU9" i="7"/>
  <c r="BM9" i="7"/>
  <c r="BE9" i="7"/>
  <c r="AW9" i="7"/>
  <c r="AO9" i="7"/>
  <c r="AG9" i="7"/>
  <c r="Y9" i="7"/>
  <c r="Q9" i="7"/>
  <c r="CZ9" i="7"/>
  <c r="CR9" i="7"/>
  <c r="CJ9" i="7"/>
  <c r="CB9" i="7"/>
  <c r="BT9" i="7"/>
  <c r="BL9" i="7"/>
  <c r="BD9" i="7"/>
  <c r="AV9" i="7"/>
  <c r="AN9" i="7"/>
  <c r="AF9" i="7"/>
  <c r="X9" i="7"/>
  <c r="P9" i="7"/>
  <c r="CX9" i="7"/>
  <c r="CP9" i="7"/>
  <c r="CH9" i="7"/>
  <c r="BZ9" i="7"/>
  <c r="BR9" i="7"/>
  <c r="BJ9" i="7"/>
  <c r="BB9" i="7"/>
  <c r="AT9" i="7"/>
  <c r="AL9" i="7"/>
  <c r="AD9" i="7"/>
  <c r="V9" i="7"/>
  <c r="N9" i="7"/>
  <c r="DE9" i="7"/>
  <c r="CW9" i="7"/>
  <c r="CO9" i="7"/>
  <c r="CG9" i="7"/>
  <c r="BY9" i="7"/>
  <c r="BQ9" i="7"/>
  <c r="BI9" i="7"/>
  <c r="BA9" i="7"/>
  <c r="AS9" i="7"/>
  <c r="AK9" i="7"/>
  <c r="AC9" i="7"/>
  <c r="U9" i="7"/>
  <c r="M9" i="7"/>
  <c r="CT9" i="7"/>
  <c r="CD9" i="7"/>
  <c r="BN9" i="7"/>
  <c r="AX9" i="7"/>
  <c r="AH9" i="7"/>
  <c r="R9" i="7"/>
  <c r="CQ9" i="7"/>
  <c r="CA9" i="7"/>
  <c r="BK9" i="7"/>
  <c r="AU9" i="7"/>
  <c r="AE9" i="7"/>
  <c r="O9" i="7"/>
  <c r="DC9" i="7"/>
  <c r="CI9" i="7"/>
  <c r="BO9" i="7"/>
  <c r="AQ9" i="7"/>
  <c r="W9" i="7"/>
  <c r="DB9" i="7"/>
  <c r="CF9" i="7"/>
  <c r="BH9" i="7"/>
  <c r="AP9" i="7"/>
  <c r="T9" i="7"/>
  <c r="DD9" i="7"/>
  <c r="CL9" i="7"/>
  <c r="BP9" i="7"/>
  <c r="AR9" i="7"/>
  <c r="Z9" i="7"/>
  <c r="CV9" i="7"/>
  <c r="BS9" i="7"/>
  <c r="AI9" i="7"/>
  <c r="CU9" i="7"/>
  <c r="BG9" i="7"/>
  <c r="AB9" i="7"/>
  <c r="BX9" i="7"/>
  <c r="AJ9" i="7"/>
  <c r="BW9" i="7"/>
  <c r="AA9" i="7"/>
  <c r="BV9" i="7"/>
  <c r="S9" i="7"/>
  <c r="CE9" i="7"/>
  <c r="AM9" i="7"/>
  <c r="BC9" i="7"/>
  <c r="AZ9" i="7"/>
  <c r="AY9" i="7"/>
  <c r="BF9" i="7"/>
  <c r="K9" i="7"/>
  <c r="CY9" i="7"/>
  <c r="L9" i="7"/>
  <c r="CN9" i="7"/>
  <c r="CM9" i="7"/>
  <c r="B6" i="3"/>
  <c r="D25" i="1"/>
  <c r="B25" i="1" s="1" a="1"/>
  <c r="B25" i="1" s="1"/>
  <c r="J113" i="5"/>
  <c r="J114" i="5" s="1"/>
  <c r="K88" i="5"/>
  <c r="K89" i="5" s="1"/>
  <c r="G9" i="4"/>
  <c r="I80" i="6"/>
  <c r="O99" i="5"/>
  <c r="K126" i="6" l="1"/>
  <c r="K134" i="6"/>
  <c r="K144" i="6" s="1"/>
  <c r="O136" i="6"/>
  <c r="N137" i="6"/>
  <c r="N121" i="6"/>
  <c r="M122" i="6"/>
  <c r="M123" i="6" s="1"/>
  <c r="M124" i="6" s="1"/>
  <c r="Q113" i="6"/>
  <c r="P115" i="6"/>
  <c r="O116" i="6"/>
  <c r="N118" i="6"/>
  <c r="O132" i="6"/>
  <c r="O133" i="6" s="1"/>
  <c r="P131" i="6"/>
  <c r="M120" i="6"/>
  <c r="M126" i="6" s="1"/>
  <c r="M119" i="6"/>
  <c r="M127" i="6" s="1"/>
  <c r="M129" i="6" s="1"/>
  <c r="M130" i="6" s="1"/>
  <c r="M134" i="6" s="1"/>
  <c r="M9" i="6"/>
  <c r="M33" i="6" s="1"/>
  <c r="M34" i="6" s="1"/>
  <c r="M35" i="6" s="1"/>
  <c r="N8" i="6"/>
  <c r="O29" i="6"/>
  <c r="P27" i="6"/>
  <c r="L101" i="6"/>
  <c r="L76" i="6"/>
  <c r="L77" i="6" s="1"/>
  <c r="L19" i="6"/>
  <c r="L22" i="6" s="1"/>
  <c r="L23" i="6" s="1"/>
  <c r="N31" i="6"/>
  <c r="N37" i="6" s="1"/>
  <c r="N30" i="6"/>
  <c r="N38" i="6" s="1"/>
  <c r="N40" i="6" s="1"/>
  <c r="N41" i="6" s="1"/>
  <c r="I13" i="1"/>
  <c r="H14" i="1"/>
  <c r="L56" i="5"/>
  <c r="M54" i="5"/>
  <c r="L59" i="5"/>
  <c r="N34" i="5"/>
  <c r="N38" i="5" s="1"/>
  <c r="O33" i="5"/>
  <c r="L42" i="5"/>
  <c r="L43" i="5" s="1"/>
  <c r="L45" i="5" s="1"/>
  <c r="P50" i="5"/>
  <c r="O51" i="5"/>
  <c r="O52" i="5" s="1"/>
  <c r="K64" i="5"/>
  <c r="M57" i="5"/>
  <c r="L58" i="5"/>
  <c r="L60" i="5" s="1"/>
  <c r="L46" i="5" s="1"/>
  <c r="L48" i="5" s="1"/>
  <c r="L49" i="5" s="1"/>
  <c r="L53" i="5" s="1"/>
  <c r="L61" i="5"/>
  <c r="L62" i="5" s="1"/>
  <c r="L63" i="5" s="1"/>
  <c r="N35" i="5"/>
  <c r="M36" i="5"/>
  <c r="M39" i="5" s="1"/>
  <c r="S40" i="5"/>
  <c r="K152" i="5"/>
  <c r="K153" i="5" s="1"/>
  <c r="L29" i="5"/>
  <c r="L31" i="5" s="1"/>
  <c r="L32" i="5" s="1"/>
  <c r="L147" i="5"/>
  <c r="L149" i="5" s="1"/>
  <c r="L135" i="5" s="1"/>
  <c r="L137" i="5" s="1"/>
  <c r="L138" i="5" s="1"/>
  <c r="M146" i="5"/>
  <c r="L150" i="5"/>
  <c r="L151" i="5" s="1"/>
  <c r="I117" i="5"/>
  <c r="M130" i="5"/>
  <c r="L142" i="5"/>
  <c r="L91" i="5" s="1"/>
  <c r="O122" i="5"/>
  <c r="N123" i="5"/>
  <c r="N127" i="5" s="1"/>
  <c r="M140" i="5"/>
  <c r="M141" i="5" s="1"/>
  <c r="N139" i="5"/>
  <c r="L131" i="5"/>
  <c r="L132" i="5" s="1"/>
  <c r="L134" i="5" s="1"/>
  <c r="L148" i="5"/>
  <c r="L145" i="5"/>
  <c r="M143" i="5"/>
  <c r="N124" i="5"/>
  <c r="M125" i="5"/>
  <c r="M128" i="5" s="1"/>
  <c r="O129" i="5"/>
  <c r="I104" i="5"/>
  <c r="I81" i="6"/>
  <c r="I82" i="6" s="1"/>
  <c r="I95" i="6" s="1"/>
  <c r="N22" i="5"/>
  <c r="O19" i="5"/>
  <c r="BX10" i="7"/>
  <c r="BR30" i="1"/>
  <c r="BR20" i="3" s="1"/>
  <c r="BP4" i="4" s="1"/>
  <c r="BP5" i="4" s="1"/>
  <c r="AU10" i="7"/>
  <c r="AO30" i="1"/>
  <c r="AO20" i="3" s="1"/>
  <c r="AM4" i="4" s="1"/>
  <c r="AM5" i="4" s="1"/>
  <c r="CH10" i="7"/>
  <c r="CB30" i="1"/>
  <c r="CB20" i="3" s="1"/>
  <c r="BZ4" i="4" s="1"/>
  <c r="BZ5" i="4" s="1"/>
  <c r="CK10" i="7"/>
  <c r="CE30" i="1"/>
  <c r="CE20" i="3" s="1"/>
  <c r="CC4" i="4" s="1"/>
  <c r="CC5" i="4" s="1"/>
  <c r="M95" i="5"/>
  <c r="L101" i="5"/>
  <c r="L102" i="5" s="1"/>
  <c r="L103" i="5" s="1"/>
  <c r="L96" i="5"/>
  <c r="L97" i="5" s="1"/>
  <c r="H106" i="6"/>
  <c r="H107" i="6" s="1"/>
  <c r="H108" i="6" s="1"/>
  <c r="H82" i="6"/>
  <c r="H95" i="6" s="1"/>
  <c r="Q84" i="6"/>
  <c r="P85" i="6"/>
  <c r="AB10" i="7"/>
  <c r="V30" i="1"/>
  <c r="V20" i="3" s="1"/>
  <c r="T4" i="4" s="1"/>
  <c r="T5" i="4" s="1"/>
  <c r="BK10" i="7"/>
  <c r="BE30" i="1"/>
  <c r="BE20" i="3" s="1"/>
  <c r="BC4" i="4" s="1"/>
  <c r="BC5" i="4" s="1"/>
  <c r="AD10" i="7"/>
  <c r="X30" i="1"/>
  <c r="X20" i="3" s="1"/>
  <c r="V4" i="4" s="1"/>
  <c r="V5" i="4" s="1"/>
  <c r="BL10" i="7"/>
  <c r="BF30" i="1"/>
  <c r="BF20" i="3" s="1"/>
  <c r="BD4" i="4" s="1"/>
  <c r="BD5" i="4" s="1"/>
  <c r="CE10" i="7"/>
  <c r="BY30" i="1"/>
  <c r="BY20" i="3" s="1"/>
  <c r="BW4" i="4" s="1"/>
  <c r="BW5" i="4" s="1"/>
  <c r="CL10" i="7"/>
  <c r="CF30" i="1"/>
  <c r="CF20" i="3" s="1"/>
  <c r="CD4" i="4" s="1"/>
  <c r="CD5" i="4" s="1"/>
  <c r="CA10" i="7"/>
  <c r="BU30" i="1"/>
  <c r="BU20" i="3" s="1"/>
  <c r="BS4" i="4" s="1"/>
  <c r="BS5" i="4" s="1"/>
  <c r="BY10" i="7"/>
  <c r="BS30" i="1"/>
  <c r="BS20" i="3" s="1"/>
  <c r="BQ4" i="4" s="1"/>
  <c r="BQ5" i="4" s="1"/>
  <c r="CX10" i="7"/>
  <c r="CR30" i="1"/>
  <c r="CR20" i="3" s="1"/>
  <c r="CP4" i="4" s="1"/>
  <c r="CP5" i="4" s="1"/>
  <c r="AO10" i="7"/>
  <c r="AI30" i="1"/>
  <c r="AI20" i="3" s="1"/>
  <c r="AG4" i="4" s="1"/>
  <c r="AG5" i="4" s="1"/>
  <c r="B3" i="4"/>
  <c r="B5" i="4" s="1"/>
  <c r="B10" i="4" s="1"/>
  <c r="C23" i="3"/>
  <c r="H6" i="3"/>
  <c r="B23" i="3"/>
  <c r="B25" i="3" s="1"/>
  <c r="C22" i="3" s="1"/>
  <c r="AZ10" i="7"/>
  <c r="AT30" i="1"/>
  <c r="AT20" i="3" s="1"/>
  <c r="AR4" i="4" s="1"/>
  <c r="AR5" i="4" s="1"/>
  <c r="AJ10" i="7"/>
  <c r="AD30" i="1"/>
  <c r="AD20" i="3" s="1"/>
  <c r="AB4" i="4" s="1"/>
  <c r="AB5" i="4" s="1"/>
  <c r="Z10" i="7"/>
  <c r="T30" i="1"/>
  <c r="T20" i="3" s="1"/>
  <c r="R4" i="4" s="1"/>
  <c r="R5" i="4" s="1"/>
  <c r="CF10" i="7"/>
  <c r="BZ30" i="1"/>
  <c r="BZ20" i="3" s="1"/>
  <c r="BX4" i="4" s="1"/>
  <c r="BX5" i="4" s="1"/>
  <c r="AE10" i="7"/>
  <c r="Y30" i="1"/>
  <c r="Y20" i="3" s="1"/>
  <c r="W4" i="4" s="1"/>
  <c r="W5" i="4" s="1"/>
  <c r="BN10" i="7"/>
  <c r="BH30" i="1"/>
  <c r="BH20" i="3" s="1"/>
  <c r="BF4" i="4" s="1"/>
  <c r="BF5" i="4" s="1"/>
  <c r="BA10" i="7"/>
  <c r="AU30" i="1"/>
  <c r="AU20" i="3" s="1"/>
  <c r="AS4" i="4" s="1"/>
  <c r="AS5" i="4" s="1"/>
  <c r="N10" i="7"/>
  <c r="H30" i="1"/>
  <c r="F7" i="3"/>
  <c r="BZ10" i="7"/>
  <c r="BT30" i="1"/>
  <c r="BT20" i="3" s="1"/>
  <c r="BR4" i="4" s="1"/>
  <c r="BR5" i="4" s="1"/>
  <c r="AV10" i="7"/>
  <c r="AP30" i="1"/>
  <c r="AP20" i="3" s="1"/>
  <c r="AN4" i="4" s="1"/>
  <c r="AN5" i="4" s="1"/>
  <c r="Q10" i="7"/>
  <c r="K30" i="1"/>
  <c r="K20" i="3" s="1"/>
  <c r="CC10" i="7"/>
  <c r="BW30" i="1"/>
  <c r="BW20" i="3" s="1"/>
  <c r="BU4" i="4" s="1"/>
  <c r="BU5" i="4" s="1"/>
  <c r="H1" i="4"/>
  <c r="K5" i="3"/>
  <c r="J2" i="3"/>
  <c r="J104" i="6"/>
  <c r="J105" i="6" s="1"/>
  <c r="K79" i="6"/>
  <c r="AW25" i="5"/>
  <c r="AX25" i="5" s="1"/>
  <c r="AY25" i="5" s="1"/>
  <c r="AZ25" i="5" s="1"/>
  <c r="BA25" i="5" s="1"/>
  <c r="BB25" i="5" s="1"/>
  <c r="BC25" i="5" s="1"/>
  <c r="BD25" i="5" s="1"/>
  <c r="BE25" i="5" s="1"/>
  <c r="BF25" i="5" s="1"/>
  <c r="BG25" i="5" s="1"/>
  <c r="BH25" i="5" s="1"/>
  <c r="BI25" i="5" s="1"/>
  <c r="AV27" i="5"/>
  <c r="T11" i="7"/>
  <c r="L6" i="4"/>
  <c r="N38" i="3"/>
  <c r="N19" i="3"/>
  <c r="O66" i="5"/>
  <c r="N68" i="5"/>
  <c r="N67" i="5"/>
  <c r="CM10" i="7"/>
  <c r="CG30" i="1"/>
  <c r="CG20" i="3" s="1"/>
  <c r="CE4" i="4" s="1"/>
  <c r="CE5" i="4" s="1"/>
  <c r="M118" i="5"/>
  <c r="L119" i="5"/>
  <c r="L120" i="5" s="1"/>
  <c r="L121" i="5" s="1"/>
  <c r="O107" i="5"/>
  <c r="O109" i="5" s="1"/>
  <c r="P105" i="5"/>
  <c r="BC10" i="7"/>
  <c r="AW30" i="1"/>
  <c r="AW20" i="3" s="1"/>
  <c r="AU4" i="4" s="1"/>
  <c r="AU5" i="4" s="1"/>
  <c r="DB10" i="7"/>
  <c r="CV30" i="1"/>
  <c r="CV20" i="3" s="1"/>
  <c r="CT4" i="4" s="1"/>
  <c r="CT5" i="4" s="1"/>
  <c r="BI10" i="7"/>
  <c r="BC30" i="1"/>
  <c r="BC20" i="3" s="1"/>
  <c r="BA4" i="4" s="1"/>
  <c r="BA5" i="4" s="1"/>
  <c r="Y10" i="7"/>
  <c r="S30" i="1"/>
  <c r="S20" i="3" s="1"/>
  <c r="Q4" i="4" s="1"/>
  <c r="Q5" i="4" s="1"/>
  <c r="M47" i="6"/>
  <c r="L48" i="6"/>
  <c r="L54" i="6" s="1"/>
  <c r="N32" i="6"/>
  <c r="CN10" i="7"/>
  <c r="CH30" i="1"/>
  <c r="CH20" i="3" s="1"/>
  <c r="CF4" i="4" s="1"/>
  <c r="CF5" i="4" s="1"/>
  <c r="BP10" i="7"/>
  <c r="BJ30" i="1"/>
  <c r="BJ20" i="3" s="1"/>
  <c r="BH4" i="4" s="1"/>
  <c r="BH5" i="4" s="1"/>
  <c r="BQ10" i="7"/>
  <c r="BK30" i="1"/>
  <c r="BK20" i="3" s="1"/>
  <c r="BI4" i="4" s="1"/>
  <c r="BI5" i="4" s="1"/>
  <c r="AG10" i="7"/>
  <c r="AA30" i="1"/>
  <c r="AA20" i="3" s="1"/>
  <c r="Y4" i="4" s="1"/>
  <c r="Y5" i="4" s="1"/>
  <c r="CY10" i="7"/>
  <c r="CS30" i="1"/>
  <c r="CS20" i="3" s="1"/>
  <c r="CQ4" i="4" s="1"/>
  <c r="CQ5" i="4" s="1"/>
  <c r="CU10" i="7"/>
  <c r="CO30" i="1"/>
  <c r="CO20" i="3" s="1"/>
  <c r="CM4" i="4" s="1"/>
  <c r="CM5" i="4" s="1"/>
  <c r="BO10" i="7"/>
  <c r="BI30" i="1"/>
  <c r="BI20" i="3" s="1"/>
  <c r="BG4" i="4" s="1"/>
  <c r="BG5" i="4" s="1"/>
  <c r="U10" i="7"/>
  <c r="O30" i="1"/>
  <c r="O20" i="3" s="1"/>
  <c r="M4" i="4" s="1"/>
  <c r="M5" i="4" s="1"/>
  <c r="AT10" i="7"/>
  <c r="AN30" i="1"/>
  <c r="AN20" i="3" s="1"/>
  <c r="AL4" i="4" s="1"/>
  <c r="AL5" i="4" s="1"/>
  <c r="CB10" i="7"/>
  <c r="BV30" i="1"/>
  <c r="BV20" i="3" s="1"/>
  <c r="BT4" i="4" s="1"/>
  <c r="BT5" i="4" s="1"/>
  <c r="M80" i="5"/>
  <c r="L82" i="5"/>
  <c r="L84" i="5" s="1"/>
  <c r="N16" i="5"/>
  <c r="N41" i="5" s="1"/>
  <c r="O15" i="5"/>
  <c r="L106" i="6"/>
  <c r="L107" i="6" s="1"/>
  <c r="L82" i="6"/>
  <c r="K70" i="5"/>
  <c r="P99" i="5"/>
  <c r="K113" i="5"/>
  <c r="K114" i="5" s="1"/>
  <c r="L88" i="5"/>
  <c r="L89" i="5" s="1"/>
  <c r="K10" i="7"/>
  <c r="C7" i="3"/>
  <c r="E30" i="1"/>
  <c r="B9" i="7" a="1"/>
  <c r="B9" i="7" s="1"/>
  <c r="BV10" i="7"/>
  <c r="BP30" i="1"/>
  <c r="BP20" i="3" s="1"/>
  <c r="BN4" i="4" s="1"/>
  <c r="BN5" i="4" s="1"/>
  <c r="AI10" i="7"/>
  <c r="AC30" i="1"/>
  <c r="AC20" i="3" s="1"/>
  <c r="AA4" i="4" s="1"/>
  <c r="AA5" i="4" s="1"/>
  <c r="T10" i="7"/>
  <c r="N30" i="1"/>
  <c r="N20" i="3" s="1"/>
  <c r="L4" i="4" s="1"/>
  <c r="L5" i="4" s="1"/>
  <c r="CI10" i="7"/>
  <c r="CC30" i="1"/>
  <c r="CC20" i="3" s="1"/>
  <c r="CA4" i="4" s="1"/>
  <c r="CA5" i="4" s="1"/>
  <c r="R10" i="7"/>
  <c r="L30" i="1"/>
  <c r="L20" i="3" s="1"/>
  <c r="AC10" i="7"/>
  <c r="W30" i="1"/>
  <c r="W20" i="3" s="1"/>
  <c r="U4" i="4" s="1"/>
  <c r="U5" i="4" s="1"/>
  <c r="CO10" i="7"/>
  <c r="CI30" i="1"/>
  <c r="CI20" i="3" s="1"/>
  <c r="CG4" i="4" s="1"/>
  <c r="CG5" i="4" s="1"/>
  <c r="BB10" i="7"/>
  <c r="AV30" i="1"/>
  <c r="AV20" i="3" s="1"/>
  <c r="AT4" i="4" s="1"/>
  <c r="AT5" i="4" s="1"/>
  <c r="X10" i="7"/>
  <c r="R30" i="1"/>
  <c r="R20" i="3" s="1"/>
  <c r="P4" i="4" s="1"/>
  <c r="P5" i="4" s="1"/>
  <c r="CJ10" i="7"/>
  <c r="CD30" i="1"/>
  <c r="CD20" i="3" s="1"/>
  <c r="CB4" i="4" s="1"/>
  <c r="CB5" i="4" s="1"/>
  <c r="BE10" i="7"/>
  <c r="AY30" i="1"/>
  <c r="AY20" i="3" s="1"/>
  <c r="AW4" i="4" s="1"/>
  <c r="AW5" i="4" s="1"/>
  <c r="O96" i="6"/>
  <c r="N98" i="6"/>
  <c r="N100" i="6" s="1"/>
  <c r="I65" i="6"/>
  <c r="I66" i="6" s="1"/>
  <c r="I67" i="6" s="1"/>
  <c r="N43" i="6"/>
  <c r="N44" i="6" s="1"/>
  <c r="O42" i="6"/>
  <c r="Q112" i="5"/>
  <c r="S87" i="5"/>
  <c r="M85" i="5"/>
  <c r="M86" i="5" s="1"/>
  <c r="M26" i="5"/>
  <c r="M110" i="5"/>
  <c r="M111" i="5" s="1"/>
  <c r="M18" i="5"/>
  <c r="M23" i="5" s="1"/>
  <c r="M24" i="5" s="1"/>
  <c r="J80" i="6"/>
  <c r="I74" i="5"/>
  <c r="I75" i="5" s="1"/>
  <c r="I76" i="5" s="1"/>
  <c r="AR10" i="7"/>
  <c r="AL30" i="1"/>
  <c r="AL20" i="3" s="1"/>
  <c r="AJ4" i="4" s="1"/>
  <c r="AJ5" i="4" s="1"/>
  <c r="CD10" i="7"/>
  <c r="BX30" i="1"/>
  <c r="BX20" i="3" s="1"/>
  <c r="BV4" i="4" s="1"/>
  <c r="BV5" i="4" s="1"/>
  <c r="V10" i="7"/>
  <c r="P30" i="1"/>
  <c r="P20" i="3" s="1"/>
  <c r="N4" i="4" s="1"/>
  <c r="N5" i="4" s="1"/>
  <c r="BD10" i="7"/>
  <c r="AX30" i="1"/>
  <c r="AX20" i="3" s="1"/>
  <c r="AV4" i="4" s="1"/>
  <c r="AV5" i="4" s="1"/>
  <c r="O109" i="6"/>
  <c r="N110" i="6"/>
  <c r="N111" i="6" s="1"/>
  <c r="N112" i="6" s="1"/>
  <c r="G11" i="4"/>
  <c r="AM10" i="7"/>
  <c r="AG30" i="1"/>
  <c r="AG20" i="3" s="1"/>
  <c r="AE4" i="4" s="1"/>
  <c r="AE5" i="4" s="1"/>
  <c r="W10" i="7"/>
  <c r="Q30" i="1"/>
  <c r="Q20" i="3" s="1"/>
  <c r="O4" i="4" s="1"/>
  <c r="O5" i="4" s="1"/>
  <c r="CT10" i="7"/>
  <c r="CN30" i="1"/>
  <c r="CN20" i="3" s="1"/>
  <c r="CL4" i="4" s="1"/>
  <c r="CL5" i="4" s="1"/>
  <c r="CP10" i="7"/>
  <c r="CJ30" i="1"/>
  <c r="CJ20" i="3" s="1"/>
  <c r="CH4" i="4" s="1"/>
  <c r="CH5" i="4" s="1"/>
  <c r="CS10" i="7"/>
  <c r="CM30" i="1"/>
  <c r="CM20" i="3" s="1"/>
  <c r="CK4" i="4" s="1"/>
  <c r="CK5" i="4" s="1"/>
  <c r="L10" i="7"/>
  <c r="D7" i="3"/>
  <c r="F30" i="1"/>
  <c r="BG10" i="7"/>
  <c r="BA30" i="1"/>
  <c r="BA20" i="3" s="1"/>
  <c r="AY4" i="4" s="1"/>
  <c r="AY5" i="4" s="1"/>
  <c r="AQ10" i="7"/>
  <c r="AK30" i="1"/>
  <c r="AK20" i="3" s="1"/>
  <c r="AI4" i="4" s="1"/>
  <c r="AI5" i="4" s="1"/>
  <c r="M10" i="7"/>
  <c r="G30" i="1"/>
  <c r="E7" i="3"/>
  <c r="AL10" i="7"/>
  <c r="AF30" i="1"/>
  <c r="AF20" i="3" s="1"/>
  <c r="AD4" i="4" s="1"/>
  <c r="AD5" i="4" s="1"/>
  <c r="BT10" i="7"/>
  <c r="BN30" i="1"/>
  <c r="BN20" i="3" s="1"/>
  <c r="BL4" i="4" s="1"/>
  <c r="BL5" i="4" s="1"/>
  <c r="DA10" i="7"/>
  <c r="CU30" i="1"/>
  <c r="CU20" i="3" s="1"/>
  <c r="CS4" i="4" s="1"/>
  <c r="CS5" i="4" s="1"/>
  <c r="S10" i="7"/>
  <c r="M30" i="1"/>
  <c r="M20" i="3" s="1"/>
  <c r="K4" i="4" s="1"/>
  <c r="K5" i="4" s="1"/>
  <c r="DD10" i="7"/>
  <c r="CX30" i="1"/>
  <c r="CX20" i="3" s="1"/>
  <c r="CV4" i="4" s="1"/>
  <c r="CV5" i="4" s="1"/>
  <c r="CQ10" i="7"/>
  <c r="CK30" i="1"/>
  <c r="CK20" i="3" s="1"/>
  <c r="CI4" i="4" s="1"/>
  <c r="CI5" i="4" s="1"/>
  <c r="CG10" i="7"/>
  <c r="CA30" i="1"/>
  <c r="CA20" i="3" s="1"/>
  <c r="BY4" i="4" s="1"/>
  <c r="BY5" i="4" s="1"/>
  <c r="P10" i="7"/>
  <c r="J30" i="1"/>
  <c r="J20" i="3" s="1"/>
  <c r="AW10" i="7"/>
  <c r="AQ30" i="1"/>
  <c r="AQ20" i="3" s="1"/>
  <c r="AO4" i="4" s="1"/>
  <c r="AO5" i="4" s="1"/>
  <c r="K61" i="6"/>
  <c r="M81" i="6"/>
  <c r="BF10" i="7"/>
  <c r="AZ30" i="1"/>
  <c r="AZ20" i="3" s="1"/>
  <c r="AX4" i="4" s="1"/>
  <c r="AX5" i="4" s="1"/>
  <c r="AA10" i="7"/>
  <c r="U30" i="1"/>
  <c r="U20" i="3" s="1"/>
  <c r="S4" i="4" s="1"/>
  <c r="S5" i="4" s="1"/>
  <c r="BS10" i="7"/>
  <c r="BM30" i="1"/>
  <c r="BM20" i="3" s="1"/>
  <c r="BK4" i="4" s="1"/>
  <c r="BK5" i="4" s="1"/>
  <c r="AP10" i="7"/>
  <c r="AJ30" i="1"/>
  <c r="AJ20" i="3" s="1"/>
  <c r="AH4" i="4" s="1"/>
  <c r="AH5" i="4" s="1"/>
  <c r="DC10" i="7"/>
  <c r="CW30" i="1"/>
  <c r="CW20" i="3" s="1"/>
  <c r="CU4" i="4" s="1"/>
  <c r="CU5" i="4" s="1"/>
  <c r="AH10" i="7"/>
  <c r="AB30" i="1"/>
  <c r="AB20" i="3" s="1"/>
  <c r="Z4" i="4" s="1"/>
  <c r="Z5" i="4" s="1"/>
  <c r="AK10" i="7"/>
  <c r="AE30" i="1"/>
  <c r="AE20" i="3" s="1"/>
  <c r="AC4" i="4" s="1"/>
  <c r="AC5" i="4" s="1"/>
  <c r="CW10" i="7"/>
  <c r="CQ30" i="1"/>
  <c r="CQ20" i="3" s="1"/>
  <c r="CO4" i="4" s="1"/>
  <c r="CO5" i="4" s="1"/>
  <c r="BJ10" i="7"/>
  <c r="BD30" i="1"/>
  <c r="BD20" i="3" s="1"/>
  <c r="BB4" i="4" s="1"/>
  <c r="BB5" i="4" s="1"/>
  <c r="AF10" i="7"/>
  <c r="Z30" i="1"/>
  <c r="Z20" i="3" s="1"/>
  <c r="X4" i="4" s="1"/>
  <c r="X5" i="4" s="1"/>
  <c r="CR10" i="7"/>
  <c r="CL30" i="1"/>
  <c r="CL20" i="3" s="1"/>
  <c r="CJ4" i="4" s="1"/>
  <c r="CJ5" i="4" s="1"/>
  <c r="BM10" i="7"/>
  <c r="BG30" i="1"/>
  <c r="BG20" i="3" s="1"/>
  <c r="BE4" i="4" s="1"/>
  <c r="BE5" i="4" s="1"/>
  <c r="J62" i="6"/>
  <c r="J63" i="6" s="1"/>
  <c r="J64" i="6" s="1"/>
  <c r="CB18" i="6"/>
  <c r="CC18" i="6" s="1"/>
  <c r="CD18" i="6" s="1"/>
  <c r="CE18" i="6" s="1"/>
  <c r="CF18" i="6" s="1"/>
  <c r="CG18" i="6" s="1"/>
  <c r="CH18" i="6" s="1"/>
  <c r="CI18" i="6" s="1"/>
  <c r="CJ18" i="6" s="1"/>
  <c r="CK18" i="6" s="1"/>
  <c r="CL18" i="6" s="1"/>
  <c r="CM18" i="6" s="1"/>
  <c r="CN18" i="6" s="1"/>
  <c r="CO18" i="6" s="1"/>
  <c r="CA20" i="6"/>
  <c r="M92" i="6"/>
  <c r="M93" i="6" s="1"/>
  <c r="M94" i="6" s="1"/>
  <c r="M143" i="6" s="1"/>
  <c r="N86" i="6"/>
  <c r="M87" i="6"/>
  <c r="M88" i="6" s="1"/>
  <c r="P30" i="5"/>
  <c r="J71" i="5"/>
  <c r="J72" i="5" s="1"/>
  <c r="J73" i="5" s="1"/>
  <c r="J74" i="5" s="1"/>
  <c r="J75" i="5" s="1"/>
  <c r="J76" i="5" s="1"/>
  <c r="J77" i="5" s="1"/>
  <c r="N78" i="6"/>
  <c r="M103" i="6"/>
  <c r="E72" i="1"/>
  <c r="E73" i="1" s="1"/>
  <c r="AY10" i="7"/>
  <c r="AS30" i="1"/>
  <c r="AS20" i="3" s="1"/>
  <c r="AQ4" i="4" s="1"/>
  <c r="AQ5" i="4" s="1"/>
  <c r="BW10" i="7"/>
  <c r="BQ30" i="1"/>
  <c r="BQ20" i="3" s="1"/>
  <c r="BO4" i="4" s="1"/>
  <c r="BO5" i="4" s="1"/>
  <c r="CV10" i="7"/>
  <c r="CP30" i="1"/>
  <c r="CP20" i="3" s="1"/>
  <c r="CN4" i="4" s="1"/>
  <c r="CN5" i="4" s="1"/>
  <c r="BH10" i="7"/>
  <c r="BB30" i="1"/>
  <c r="BB20" i="3" s="1"/>
  <c r="AZ4" i="4" s="1"/>
  <c r="AZ5" i="4" s="1"/>
  <c r="O10" i="7"/>
  <c r="I30" i="1"/>
  <c r="G7" i="3"/>
  <c r="AX10" i="7"/>
  <c r="AR30" i="1"/>
  <c r="AR20" i="3" s="1"/>
  <c r="AP4" i="4" s="1"/>
  <c r="AP5" i="4" s="1"/>
  <c r="AS10" i="7"/>
  <c r="AM30" i="1"/>
  <c r="AM20" i="3" s="1"/>
  <c r="AK4" i="4" s="1"/>
  <c r="AK5" i="4" s="1"/>
  <c r="DE10" i="7"/>
  <c r="CY30" i="1"/>
  <c r="CY20" i="3" s="1"/>
  <c r="CW4" i="4" s="1"/>
  <c r="CW5" i="4" s="1"/>
  <c r="BR10" i="7"/>
  <c r="BL30" i="1"/>
  <c r="BL20" i="3" s="1"/>
  <c r="BJ4" i="4" s="1"/>
  <c r="BJ5" i="4" s="1"/>
  <c r="AN10" i="7"/>
  <c r="AH30" i="1"/>
  <c r="AH20" i="3" s="1"/>
  <c r="AF4" i="4" s="1"/>
  <c r="AF5" i="4" s="1"/>
  <c r="CZ10" i="7"/>
  <c r="CT30" i="1"/>
  <c r="CT20" i="3" s="1"/>
  <c r="CR4" i="4" s="1"/>
  <c r="CR5" i="4" s="1"/>
  <c r="BU10" i="7"/>
  <c r="BO30" i="1"/>
  <c r="BO20" i="3" s="1"/>
  <c r="BM4" i="4" s="1"/>
  <c r="BM5" i="4" s="1"/>
  <c r="P112" i="5"/>
  <c r="R87" i="5"/>
  <c r="M73" i="6"/>
  <c r="M75" i="6" s="1"/>
  <c r="N71" i="6"/>
  <c r="P93" i="5"/>
  <c r="O94" i="5"/>
  <c r="O17" i="3"/>
  <c r="O16" i="3"/>
  <c r="P4" i="3"/>
  <c r="M69" i="5"/>
  <c r="N45" i="6" l="1"/>
  <c r="M144" i="6"/>
  <c r="O118" i="6"/>
  <c r="P116" i="6"/>
  <c r="P132" i="6"/>
  <c r="P133" i="6" s="1"/>
  <c r="Q131" i="6"/>
  <c r="N122" i="6"/>
  <c r="N123" i="6" s="1"/>
  <c r="N124" i="6" s="1"/>
  <c r="O121" i="6"/>
  <c r="Q115" i="6"/>
  <c r="R113" i="6"/>
  <c r="N120" i="6"/>
  <c r="N126" i="6" s="1"/>
  <c r="N119" i="6"/>
  <c r="N127" i="6" s="1"/>
  <c r="N129" i="6" s="1"/>
  <c r="N130" i="6" s="1"/>
  <c r="N134" i="6" s="1"/>
  <c r="O137" i="6"/>
  <c r="P136" i="6"/>
  <c r="P29" i="6"/>
  <c r="Q27" i="6"/>
  <c r="O30" i="6"/>
  <c r="O38" i="6" s="1"/>
  <c r="O40" i="6" s="1"/>
  <c r="O41" i="6" s="1"/>
  <c r="O31" i="6"/>
  <c r="O37" i="6" s="1"/>
  <c r="N9" i="6"/>
  <c r="O8" i="6"/>
  <c r="M101" i="6"/>
  <c r="M76" i="6"/>
  <c r="M77" i="6" s="1"/>
  <c r="M19" i="6"/>
  <c r="M22" i="6" s="1"/>
  <c r="M23" i="6" s="1"/>
  <c r="J13" i="1"/>
  <c r="I14" i="1"/>
  <c r="N54" i="5"/>
  <c r="M56" i="5"/>
  <c r="M59" i="5"/>
  <c r="P33" i="5"/>
  <c r="O34" i="5"/>
  <c r="O38" i="5" s="1"/>
  <c r="O35" i="5"/>
  <c r="N36" i="5"/>
  <c r="N39" i="5" s="1"/>
  <c r="N42" i="5"/>
  <c r="N43" i="5" s="1"/>
  <c r="T40" i="5"/>
  <c r="N57" i="5"/>
  <c r="M58" i="5"/>
  <c r="M60" i="5" s="1"/>
  <c r="M46" i="5" s="1"/>
  <c r="M48" i="5" s="1"/>
  <c r="M49" i="5" s="1"/>
  <c r="M53" i="5" s="1"/>
  <c r="M90" i="5" s="1"/>
  <c r="M61" i="5"/>
  <c r="M62" i="5" s="1"/>
  <c r="M63" i="5" s="1"/>
  <c r="M42" i="5"/>
  <c r="M43" i="5" s="1"/>
  <c r="M45" i="5" s="1"/>
  <c r="Q50" i="5"/>
  <c r="P51" i="5"/>
  <c r="P52" i="5" s="1"/>
  <c r="L90" i="5"/>
  <c r="L64" i="5"/>
  <c r="I106" i="6"/>
  <c r="I107" i="6" s="1"/>
  <c r="I108" i="6" s="1"/>
  <c r="C23" i="1" s="1"/>
  <c r="L152" i="5"/>
  <c r="L153" i="5" s="1"/>
  <c r="C18" i="1"/>
  <c r="M29" i="5"/>
  <c r="M31" i="5" s="1"/>
  <c r="M32" i="5" s="1"/>
  <c r="M150" i="5"/>
  <c r="M151" i="5" s="1"/>
  <c r="M147" i="5"/>
  <c r="M149" i="5" s="1"/>
  <c r="M135" i="5" s="1"/>
  <c r="M137" i="5" s="1"/>
  <c r="M138" i="5" s="1"/>
  <c r="M142" i="5" s="1"/>
  <c r="M91" i="5" s="1"/>
  <c r="N146" i="5"/>
  <c r="M131" i="5"/>
  <c r="M132" i="5" s="1"/>
  <c r="M134" i="5" s="1"/>
  <c r="N130" i="5"/>
  <c r="O123" i="5"/>
  <c r="O127" i="5" s="1"/>
  <c r="P122" i="5"/>
  <c r="H145" i="6"/>
  <c r="P129" i="5"/>
  <c r="M148" i="5"/>
  <c r="M145" i="5"/>
  <c r="N143" i="5"/>
  <c r="N140" i="5"/>
  <c r="N141" i="5" s="1"/>
  <c r="O139" i="5"/>
  <c r="O124" i="5"/>
  <c r="N125" i="5"/>
  <c r="N128" i="5" s="1"/>
  <c r="O22" i="5"/>
  <c r="P19" i="5"/>
  <c r="J65" i="6"/>
  <c r="J66" i="6" s="1"/>
  <c r="J67" i="6" s="1"/>
  <c r="D22" i="1" s="1"/>
  <c r="N92" i="6"/>
  <c r="N93" i="6" s="1"/>
  <c r="N94" i="6" s="1"/>
  <c r="N143" i="6" s="1"/>
  <c r="N87" i="6"/>
  <c r="N88" i="6" s="1"/>
  <c r="O86" i="6"/>
  <c r="U11" i="7"/>
  <c r="O31" i="1" s="1"/>
  <c r="M6" i="4"/>
  <c r="O38" i="3"/>
  <c r="O19" i="3"/>
  <c r="O21" i="3" s="1"/>
  <c r="D4" i="4"/>
  <c r="D5" i="4" s="1"/>
  <c r="D8" i="3"/>
  <c r="B30" i="1"/>
  <c r="Q30" i="5"/>
  <c r="J4" i="4"/>
  <c r="J5" i="4" s="1"/>
  <c r="L21" i="3"/>
  <c r="N80" i="5"/>
  <c r="M82" i="5"/>
  <c r="M84" i="5" s="1"/>
  <c r="L55" i="6"/>
  <c r="M21" i="3"/>
  <c r="N95" i="5"/>
  <c r="M101" i="5"/>
  <c r="M102" i="5" s="1"/>
  <c r="M103" i="5" s="1"/>
  <c r="M96" i="5"/>
  <c r="M97" i="5" s="1"/>
  <c r="M48" i="6"/>
  <c r="M54" i="6" s="1"/>
  <c r="M55" i="6" s="1"/>
  <c r="N47" i="6"/>
  <c r="N31" i="1"/>
  <c r="K104" i="6"/>
  <c r="K105" i="6" s="1"/>
  <c r="K108" i="6" s="1"/>
  <c r="L79" i="6"/>
  <c r="K80" i="6"/>
  <c r="K95" i="6" s="1"/>
  <c r="I1" i="4"/>
  <c r="L5" i="3"/>
  <c r="K2" i="3"/>
  <c r="N118" i="5"/>
  <c r="M119" i="5"/>
  <c r="M120" i="5" s="1"/>
  <c r="M121" i="5" s="1"/>
  <c r="F4" i="4"/>
  <c r="F5" i="4" s="1"/>
  <c r="F8" i="3"/>
  <c r="R84" i="6"/>
  <c r="Q85" i="6"/>
  <c r="H11" i="4"/>
  <c r="Q99" i="5"/>
  <c r="O98" i="6"/>
  <c r="O100" i="6" s="1"/>
  <c r="P96" i="6"/>
  <c r="C4" i="4"/>
  <c r="C5" i="4" s="1"/>
  <c r="C10" i="4" s="1"/>
  <c r="H7" i="3"/>
  <c r="C8" i="3"/>
  <c r="R112" i="5"/>
  <c r="T87" i="5"/>
  <c r="G4" i="4"/>
  <c r="G5" i="4" s="1"/>
  <c r="G8" i="3"/>
  <c r="CP18" i="6"/>
  <c r="CQ18" i="6" s="1"/>
  <c r="CR18" i="6" s="1"/>
  <c r="CS18" i="6" s="1"/>
  <c r="CT18" i="6" s="1"/>
  <c r="CU18" i="6" s="1"/>
  <c r="CV18" i="6" s="1"/>
  <c r="CW18" i="6" s="1"/>
  <c r="CX18" i="6" s="1"/>
  <c r="CY18" i="6" s="1"/>
  <c r="CZ18" i="6" s="1"/>
  <c r="DA18" i="6" s="1"/>
  <c r="DB18" i="6" s="1"/>
  <c r="DC18" i="6" s="1"/>
  <c r="CO20" i="6"/>
  <c r="L61" i="6"/>
  <c r="L62" i="6" s="1"/>
  <c r="L63" i="6" s="1"/>
  <c r="P42" i="6"/>
  <c r="O43" i="6"/>
  <c r="O44" i="6" s="1"/>
  <c r="O45" i="6" s="1"/>
  <c r="B10" i="7"/>
  <c r="L70" i="5"/>
  <c r="L71" i="5" s="1"/>
  <c r="L72" i="5" s="1"/>
  <c r="P15" i="5"/>
  <c r="O16" i="5"/>
  <c r="O41" i="5" s="1"/>
  <c r="Q105" i="5"/>
  <c r="P107" i="5"/>
  <c r="P109" i="5" s="1"/>
  <c r="P66" i="5"/>
  <c r="O68" i="5"/>
  <c r="O67" i="5"/>
  <c r="I4" i="4"/>
  <c r="I5" i="4" s="1"/>
  <c r="K21" i="3"/>
  <c r="O71" i="6"/>
  <c r="N73" i="6"/>
  <c r="N75" i="6" s="1"/>
  <c r="N103" i="6"/>
  <c r="O78" i="6"/>
  <c r="M106" i="6"/>
  <c r="M107" i="6" s="1"/>
  <c r="M82" i="6"/>
  <c r="Q93" i="5"/>
  <c r="P94" i="5"/>
  <c r="K62" i="6"/>
  <c r="K63" i="6" s="1"/>
  <c r="K64" i="6" s="1"/>
  <c r="O110" i="6"/>
  <c r="O111" i="6" s="1"/>
  <c r="O112" i="6" s="1"/>
  <c r="P109" i="6"/>
  <c r="N81" i="6"/>
  <c r="L113" i="5"/>
  <c r="L114" i="5" s="1"/>
  <c r="M88" i="5"/>
  <c r="K71" i="5"/>
  <c r="K72" i="5" s="1"/>
  <c r="K73" i="5" s="1"/>
  <c r="N85" i="5"/>
  <c r="N86" i="5" s="1"/>
  <c r="N26" i="5"/>
  <c r="N110" i="5"/>
  <c r="N111" i="5" s="1"/>
  <c r="N18" i="5"/>
  <c r="N23" i="5" s="1"/>
  <c r="N24" i="5" s="1"/>
  <c r="N33" i="6"/>
  <c r="N34" i="6" s="1"/>
  <c r="N35" i="6" s="1"/>
  <c r="O32" i="6"/>
  <c r="N21" i="3"/>
  <c r="BJ25" i="5"/>
  <c r="BK25" i="5" s="1"/>
  <c r="BL25" i="5" s="1"/>
  <c r="BM25" i="5" s="1"/>
  <c r="BN25" i="5" s="1"/>
  <c r="BO25" i="5" s="1"/>
  <c r="BP25" i="5" s="1"/>
  <c r="BQ25" i="5" s="1"/>
  <c r="BR25" i="5" s="1"/>
  <c r="BS25" i="5" s="1"/>
  <c r="BT25" i="5" s="1"/>
  <c r="BU25" i="5" s="1"/>
  <c r="BV25" i="5" s="1"/>
  <c r="BI27" i="5"/>
  <c r="H4" i="4"/>
  <c r="H5" i="4" s="1"/>
  <c r="J21" i="3"/>
  <c r="P17" i="3"/>
  <c r="P16" i="3"/>
  <c r="Q4" i="3"/>
  <c r="S112" i="5"/>
  <c r="U87" i="5"/>
  <c r="E8" i="3"/>
  <c r="E4" i="4"/>
  <c r="E5" i="4" s="1"/>
  <c r="N69" i="5"/>
  <c r="C25" i="3"/>
  <c r="D22" i="3" s="1"/>
  <c r="D25" i="3" s="1"/>
  <c r="E22" i="3" s="1"/>
  <c r="E25" i="3" s="1"/>
  <c r="F22" i="3" s="1"/>
  <c r="F25" i="3" s="1"/>
  <c r="G22" i="3" s="1"/>
  <c r="G25" i="3" s="1"/>
  <c r="J24" i="3" s="1"/>
  <c r="B12" i="4"/>
  <c r="B22" i="4"/>
  <c r="N144" i="6" l="1"/>
  <c r="Q136" i="6"/>
  <c r="P137" i="6"/>
  <c r="Q132" i="6"/>
  <c r="Q133" i="6" s="1"/>
  <c r="R131" i="6"/>
  <c r="S113" i="6"/>
  <c r="R115" i="6"/>
  <c r="P118" i="6"/>
  <c r="Q116" i="6"/>
  <c r="O120" i="6"/>
  <c r="O119" i="6"/>
  <c r="O127" i="6" s="1"/>
  <c r="O129" i="6" s="1"/>
  <c r="O130" i="6" s="1"/>
  <c r="O122" i="6"/>
  <c r="O123" i="6" s="1"/>
  <c r="O124" i="6" s="1"/>
  <c r="P121" i="6"/>
  <c r="P8" i="6"/>
  <c r="O9" i="6"/>
  <c r="O33" i="6" s="1"/>
  <c r="O34" i="6" s="1"/>
  <c r="O35" i="6" s="1"/>
  <c r="N19" i="6"/>
  <c r="N22" i="6" s="1"/>
  <c r="N23" i="6" s="1"/>
  <c r="N101" i="6"/>
  <c r="N76" i="6"/>
  <c r="N77" i="6" s="1"/>
  <c r="R27" i="6"/>
  <c r="Q29" i="6"/>
  <c r="P31" i="6"/>
  <c r="P37" i="6" s="1"/>
  <c r="P30" i="6"/>
  <c r="P38" i="6" s="1"/>
  <c r="P40" i="6" s="1"/>
  <c r="P41" i="6" s="1"/>
  <c r="H8" i="3"/>
  <c r="J14" i="1"/>
  <c r="K13" i="1"/>
  <c r="Q33" i="5"/>
  <c r="P34" i="5"/>
  <c r="P38" i="5" s="1"/>
  <c r="N56" i="5"/>
  <c r="N59" i="5"/>
  <c r="O54" i="5"/>
  <c r="U40" i="5"/>
  <c r="Q51" i="5"/>
  <c r="Q52" i="5" s="1"/>
  <c r="R50" i="5"/>
  <c r="N58" i="5"/>
  <c r="N60" i="5" s="1"/>
  <c r="N46" i="5" s="1"/>
  <c r="N48" i="5" s="1"/>
  <c r="N49" i="5" s="1"/>
  <c r="N53" i="5" s="1"/>
  <c r="O57" i="5"/>
  <c r="N61" i="5"/>
  <c r="N62" i="5" s="1"/>
  <c r="N45" i="5"/>
  <c r="M64" i="5"/>
  <c r="O36" i="5"/>
  <c r="O39" i="5" s="1"/>
  <c r="P35" i="5"/>
  <c r="N29" i="5"/>
  <c r="N31" i="5" s="1"/>
  <c r="N32" i="5" s="1"/>
  <c r="N150" i="5"/>
  <c r="N151" i="5" s="1"/>
  <c r="O146" i="5"/>
  <c r="N147" i="5"/>
  <c r="N149" i="5" s="1"/>
  <c r="N135" i="5" s="1"/>
  <c r="N137" i="5" s="1"/>
  <c r="N138" i="5" s="1"/>
  <c r="N142" i="5" s="1"/>
  <c r="N91" i="5" s="1"/>
  <c r="O130" i="5"/>
  <c r="M152" i="5"/>
  <c r="M153" i="5" s="1"/>
  <c r="N131" i="5"/>
  <c r="N132" i="5" s="1"/>
  <c r="N134" i="5" s="1"/>
  <c r="P123" i="5"/>
  <c r="P127" i="5" s="1"/>
  <c r="Q122" i="5"/>
  <c r="N145" i="5"/>
  <c r="N148" i="5"/>
  <c r="O143" i="5"/>
  <c r="Q129" i="5"/>
  <c r="O125" i="5"/>
  <c r="O128" i="5" s="1"/>
  <c r="P124" i="5"/>
  <c r="P139" i="5"/>
  <c r="O140" i="5"/>
  <c r="O141" i="5" s="1"/>
  <c r="E23" i="1"/>
  <c r="P22" i="5"/>
  <c r="Q19" i="5"/>
  <c r="J115" i="5"/>
  <c r="J116" i="5" s="1"/>
  <c r="J117" i="5" s="1"/>
  <c r="J104" i="5"/>
  <c r="J81" i="6"/>
  <c r="D17" i="1"/>
  <c r="L73" i="5"/>
  <c r="L74" i="5" s="1"/>
  <c r="L75" i="5" s="1"/>
  <c r="L76" i="5" s="1"/>
  <c r="L77" i="5" s="1"/>
  <c r="K74" i="5"/>
  <c r="K75" i="5" s="1"/>
  <c r="K76" i="5" s="1"/>
  <c r="K77" i="5" s="1"/>
  <c r="D10" i="4"/>
  <c r="C12" i="4"/>
  <c r="C22" i="4"/>
  <c r="C17" i="1"/>
  <c r="P98" i="6"/>
  <c r="P100" i="6" s="1"/>
  <c r="Q96" i="6"/>
  <c r="O47" i="6"/>
  <c r="N48" i="6"/>
  <c r="N54" i="6" s="1"/>
  <c r="N106" i="6"/>
  <c r="N107" i="6" s="1"/>
  <c r="N82" i="6"/>
  <c r="O103" i="6"/>
  <c r="P78" i="6"/>
  <c r="M70" i="5"/>
  <c r="M71" i="5" s="1"/>
  <c r="M72" i="5" s="1"/>
  <c r="M61" i="6"/>
  <c r="M62" i="6"/>
  <c r="M63" i="6" s="1"/>
  <c r="I11" i="4"/>
  <c r="M26" i="3"/>
  <c r="M30" i="3"/>
  <c r="M107" i="1"/>
  <c r="L64" i="6"/>
  <c r="L65" i="6" s="1"/>
  <c r="L66" i="6" s="1"/>
  <c r="L67" i="6" s="1"/>
  <c r="F22" i="1" s="1"/>
  <c r="P110" i="6"/>
  <c r="P111" i="6" s="1"/>
  <c r="P112" i="6" s="1"/>
  <c r="Q109" i="6"/>
  <c r="O69" i="5"/>
  <c r="J1" i="4"/>
  <c r="L2" i="3"/>
  <c r="M5" i="3"/>
  <c r="K65" i="6"/>
  <c r="K66" i="6" s="1"/>
  <c r="K67" i="6" s="1"/>
  <c r="E22" i="1" s="1"/>
  <c r="Q42" i="6"/>
  <c r="P43" i="6"/>
  <c r="P44" i="6" s="1"/>
  <c r="P45" i="6" s="1"/>
  <c r="R99" i="5"/>
  <c r="N82" i="5"/>
  <c r="N84" i="5" s="1"/>
  <c r="O80" i="5"/>
  <c r="B25" i="4"/>
  <c r="B26" i="4" s="1"/>
  <c r="B23" i="4"/>
  <c r="B24" i="4" s="1"/>
  <c r="C22" i="1"/>
  <c r="V11" i="7"/>
  <c r="P38" i="3"/>
  <c r="N6" i="4"/>
  <c r="P19" i="3"/>
  <c r="P21" i="3" s="1"/>
  <c r="M113" i="5"/>
  <c r="M114" i="5" s="1"/>
  <c r="N88" i="5"/>
  <c r="K26" i="3"/>
  <c r="K107" i="1"/>
  <c r="K30" i="3"/>
  <c r="R105" i="5"/>
  <c r="Q107" i="5"/>
  <c r="Q109" i="5" s="1"/>
  <c r="L104" i="6"/>
  <c r="L105" i="6" s="1"/>
  <c r="M79" i="6"/>
  <c r="L80" i="6"/>
  <c r="L95" i="6" s="1"/>
  <c r="M89" i="5"/>
  <c r="P86" i="6"/>
  <c r="O87" i="6"/>
  <c r="O88" i="6" s="1"/>
  <c r="O92" i="6"/>
  <c r="O93" i="6" s="1"/>
  <c r="O94" i="6" s="1"/>
  <c r="O143" i="6" s="1"/>
  <c r="BV27" i="5"/>
  <c r="BW25" i="5"/>
  <c r="BX25" i="5" s="1"/>
  <c r="BY25" i="5" s="1"/>
  <c r="BZ25" i="5" s="1"/>
  <c r="CA25" i="5" s="1"/>
  <c r="CB25" i="5" s="1"/>
  <c r="CC25" i="5" s="1"/>
  <c r="CD25" i="5" s="1"/>
  <c r="CE25" i="5" s="1"/>
  <c r="CF25" i="5" s="1"/>
  <c r="CG25" i="5" s="1"/>
  <c r="CH25" i="5" s="1"/>
  <c r="CI25" i="5" s="1"/>
  <c r="O81" i="6"/>
  <c r="O30" i="3"/>
  <c r="O107" i="1"/>
  <c r="O26" i="3"/>
  <c r="N30" i="3"/>
  <c r="N107" i="1"/>
  <c r="N26" i="3"/>
  <c r="DD18" i="6"/>
  <c r="DE18" i="6" s="1"/>
  <c r="DC20" i="6"/>
  <c r="R30" i="5"/>
  <c r="W87" i="5"/>
  <c r="U112" i="5"/>
  <c r="O73" i="6"/>
  <c r="O75" i="6" s="1"/>
  <c r="P71" i="6"/>
  <c r="Q66" i="5"/>
  <c r="P68" i="5"/>
  <c r="P67" i="5"/>
  <c r="S84" i="6"/>
  <c r="R85" i="6"/>
  <c r="Q17" i="3"/>
  <c r="Q16" i="3"/>
  <c r="R4" i="3"/>
  <c r="P32" i="6"/>
  <c r="O110" i="5"/>
  <c r="O111" i="5" s="1"/>
  <c r="O26" i="5"/>
  <c r="O85" i="5"/>
  <c r="O86" i="5" s="1"/>
  <c r="O18" i="5"/>
  <c r="O23" i="5" s="1"/>
  <c r="O24" i="5" s="1"/>
  <c r="J26" i="3"/>
  <c r="J107" i="1"/>
  <c r="J30" i="3"/>
  <c r="R93" i="5"/>
  <c r="Q94" i="5"/>
  <c r="Q15" i="5"/>
  <c r="P16" i="5"/>
  <c r="P41" i="5" s="1"/>
  <c r="V87" i="5"/>
  <c r="T112" i="5"/>
  <c r="O118" i="5"/>
  <c r="N119" i="5"/>
  <c r="N120" i="5" s="1"/>
  <c r="N121" i="5" s="1"/>
  <c r="N101" i="5"/>
  <c r="N102" i="5" s="1"/>
  <c r="N103" i="5" s="1"/>
  <c r="O95" i="5"/>
  <c r="N96" i="5"/>
  <c r="N97" i="5" s="1"/>
  <c r="L30" i="3"/>
  <c r="L26" i="3"/>
  <c r="L107" i="1"/>
  <c r="O134" i="6" l="1"/>
  <c r="O126" i="6"/>
  <c r="P119" i="6"/>
  <c r="P127" i="6" s="1"/>
  <c r="P129" i="6" s="1"/>
  <c r="P130" i="6" s="1"/>
  <c r="P120" i="6"/>
  <c r="P122" i="6"/>
  <c r="P123" i="6" s="1"/>
  <c r="P124" i="6" s="1"/>
  <c r="Q121" i="6"/>
  <c r="S115" i="6"/>
  <c r="T113" i="6"/>
  <c r="R132" i="6"/>
  <c r="R133" i="6" s="1"/>
  <c r="S131" i="6"/>
  <c r="Q118" i="6"/>
  <c r="R116" i="6"/>
  <c r="Q137" i="6"/>
  <c r="R136" i="6"/>
  <c r="Q30" i="6"/>
  <c r="Q38" i="6" s="1"/>
  <c r="Q40" i="6" s="1"/>
  <c r="Q41" i="6" s="1"/>
  <c r="Q31" i="6"/>
  <c r="Q37" i="6" s="1"/>
  <c r="O76" i="6"/>
  <c r="O77" i="6" s="1"/>
  <c r="O101" i="6"/>
  <c r="O19" i="6"/>
  <c r="O22" i="6" s="1"/>
  <c r="O23" i="6" s="1"/>
  <c r="R29" i="6"/>
  <c r="S27" i="6"/>
  <c r="P9" i="6"/>
  <c r="P33" i="6" s="1"/>
  <c r="P34" i="6" s="1"/>
  <c r="P35" i="6" s="1"/>
  <c r="Q8" i="6"/>
  <c r="J154" i="5"/>
  <c r="K14" i="1"/>
  <c r="L13" i="1"/>
  <c r="O56" i="5"/>
  <c r="P54" i="5"/>
  <c r="O59" i="5"/>
  <c r="N63" i="5"/>
  <c r="N64" i="5" s="1"/>
  <c r="Q34" i="5"/>
  <c r="Q38" i="5" s="1"/>
  <c r="R33" i="5"/>
  <c r="O42" i="5"/>
  <c r="O43" i="5" s="1"/>
  <c r="O45" i="5" s="1"/>
  <c r="R51" i="5"/>
  <c r="R52" i="5" s="1"/>
  <c r="S50" i="5"/>
  <c r="P36" i="5"/>
  <c r="P39" i="5" s="1"/>
  <c r="Q35" i="5"/>
  <c r="P42" i="5"/>
  <c r="P43" i="5" s="1"/>
  <c r="N152" i="5"/>
  <c r="N153" i="5" s="1"/>
  <c r="V40" i="5"/>
  <c r="N90" i="5"/>
  <c r="O58" i="5"/>
  <c r="O60" i="5" s="1"/>
  <c r="O46" i="5" s="1"/>
  <c r="O48" i="5" s="1"/>
  <c r="O49" i="5" s="1"/>
  <c r="O53" i="5" s="1"/>
  <c r="O90" i="5" s="1"/>
  <c r="O61" i="5"/>
  <c r="O62" i="5" s="1"/>
  <c r="O63" i="5" s="1"/>
  <c r="P57" i="5"/>
  <c r="O29" i="5"/>
  <c r="O31" i="5" s="1"/>
  <c r="O32" i="5" s="1"/>
  <c r="O147" i="5"/>
  <c r="O149" i="5" s="1"/>
  <c r="O135" i="5" s="1"/>
  <c r="O137" i="5" s="1"/>
  <c r="O138" i="5" s="1"/>
  <c r="O142" i="5" s="1"/>
  <c r="O91" i="5" s="1"/>
  <c r="O150" i="5"/>
  <c r="O151" i="5" s="1"/>
  <c r="P146" i="5"/>
  <c r="P130" i="5"/>
  <c r="O131" i="5"/>
  <c r="O132" i="5" s="1"/>
  <c r="O134" i="5" s="1"/>
  <c r="R122" i="5"/>
  <c r="Q123" i="5"/>
  <c r="Q127" i="5" s="1"/>
  <c r="Q139" i="5"/>
  <c r="P140" i="5"/>
  <c r="P141" i="5" s="1"/>
  <c r="P125" i="5"/>
  <c r="P128" i="5" s="1"/>
  <c r="Q124" i="5"/>
  <c r="R129" i="5"/>
  <c r="O148" i="5"/>
  <c r="O145" i="5"/>
  <c r="P143" i="5"/>
  <c r="J106" i="6"/>
  <c r="J107" i="6" s="1"/>
  <c r="J108" i="6" s="1"/>
  <c r="J82" i="6"/>
  <c r="J95" i="6" s="1"/>
  <c r="K115" i="5"/>
  <c r="K116" i="5" s="1"/>
  <c r="K117" i="5" s="1"/>
  <c r="K104" i="5"/>
  <c r="R19" i="5"/>
  <c r="Q22" i="5"/>
  <c r="S93" i="5"/>
  <c r="R94" i="5"/>
  <c r="P81" i="6"/>
  <c r="Q32" i="6"/>
  <c r="P30" i="3"/>
  <c r="P26" i="3"/>
  <c r="P107" i="1"/>
  <c r="R42" i="6"/>
  <c r="Q43" i="6"/>
  <c r="Q44" i="6" s="1"/>
  <c r="O119" i="5"/>
  <c r="O120" i="5" s="1"/>
  <c r="O121" i="5" s="1"/>
  <c r="P118" i="5"/>
  <c r="W11" i="7"/>
  <c r="Q31" i="1" s="1"/>
  <c r="O6" i="4"/>
  <c r="Q38" i="3"/>
  <c r="Q19" i="3"/>
  <c r="Q21" i="3" s="1"/>
  <c r="Q67" i="5"/>
  <c r="R66" i="5"/>
  <c r="Q68" i="5"/>
  <c r="W112" i="5"/>
  <c r="Y87" i="5"/>
  <c r="O106" i="6"/>
  <c r="O107" i="6" s="1"/>
  <c r="O82" i="6"/>
  <c r="N113" i="5"/>
  <c r="N114" i="5" s="1"/>
  <c r="O88" i="5"/>
  <c r="O89" i="5" s="1"/>
  <c r="S99" i="5"/>
  <c r="N89" i="5"/>
  <c r="Q98" i="6"/>
  <c r="Q100" i="6" s="1"/>
  <c r="R96" i="6"/>
  <c r="D12" i="4"/>
  <c r="E10" i="4"/>
  <c r="D22" i="4"/>
  <c r="CI27" i="5"/>
  <c r="CJ25" i="5"/>
  <c r="CK25" i="5" s="1"/>
  <c r="CL25" i="5" s="1"/>
  <c r="CM25" i="5" s="1"/>
  <c r="CN25" i="5" s="1"/>
  <c r="CO25" i="5" s="1"/>
  <c r="CP25" i="5" s="1"/>
  <c r="CQ25" i="5" s="1"/>
  <c r="CR25" i="5" s="1"/>
  <c r="CS25" i="5" s="1"/>
  <c r="CT25" i="5" s="1"/>
  <c r="CU25" i="5" s="1"/>
  <c r="CV25" i="5" s="1"/>
  <c r="V112" i="5"/>
  <c r="X87" i="5"/>
  <c r="S30" i="5"/>
  <c r="C35" i="1"/>
  <c r="O101" i="5"/>
  <c r="O102" i="5" s="1"/>
  <c r="O103" i="5" s="1"/>
  <c r="O96" i="5"/>
  <c r="O97" i="5" s="1"/>
  <c r="P95" i="5"/>
  <c r="T84" i="6"/>
  <c r="S85" i="6"/>
  <c r="P92" i="6"/>
  <c r="P93" i="6" s="1"/>
  <c r="P94" i="6" s="1"/>
  <c r="P143" i="6" s="1"/>
  <c r="Q86" i="6"/>
  <c r="P87" i="6"/>
  <c r="P88" i="6" s="1"/>
  <c r="M104" i="6"/>
  <c r="M105" i="6" s="1"/>
  <c r="M108" i="6" s="1"/>
  <c r="N79" i="6"/>
  <c r="M80" i="6"/>
  <c r="P31" i="1"/>
  <c r="K1" i="4"/>
  <c r="N5" i="3"/>
  <c r="M2" i="3"/>
  <c r="J11" i="4"/>
  <c r="N70" i="5"/>
  <c r="N71" i="5" s="1"/>
  <c r="N72" i="5" s="1"/>
  <c r="R109" i="6"/>
  <c r="Q110" i="6"/>
  <c r="Q111" i="6" s="1"/>
  <c r="Q112" i="6" s="1"/>
  <c r="P110" i="5"/>
  <c r="P111" i="5" s="1"/>
  <c r="P26" i="5"/>
  <c r="P85" i="5"/>
  <c r="P86" i="5" s="1"/>
  <c r="P18" i="5"/>
  <c r="P23" i="5" s="1"/>
  <c r="P24" i="5" s="1"/>
  <c r="L108" i="6"/>
  <c r="F23" i="1" s="1"/>
  <c r="P103" i="6"/>
  <c r="Q78" i="6"/>
  <c r="N55" i="6"/>
  <c r="C25" i="4"/>
  <c r="C26" i="4" s="1"/>
  <c r="C23" i="4"/>
  <c r="C24" i="4" s="1"/>
  <c r="M73" i="5"/>
  <c r="M74" i="5" s="1"/>
  <c r="M75" i="5" s="1"/>
  <c r="M76" i="5" s="1"/>
  <c r="M77" i="5" s="1"/>
  <c r="Q71" i="6"/>
  <c r="P73" i="6"/>
  <c r="P75" i="6" s="1"/>
  <c r="C36" i="1"/>
  <c r="S105" i="5"/>
  <c r="R107" i="5"/>
  <c r="R109" i="5" s="1"/>
  <c r="N61" i="6"/>
  <c r="N62" i="6"/>
  <c r="N63" i="6" s="1"/>
  <c r="O82" i="5"/>
  <c r="O84" i="5" s="1"/>
  <c r="P80" i="5"/>
  <c r="R15" i="5"/>
  <c r="Q16" i="5"/>
  <c r="Q41" i="5" s="1"/>
  <c r="R16" i="3"/>
  <c r="S4" i="3"/>
  <c r="R17" i="3"/>
  <c r="P69" i="5"/>
  <c r="M64" i="6"/>
  <c r="M65" i="6" s="1"/>
  <c r="M66" i="6" s="1"/>
  <c r="M67" i="6" s="1"/>
  <c r="G22" i="1" s="1"/>
  <c r="O48" i="6"/>
  <c r="O54" i="6" s="1"/>
  <c r="O55" i="6" s="1"/>
  <c r="P47" i="6"/>
  <c r="P126" i="6" l="1"/>
  <c r="Q45" i="6"/>
  <c r="Q81" i="6" s="1"/>
  <c r="P134" i="6"/>
  <c r="P144" i="6" s="1"/>
  <c r="O144" i="6"/>
  <c r="T131" i="6"/>
  <c r="S132" i="6"/>
  <c r="S133" i="6" s="1"/>
  <c r="R121" i="6"/>
  <c r="Q122" i="6"/>
  <c r="Q123" i="6" s="1"/>
  <c r="Q124" i="6" s="1"/>
  <c r="T115" i="6"/>
  <c r="U113" i="6"/>
  <c r="R137" i="6"/>
  <c r="S136" i="6"/>
  <c r="R118" i="6"/>
  <c r="S116" i="6"/>
  <c r="Q120" i="6"/>
  <c r="Q119" i="6"/>
  <c r="Q127" i="6" s="1"/>
  <c r="Q129" i="6" s="1"/>
  <c r="Q130" i="6" s="1"/>
  <c r="R31" i="6"/>
  <c r="R37" i="6" s="1"/>
  <c r="R30" i="6"/>
  <c r="R38" i="6" s="1"/>
  <c r="R40" i="6" s="1"/>
  <c r="R41" i="6" s="1"/>
  <c r="T27" i="6"/>
  <c r="S29" i="6"/>
  <c r="P19" i="6"/>
  <c r="P22" i="6" s="1"/>
  <c r="P23" i="6" s="1"/>
  <c r="P101" i="6"/>
  <c r="P76" i="6"/>
  <c r="P77" i="6" s="1"/>
  <c r="Q9" i="6"/>
  <c r="Q33" i="6" s="1"/>
  <c r="Q34" i="6" s="1"/>
  <c r="Q35" i="6" s="1"/>
  <c r="R8" i="6"/>
  <c r="K154" i="5"/>
  <c r="M13" i="1"/>
  <c r="L14" i="1"/>
  <c r="S33" i="5"/>
  <c r="R34" i="5"/>
  <c r="R38" i="5" s="1"/>
  <c r="D18" i="1"/>
  <c r="D35" i="1" s="1"/>
  <c r="P59" i="5"/>
  <c r="Q54" i="5"/>
  <c r="P56" i="5"/>
  <c r="O64" i="5"/>
  <c r="Q36" i="5"/>
  <c r="Q39" i="5" s="1"/>
  <c r="R35" i="5"/>
  <c r="P45" i="5"/>
  <c r="W40" i="5"/>
  <c r="P58" i="5"/>
  <c r="P60" i="5" s="1"/>
  <c r="P46" i="5" s="1"/>
  <c r="P48" i="5" s="1"/>
  <c r="P49" i="5" s="1"/>
  <c r="P53" i="5" s="1"/>
  <c r="P61" i="5"/>
  <c r="P62" i="5" s="1"/>
  <c r="P63" i="5" s="1"/>
  <c r="Q57" i="5"/>
  <c r="Q42" i="5"/>
  <c r="Q43" i="5" s="1"/>
  <c r="S51" i="5"/>
  <c r="S52" i="5" s="1"/>
  <c r="T50" i="5"/>
  <c r="O152" i="5"/>
  <c r="O153" i="5" s="1"/>
  <c r="P29" i="5"/>
  <c r="P31" i="5" s="1"/>
  <c r="P32" i="5" s="1"/>
  <c r="P150" i="5"/>
  <c r="P151" i="5" s="1"/>
  <c r="P147" i="5"/>
  <c r="P149" i="5" s="1"/>
  <c r="P135" i="5" s="1"/>
  <c r="P137" i="5" s="1"/>
  <c r="P138" i="5" s="1"/>
  <c r="P142" i="5" s="1"/>
  <c r="P91" i="5" s="1"/>
  <c r="Q146" i="5"/>
  <c r="D23" i="1"/>
  <c r="Q130" i="5"/>
  <c r="R123" i="5"/>
  <c r="R127" i="5" s="1"/>
  <c r="S122" i="5"/>
  <c r="C37" i="1"/>
  <c r="R139" i="5"/>
  <c r="Q140" i="5"/>
  <c r="Q141" i="5" s="1"/>
  <c r="Q125" i="5"/>
  <c r="Q128" i="5" s="1"/>
  <c r="R124" i="5"/>
  <c r="S129" i="5"/>
  <c r="P148" i="5"/>
  <c r="P145" i="5"/>
  <c r="Q143" i="5"/>
  <c r="P131" i="5"/>
  <c r="P132" i="5" s="1"/>
  <c r="P134" i="5" s="1"/>
  <c r="E18" i="1"/>
  <c r="F17" i="1"/>
  <c r="G17" i="1"/>
  <c r="S19" i="5"/>
  <c r="R22" i="5"/>
  <c r="L104" i="5"/>
  <c r="L115" i="5"/>
  <c r="L116" i="5" s="1"/>
  <c r="L117" i="5" s="1"/>
  <c r="S94" i="5"/>
  <c r="T93" i="5"/>
  <c r="Q26" i="3"/>
  <c r="Q30" i="3"/>
  <c r="Q107" i="1"/>
  <c r="CV27" i="5"/>
  <c r="CW25" i="5"/>
  <c r="CX25" i="5" s="1"/>
  <c r="CY25" i="5" s="1"/>
  <c r="CZ25" i="5" s="1"/>
  <c r="DA25" i="5" s="1"/>
  <c r="DB25" i="5" s="1"/>
  <c r="DC25" i="5" s="1"/>
  <c r="DD25" i="5" s="1"/>
  <c r="DE25" i="5" s="1"/>
  <c r="M95" i="6"/>
  <c r="N73" i="5"/>
  <c r="N104" i="6"/>
  <c r="N105" i="6" s="1"/>
  <c r="O79" i="6"/>
  <c r="N80" i="6"/>
  <c r="N95" i="6" s="1"/>
  <c r="U84" i="6"/>
  <c r="T85" i="6"/>
  <c r="D25" i="4"/>
  <c r="D26" i="4" s="1"/>
  <c r="D23" i="4"/>
  <c r="D24" i="4" s="1"/>
  <c r="T99" i="5"/>
  <c r="Y112" i="5"/>
  <c r="AA87" i="5"/>
  <c r="R32" i="6"/>
  <c r="Q103" i="6"/>
  <c r="R78" i="6"/>
  <c r="N64" i="6"/>
  <c r="N65" i="6" s="1"/>
  <c r="N66" i="6" s="1"/>
  <c r="N67" i="6" s="1"/>
  <c r="Q110" i="5"/>
  <c r="Q111" i="5" s="1"/>
  <c r="Q85" i="5"/>
  <c r="Q86" i="5" s="1"/>
  <c r="Q26" i="5"/>
  <c r="Q18" i="5"/>
  <c r="Q23" i="5" s="1"/>
  <c r="Q24" i="5" s="1"/>
  <c r="L1" i="4"/>
  <c r="N2" i="3"/>
  <c r="O5" i="3"/>
  <c r="P101" i="5"/>
  <c r="P102" i="5" s="1"/>
  <c r="P103" i="5" s="1"/>
  <c r="Q95" i="5"/>
  <c r="P96" i="5"/>
  <c r="P97" i="5" s="1"/>
  <c r="E12" i="4"/>
  <c r="E22" i="4"/>
  <c r="F10" i="4"/>
  <c r="P119" i="5"/>
  <c r="P120" i="5" s="1"/>
  <c r="P121" i="5" s="1"/>
  <c r="Q118" i="5"/>
  <c r="R71" i="6"/>
  <c r="Q73" i="6"/>
  <c r="Q75" i="6" s="1"/>
  <c r="T4" i="3"/>
  <c r="S16" i="3"/>
  <c r="S17" i="3"/>
  <c r="O61" i="6"/>
  <c r="O62" i="6"/>
  <c r="O63" i="6" s="1"/>
  <c r="K11" i="4"/>
  <c r="S107" i="5"/>
  <c r="S109" i="5" s="1"/>
  <c r="T105" i="5"/>
  <c r="R110" i="6"/>
  <c r="R111" i="6" s="1"/>
  <c r="R112" i="6" s="1"/>
  <c r="S109" i="6"/>
  <c r="T30" i="5"/>
  <c r="O113" i="5"/>
  <c r="O114" i="5" s="1"/>
  <c r="P88" i="5"/>
  <c r="P89" i="5" s="1"/>
  <c r="Q69" i="5"/>
  <c r="P106" i="6"/>
  <c r="P107" i="6" s="1"/>
  <c r="P82" i="6"/>
  <c r="O70" i="5"/>
  <c r="O71" i="5" s="1"/>
  <c r="O72" i="5" s="1"/>
  <c r="X11" i="7"/>
  <c r="R31" i="1" s="1"/>
  <c r="P6" i="4"/>
  <c r="R19" i="3"/>
  <c r="R21" i="3" s="1"/>
  <c r="R38" i="3"/>
  <c r="Q47" i="6"/>
  <c r="P48" i="6"/>
  <c r="P54" i="6" s="1"/>
  <c r="P55" i="6" s="1"/>
  <c r="E17" i="1"/>
  <c r="R16" i="5"/>
  <c r="R41" i="5" s="1"/>
  <c r="S15" i="5"/>
  <c r="P82" i="5"/>
  <c r="P84" i="5" s="1"/>
  <c r="Q80" i="5"/>
  <c r="Q92" i="6"/>
  <c r="Q93" i="6" s="1"/>
  <c r="Q94" i="6" s="1"/>
  <c r="Q143" i="6" s="1"/>
  <c r="R86" i="6"/>
  <c r="Q87" i="6"/>
  <c r="Q88" i="6" s="1"/>
  <c r="X112" i="5"/>
  <c r="Z87" i="5"/>
  <c r="R98" i="6"/>
  <c r="R100" i="6" s="1"/>
  <c r="S96" i="6"/>
  <c r="R68" i="5"/>
  <c r="S66" i="5"/>
  <c r="R67" i="5"/>
  <c r="R43" i="6"/>
  <c r="R44" i="6" s="1"/>
  <c r="S42" i="6"/>
  <c r="Q126" i="6" l="1"/>
  <c r="R45" i="6"/>
  <c r="Q134" i="6"/>
  <c r="Q144" i="6" s="1"/>
  <c r="V113" i="6"/>
  <c r="U115" i="6"/>
  <c r="T116" i="6"/>
  <c r="S118" i="6"/>
  <c r="S121" i="6"/>
  <c r="R122" i="6"/>
  <c r="R123" i="6" s="1"/>
  <c r="R124" i="6" s="1"/>
  <c r="R120" i="6"/>
  <c r="R119" i="6"/>
  <c r="R127" i="6" s="1"/>
  <c r="R129" i="6" s="1"/>
  <c r="R130" i="6" s="1"/>
  <c r="T136" i="6"/>
  <c r="S137" i="6"/>
  <c r="U131" i="6"/>
  <c r="T132" i="6"/>
  <c r="T133" i="6" s="1"/>
  <c r="T29" i="6"/>
  <c r="U27" i="6"/>
  <c r="Q76" i="6"/>
  <c r="Q77" i="6" s="1"/>
  <c r="Q101" i="6"/>
  <c r="Q19" i="6"/>
  <c r="Q22" i="6" s="1"/>
  <c r="Q23" i="6" s="1"/>
  <c r="S31" i="6"/>
  <c r="S37" i="6" s="1"/>
  <c r="S30" i="6"/>
  <c r="S38" i="6" s="1"/>
  <c r="S40" i="6" s="1"/>
  <c r="S41" i="6" s="1"/>
  <c r="R9" i="6"/>
  <c r="R33" i="6" s="1"/>
  <c r="R34" i="6" s="1"/>
  <c r="R35" i="6" s="1"/>
  <c r="S8" i="6"/>
  <c r="L154" i="5"/>
  <c r="N13" i="1"/>
  <c r="M14" i="1"/>
  <c r="Q59" i="5"/>
  <c r="Q56" i="5"/>
  <c r="R54" i="5"/>
  <c r="P64" i="5"/>
  <c r="T33" i="5"/>
  <c r="S34" i="5"/>
  <c r="S38" i="5" s="1"/>
  <c r="T51" i="5"/>
  <c r="T52" i="5" s="1"/>
  <c r="U50" i="5"/>
  <c r="Q61" i="5"/>
  <c r="Q62" i="5" s="1"/>
  <c r="Q63" i="5" s="1"/>
  <c r="Q58" i="5"/>
  <c r="Q60" i="5" s="1"/>
  <c r="Q46" i="5" s="1"/>
  <c r="Q48" i="5" s="1"/>
  <c r="Q49" i="5" s="1"/>
  <c r="Q53" i="5" s="1"/>
  <c r="Q90" i="5" s="1"/>
  <c r="R57" i="5"/>
  <c r="Q45" i="5"/>
  <c r="X40" i="5"/>
  <c r="P90" i="5"/>
  <c r="R36" i="5"/>
  <c r="R39" i="5" s="1"/>
  <c r="S35" i="5"/>
  <c r="P152" i="5"/>
  <c r="P153" i="5" s="1"/>
  <c r="Q29" i="5"/>
  <c r="Q31" i="5" s="1"/>
  <c r="Q32" i="5" s="1"/>
  <c r="Q147" i="5"/>
  <c r="Q149" i="5" s="1"/>
  <c r="Q135" i="5" s="1"/>
  <c r="Q137" i="5" s="1"/>
  <c r="Q138" i="5" s="1"/>
  <c r="Q142" i="5" s="1"/>
  <c r="Q91" i="5" s="1"/>
  <c r="Q150" i="5"/>
  <c r="Q151" i="5" s="1"/>
  <c r="R146" i="5"/>
  <c r="R130" i="5"/>
  <c r="S123" i="5"/>
  <c r="S127" i="5" s="1"/>
  <c r="T122" i="5"/>
  <c r="S124" i="5"/>
  <c r="R125" i="5"/>
  <c r="R128" i="5" s="1"/>
  <c r="T129" i="5"/>
  <c r="Q131" i="5"/>
  <c r="Q132" i="5" s="1"/>
  <c r="Q134" i="5" s="1"/>
  <c r="S139" i="5"/>
  <c r="R140" i="5"/>
  <c r="R141" i="5" s="1"/>
  <c r="Q148" i="5"/>
  <c r="R143" i="5"/>
  <c r="Q145" i="5"/>
  <c r="M104" i="5"/>
  <c r="M115" i="5"/>
  <c r="M116" i="5" s="1"/>
  <c r="M117" i="5" s="1"/>
  <c r="T19" i="5"/>
  <c r="S22" i="5"/>
  <c r="V84" i="6"/>
  <c r="U85" i="6"/>
  <c r="U30" i="5"/>
  <c r="S71" i="6"/>
  <c r="R73" i="6"/>
  <c r="R75" i="6" s="1"/>
  <c r="Z112" i="5"/>
  <c r="AB87" i="5"/>
  <c r="Q101" i="5"/>
  <c r="Q102" i="5" s="1"/>
  <c r="Q103" i="5" s="1"/>
  <c r="R95" i="5"/>
  <c r="Q96" i="5"/>
  <c r="Q97" i="5" s="1"/>
  <c r="N108" i="6"/>
  <c r="H23" i="1" s="1"/>
  <c r="S98" i="6"/>
  <c r="S100" i="6" s="1"/>
  <c r="T96" i="6"/>
  <c r="S16" i="5"/>
  <c r="S41" i="5" s="1"/>
  <c r="T15" i="5"/>
  <c r="T16" i="3"/>
  <c r="U4" i="3"/>
  <c r="T17" i="3"/>
  <c r="R110" i="5"/>
  <c r="R111" i="5" s="1"/>
  <c r="R85" i="5"/>
  <c r="R86" i="5" s="1"/>
  <c r="R26" i="5"/>
  <c r="R18" i="5"/>
  <c r="R23" i="5" s="1"/>
  <c r="R24" i="5" s="1"/>
  <c r="Q119" i="5"/>
  <c r="Q120" i="5" s="1"/>
  <c r="Q121" i="5" s="1"/>
  <c r="R118" i="5"/>
  <c r="O104" i="6"/>
  <c r="O105" i="6" s="1"/>
  <c r="O108" i="6" s="1"/>
  <c r="P79" i="6"/>
  <c r="O80" i="6"/>
  <c r="O95" i="6" s="1"/>
  <c r="S110" i="6"/>
  <c r="S111" i="6" s="1"/>
  <c r="S112" i="6" s="1"/>
  <c r="T109" i="6"/>
  <c r="P61" i="6"/>
  <c r="M1" i="4"/>
  <c r="O2" i="3"/>
  <c r="P5" i="3"/>
  <c r="O73" i="5"/>
  <c r="R80" i="5"/>
  <c r="Q82" i="5"/>
  <c r="Q84" i="5" s="1"/>
  <c r="Q48" i="6"/>
  <c r="Q54" i="6" s="1"/>
  <c r="Q55" i="6" s="1"/>
  <c r="R47" i="6"/>
  <c r="L11" i="4"/>
  <c r="E25" i="4"/>
  <c r="E26" i="4" s="1"/>
  <c r="E23" i="4"/>
  <c r="E24" i="4" s="1"/>
  <c r="N74" i="5"/>
  <c r="N75" i="5" s="1"/>
  <c r="N76" i="5" s="1"/>
  <c r="N77" i="5" s="1"/>
  <c r="F36" i="1"/>
  <c r="D36" i="1"/>
  <c r="D37" i="1" s="1"/>
  <c r="E36" i="1"/>
  <c r="U93" i="5"/>
  <c r="T94" i="5"/>
  <c r="AA112" i="5"/>
  <c r="AC87" i="5"/>
  <c r="R26" i="3"/>
  <c r="R30" i="3"/>
  <c r="R107" i="1"/>
  <c r="S43" i="6"/>
  <c r="S44" i="6" s="1"/>
  <c r="S45" i="6" s="1"/>
  <c r="T42" i="6"/>
  <c r="P70" i="5"/>
  <c r="P71" i="5" s="1"/>
  <c r="P72" i="5" s="1"/>
  <c r="R81" i="6"/>
  <c r="E35" i="1"/>
  <c r="T107" i="5"/>
  <c r="T109" i="5" s="1"/>
  <c r="U105" i="5"/>
  <c r="O64" i="6"/>
  <c r="O65" i="6" s="1"/>
  <c r="O66" i="6" s="1"/>
  <c r="O67" i="6" s="1"/>
  <c r="I22" i="1" s="1"/>
  <c r="U99" i="5"/>
  <c r="Q106" i="6"/>
  <c r="Q107" i="6" s="1"/>
  <c r="Q82" i="6"/>
  <c r="G10" i="4"/>
  <c r="F12" i="4"/>
  <c r="F22" i="4"/>
  <c r="R103" i="6"/>
  <c r="S78" i="6"/>
  <c r="S67" i="5"/>
  <c r="T66" i="5"/>
  <c r="S68" i="5"/>
  <c r="R69" i="5"/>
  <c r="R92" i="6"/>
  <c r="R93" i="6" s="1"/>
  <c r="R94" i="6" s="1"/>
  <c r="R143" i="6" s="1"/>
  <c r="R87" i="6"/>
  <c r="R88" i="6" s="1"/>
  <c r="S86" i="6"/>
  <c r="P113" i="5"/>
  <c r="P114" i="5" s="1"/>
  <c r="Q88" i="5"/>
  <c r="Y11" i="7"/>
  <c r="S31" i="1" s="1"/>
  <c r="Q6" i="4"/>
  <c r="S19" i="3"/>
  <c r="S21" i="3" s="1"/>
  <c r="S38" i="3"/>
  <c r="S32" i="6"/>
  <c r="R126" i="6" l="1"/>
  <c r="R134" i="6"/>
  <c r="T121" i="6"/>
  <c r="S122" i="6"/>
  <c r="S123" i="6" s="1"/>
  <c r="S124" i="6" s="1"/>
  <c r="R144" i="6"/>
  <c r="U132" i="6"/>
  <c r="U133" i="6" s="1"/>
  <c r="V131" i="6"/>
  <c r="S120" i="6"/>
  <c r="S119" i="6"/>
  <c r="S127" i="6" s="1"/>
  <c r="S129" i="6" s="1"/>
  <c r="S130" i="6" s="1"/>
  <c r="U116" i="6"/>
  <c r="T118" i="6"/>
  <c r="U136" i="6"/>
  <c r="T137" i="6"/>
  <c r="V115" i="6"/>
  <c r="W113" i="6"/>
  <c r="R101" i="6"/>
  <c r="R76" i="6"/>
  <c r="R77" i="6" s="1"/>
  <c r="R19" i="6"/>
  <c r="R22" i="6" s="1"/>
  <c r="R23" i="6" s="1"/>
  <c r="U29" i="6"/>
  <c r="V27" i="6"/>
  <c r="S9" i="6"/>
  <c r="T8" i="6"/>
  <c r="T31" i="6"/>
  <c r="T37" i="6" s="1"/>
  <c r="T30" i="6"/>
  <c r="T38" i="6" s="1"/>
  <c r="T40" i="6" s="1"/>
  <c r="T41" i="6" s="1"/>
  <c r="M154" i="5"/>
  <c r="N14" i="1"/>
  <c r="O13" i="1"/>
  <c r="F18" i="1"/>
  <c r="F35" i="1" s="1"/>
  <c r="T34" i="5"/>
  <c r="T38" i="5" s="1"/>
  <c r="U33" i="5"/>
  <c r="R42" i="5"/>
  <c r="R43" i="5" s="1"/>
  <c r="R45" i="5" s="1"/>
  <c r="R64" i="5" s="1"/>
  <c r="R56" i="5"/>
  <c r="R59" i="5"/>
  <c r="S54" i="5"/>
  <c r="Y40" i="5"/>
  <c r="T35" i="5"/>
  <c r="S36" i="5"/>
  <c r="S39" i="5" s="1"/>
  <c r="Q64" i="5"/>
  <c r="U51" i="5"/>
  <c r="U52" i="5" s="1"/>
  <c r="V50" i="5"/>
  <c r="R61" i="5"/>
  <c r="R62" i="5" s="1"/>
  <c r="R63" i="5" s="1"/>
  <c r="S57" i="5"/>
  <c r="R58" i="5"/>
  <c r="R60" i="5" s="1"/>
  <c r="R46" i="5" s="1"/>
  <c r="R48" i="5" s="1"/>
  <c r="R49" i="5" s="1"/>
  <c r="R53" i="5" s="1"/>
  <c r="R90" i="5" s="1"/>
  <c r="Q152" i="5"/>
  <c r="R29" i="5"/>
  <c r="R31" i="5" s="1"/>
  <c r="R150" i="5"/>
  <c r="R151" i="5" s="1"/>
  <c r="S146" i="5"/>
  <c r="R147" i="5"/>
  <c r="R149" i="5" s="1"/>
  <c r="R135" i="5" s="1"/>
  <c r="R137" i="5" s="1"/>
  <c r="R138" i="5" s="1"/>
  <c r="R142" i="5" s="1"/>
  <c r="R91" i="5" s="1"/>
  <c r="S130" i="5"/>
  <c r="T123" i="5"/>
  <c r="T127" i="5" s="1"/>
  <c r="U122" i="5"/>
  <c r="R131" i="5"/>
  <c r="R132" i="5" s="1"/>
  <c r="R134" i="5" s="1"/>
  <c r="Q153" i="5"/>
  <c r="T139" i="5"/>
  <c r="S140" i="5"/>
  <c r="S141" i="5" s="1"/>
  <c r="U129" i="5"/>
  <c r="S125" i="5"/>
  <c r="S128" i="5" s="1"/>
  <c r="T124" i="5"/>
  <c r="R148" i="5"/>
  <c r="S143" i="5"/>
  <c r="R145" i="5"/>
  <c r="R32" i="5"/>
  <c r="F37" i="1"/>
  <c r="N115" i="5"/>
  <c r="N116" i="5" s="1"/>
  <c r="N117" i="5" s="1"/>
  <c r="N104" i="5"/>
  <c r="G18" i="1"/>
  <c r="T22" i="5"/>
  <c r="U19" i="5"/>
  <c r="S69" i="5"/>
  <c r="I23" i="1"/>
  <c r="S92" i="6"/>
  <c r="S93" i="6" s="1"/>
  <c r="S94" i="6" s="1"/>
  <c r="S143" i="6" s="1"/>
  <c r="S87" i="6"/>
  <c r="S88" i="6" s="1"/>
  <c r="T86" i="6"/>
  <c r="T110" i="6"/>
  <c r="T111" i="6" s="1"/>
  <c r="T112" i="6" s="1"/>
  <c r="U109" i="6"/>
  <c r="P104" i="6"/>
  <c r="P105" i="6" s="1"/>
  <c r="Q79" i="6"/>
  <c r="P80" i="6"/>
  <c r="P95" i="6" s="1"/>
  <c r="Z11" i="7"/>
  <c r="T31" i="1" s="1"/>
  <c r="R6" i="4"/>
  <c r="T19" i="3"/>
  <c r="T21" i="3" s="1"/>
  <c r="T38" i="3"/>
  <c r="V30" i="5"/>
  <c r="S103" i="6"/>
  <c r="T78" i="6"/>
  <c r="S26" i="3"/>
  <c r="S30" i="3"/>
  <c r="S107" i="1"/>
  <c r="V99" i="5"/>
  <c r="AC112" i="5"/>
  <c r="AE87" i="5"/>
  <c r="Q61" i="6"/>
  <c r="T71" i="6"/>
  <c r="S73" i="6"/>
  <c r="S75" i="6" s="1"/>
  <c r="W84" i="6"/>
  <c r="V85" i="6"/>
  <c r="T32" i="6"/>
  <c r="P62" i="6"/>
  <c r="P63" i="6" s="1"/>
  <c r="P64" i="6" s="1"/>
  <c r="T43" i="6"/>
  <c r="T44" i="6" s="1"/>
  <c r="T45" i="6" s="1"/>
  <c r="U42" i="6"/>
  <c r="M11" i="4"/>
  <c r="U17" i="3"/>
  <c r="U16" i="3"/>
  <c r="V4" i="3"/>
  <c r="AB112" i="5"/>
  <c r="AD87" i="5"/>
  <c r="S81" i="6"/>
  <c r="P73" i="5"/>
  <c r="F25" i="4"/>
  <c r="F26" i="4" s="1"/>
  <c r="F23" i="4"/>
  <c r="F24" i="4" s="1"/>
  <c r="S47" i="6"/>
  <c r="R48" i="6"/>
  <c r="R54" i="6" s="1"/>
  <c r="R55" i="6" s="1"/>
  <c r="O74" i="5"/>
  <c r="O75" i="5" s="1"/>
  <c r="O76" i="5" s="1"/>
  <c r="O77" i="5" s="1"/>
  <c r="T16" i="5"/>
  <c r="T41" i="5" s="1"/>
  <c r="U15" i="5"/>
  <c r="R119" i="5"/>
  <c r="R120" i="5" s="1"/>
  <c r="R121" i="5" s="1"/>
  <c r="S118" i="5"/>
  <c r="V93" i="5"/>
  <c r="U94" i="5"/>
  <c r="H22" i="1"/>
  <c r="T98" i="6"/>
  <c r="T100" i="6" s="1"/>
  <c r="U96" i="6"/>
  <c r="R96" i="5"/>
  <c r="R97" i="5" s="1"/>
  <c r="R101" i="5"/>
  <c r="R102" i="5" s="1"/>
  <c r="R103" i="5" s="1"/>
  <c r="S95" i="5"/>
  <c r="G23" i="1"/>
  <c r="R106" i="6"/>
  <c r="R107" i="6" s="1"/>
  <c r="R82" i="6"/>
  <c r="N1" i="4"/>
  <c r="Q5" i="3"/>
  <c r="P2" i="3"/>
  <c r="S110" i="5"/>
  <c r="S111" i="5" s="1"/>
  <c r="S85" i="5"/>
  <c r="S86" i="5" s="1"/>
  <c r="S26" i="5"/>
  <c r="S18" i="5"/>
  <c r="S23" i="5" s="1"/>
  <c r="S24" i="5" s="1"/>
  <c r="Q113" i="5"/>
  <c r="Q114" i="5" s="1"/>
  <c r="R88" i="5"/>
  <c r="R89" i="5" s="1"/>
  <c r="T68" i="5"/>
  <c r="T67" i="5"/>
  <c r="U66" i="5"/>
  <c r="G22" i="4"/>
  <c r="H10" i="4"/>
  <c r="G12" i="4"/>
  <c r="U107" i="5"/>
  <c r="U109" i="5" s="1"/>
  <c r="V105" i="5"/>
  <c r="Q70" i="5"/>
  <c r="Q71" i="5" s="1"/>
  <c r="Q72" i="5" s="1"/>
  <c r="E37" i="1"/>
  <c r="Q89" i="5"/>
  <c r="R82" i="5"/>
  <c r="R84" i="5" s="1"/>
  <c r="S80" i="5"/>
  <c r="S134" i="6" l="1"/>
  <c r="S126" i="6"/>
  <c r="X113" i="6"/>
  <c r="W115" i="6"/>
  <c r="W131" i="6"/>
  <c r="V132" i="6"/>
  <c r="V133" i="6" s="1"/>
  <c r="V136" i="6"/>
  <c r="U137" i="6"/>
  <c r="T119" i="6"/>
  <c r="T127" i="6" s="1"/>
  <c r="T129" i="6" s="1"/>
  <c r="T130" i="6" s="1"/>
  <c r="T120" i="6"/>
  <c r="V116" i="6"/>
  <c r="U118" i="6"/>
  <c r="S144" i="6"/>
  <c r="U121" i="6"/>
  <c r="T122" i="6"/>
  <c r="T123" i="6" s="1"/>
  <c r="T124" i="6" s="1"/>
  <c r="V29" i="6"/>
  <c r="W27" i="6"/>
  <c r="T9" i="6"/>
  <c r="U8" i="6"/>
  <c r="S19" i="6"/>
  <c r="S22" i="6" s="1"/>
  <c r="S23" i="6" s="1"/>
  <c r="S76" i="6"/>
  <c r="S77" i="6" s="1"/>
  <c r="S101" i="6"/>
  <c r="S33" i="6"/>
  <c r="S34" i="6" s="1"/>
  <c r="S35" i="6" s="1"/>
  <c r="U30" i="6"/>
  <c r="U38" i="6" s="1"/>
  <c r="U40" i="6" s="1"/>
  <c r="U41" i="6" s="1"/>
  <c r="U31" i="6"/>
  <c r="U37" i="6" s="1"/>
  <c r="N154" i="5"/>
  <c r="G35" i="1"/>
  <c r="O14" i="1"/>
  <c r="P13" i="1"/>
  <c r="S42" i="5"/>
  <c r="S43" i="5" s="1"/>
  <c r="S56" i="5"/>
  <c r="S59" i="5"/>
  <c r="T54" i="5"/>
  <c r="V33" i="5"/>
  <c r="U34" i="5"/>
  <c r="U38" i="5" s="1"/>
  <c r="W50" i="5"/>
  <c r="V51" i="5"/>
  <c r="V52" i="5" s="1"/>
  <c r="T57" i="5"/>
  <c r="S61" i="5"/>
  <c r="S62" i="5" s="1"/>
  <c r="S63" i="5" s="1"/>
  <c r="S58" i="5"/>
  <c r="S60" i="5" s="1"/>
  <c r="S46" i="5" s="1"/>
  <c r="S48" i="5" s="1"/>
  <c r="S49" i="5" s="1"/>
  <c r="S53" i="5" s="1"/>
  <c r="S90" i="5" s="1"/>
  <c r="S45" i="5"/>
  <c r="Z40" i="5"/>
  <c r="U35" i="5"/>
  <c r="T36" i="5"/>
  <c r="T39" i="5" s="1"/>
  <c r="R152" i="5"/>
  <c r="R153" i="5" s="1"/>
  <c r="H18" i="1"/>
  <c r="S29" i="5"/>
  <c r="S31" i="5" s="1"/>
  <c r="S32" i="5" s="1"/>
  <c r="T146" i="5"/>
  <c r="S150" i="5"/>
  <c r="S151" i="5" s="1"/>
  <c r="S147" i="5"/>
  <c r="S149" i="5" s="1"/>
  <c r="S135" i="5" s="1"/>
  <c r="S137" i="5" s="1"/>
  <c r="S138" i="5" s="1"/>
  <c r="S142" i="5" s="1"/>
  <c r="S91" i="5" s="1"/>
  <c r="T130" i="5"/>
  <c r="U123" i="5"/>
  <c r="U127" i="5" s="1"/>
  <c r="V122" i="5"/>
  <c r="S131" i="5"/>
  <c r="S132" i="5" s="1"/>
  <c r="S134" i="5" s="1"/>
  <c r="V129" i="5"/>
  <c r="U124" i="5"/>
  <c r="T125" i="5"/>
  <c r="T128" i="5" s="1"/>
  <c r="S148" i="5"/>
  <c r="T143" i="5"/>
  <c r="S145" i="5"/>
  <c r="T140" i="5"/>
  <c r="T141" i="5" s="1"/>
  <c r="U139" i="5"/>
  <c r="I17" i="1"/>
  <c r="O115" i="5"/>
  <c r="O116" i="5" s="1"/>
  <c r="O117" i="5" s="1"/>
  <c r="O104" i="5"/>
  <c r="U22" i="5"/>
  <c r="V19" i="5"/>
  <c r="T81" i="6"/>
  <c r="R61" i="6"/>
  <c r="T69" i="5"/>
  <c r="Q73" i="5"/>
  <c r="AA11" i="7"/>
  <c r="U31" i="1" s="1"/>
  <c r="S6" i="4"/>
  <c r="U19" i="3"/>
  <c r="U21" i="3" s="1"/>
  <c r="U38" i="3"/>
  <c r="U16" i="5"/>
  <c r="U41" i="5" s="1"/>
  <c r="V15" i="5"/>
  <c r="Q62" i="6"/>
  <c r="Q63" i="6" s="1"/>
  <c r="Q64" i="6" s="1"/>
  <c r="N11" i="4"/>
  <c r="R113" i="5"/>
  <c r="R114" i="5" s="1"/>
  <c r="S88" i="5"/>
  <c r="W30" i="5"/>
  <c r="V17" i="3"/>
  <c r="V16" i="3"/>
  <c r="W4" i="3"/>
  <c r="T33" i="6"/>
  <c r="T34" i="6" s="1"/>
  <c r="T35" i="6" s="1"/>
  <c r="U32" i="6"/>
  <c r="T80" i="5"/>
  <c r="S82" i="5"/>
  <c r="S84" i="5" s="1"/>
  <c r="H17" i="1"/>
  <c r="W99" i="5"/>
  <c r="U86" i="6"/>
  <c r="T92" i="6"/>
  <c r="T93" i="6" s="1"/>
  <c r="T94" i="6" s="1"/>
  <c r="T143" i="6" s="1"/>
  <c r="T87" i="6"/>
  <c r="T88" i="6" s="1"/>
  <c r="T85" i="5"/>
  <c r="T86" i="5" s="1"/>
  <c r="T110" i="5"/>
  <c r="T111" i="5" s="1"/>
  <c r="T26" i="5"/>
  <c r="T18" i="5"/>
  <c r="T23" i="5" s="1"/>
  <c r="T24" i="5" s="1"/>
  <c r="X84" i="6"/>
  <c r="W85" i="6"/>
  <c r="H22" i="4"/>
  <c r="H25" i="4" s="1"/>
  <c r="H26" i="4" s="1"/>
  <c r="I10" i="4"/>
  <c r="H12" i="4"/>
  <c r="S106" i="6"/>
  <c r="S107" i="6" s="1"/>
  <c r="S82" i="6"/>
  <c r="V96" i="6"/>
  <c r="U98" i="6"/>
  <c r="U100" i="6" s="1"/>
  <c r="T73" i="6"/>
  <c r="T75" i="6" s="1"/>
  <c r="U71" i="6"/>
  <c r="T103" i="6"/>
  <c r="U78" i="6"/>
  <c r="Q104" i="6"/>
  <c r="Q105" i="6" s="1"/>
  <c r="Q108" i="6" s="1"/>
  <c r="R79" i="6"/>
  <c r="Q80" i="6"/>
  <c r="Q95" i="6" s="1"/>
  <c r="U110" i="6"/>
  <c r="U111" i="6" s="1"/>
  <c r="U112" i="6" s="1"/>
  <c r="V109" i="6"/>
  <c r="P65" i="6"/>
  <c r="P66" i="6" s="1"/>
  <c r="P67" i="6" s="1"/>
  <c r="J22" i="1" s="1"/>
  <c r="I36" i="1"/>
  <c r="H36" i="1"/>
  <c r="T107" i="1"/>
  <c r="T30" i="3"/>
  <c r="T26" i="3"/>
  <c r="V107" i="5"/>
  <c r="V109" i="5" s="1"/>
  <c r="W105" i="5"/>
  <c r="S96" i="5"/>
  <c r="S97" i="5" s="1"/>
  <c r="S101" i="5"/>
  <c r="S102" i="5" s="1"/>
  <c r="S103" i="5" s="1"/>
  <c r="T95" i="5"/>
  <c r="P74" i="5"/>
  <c r="P75" i="5" s="1"/>
  <c r="P76" i="5" s="1"/>
  <c r="P77" i="5" s="1"/>
  <c r="O1" i="4"/>
  <c r="Q2" i="3"/>
  <c r="R5" i="3"/>
  <c r="W93" i="5"/>
  <c r="V94" i="5"/>
  <c r="G36" i="1"/>
  <c r="G37" i="1" s="1"/>
  <c r="G25" i="4"/>
  <c r="G26" i="4" s="1"/>
  <c r="G23" i="4"/>
  <c r="G24" i="4" s="1"/>
  <c r="R70" i="5"/>
  <c r="V66" i="5"/>
  <c r="U68" i="5"/>
  <c r="U67" i="5"/>
  <c r="T118" i="5"/>
  <c r="S119" i="5"/>
  <c r="S120" i="5" s="1"/>
  <c r="S121" i="5" s="1"/>
  <c r="S48" i="6"/>
  <c r="S54" i="6" s="1"/>
  <c r="S55" i="6" s="1"/>
  <c r="T47" i="6"/>
  <c r="AD112" i="5"/>
  <c r="AF87" i="5"/>
  <c r="U43" i="6"/>
  <c r="U44" i="6" s="1"/>
  <c r="U45" i="6" s="1"/>
  <c r="V42" i="6"/>
  <c r="AE112" i="5"/>
  <c r="AG87" i="5"/>
  <c r="P108" i="6"/>
  <c r="T126" i="6" l="1"/>
  <c r="T134" i="6"/>
  <c r="T144" i="6" s="1"/>
  <c r="V137" i="6"/>
  <c r="W136" i="6"/>
  <c r="V121" i="6"/>
  <c r="U122" i="6"/>
  <c r="U123" i="6" s="1"/>
  <c r="U124" i="6" s="1"/>
  <c r="U120" i="6"/>
  <c r="U126" i="6" s="1"/>
  <c r="U119" i="6"/>
  <c r="U127" i="6" s="1"/>
  <c r="U129" i="6" s="1"/>
  <c r="U130" i="6" s="1"/>
  <c r="X131" i="6"/>
  <c r="W132" i="6"/>
  <c r="W133" i="6" s="1"/>
  <c r="W116" i="6"/>
  <c r="V118" i="6"/>
  <c r="Y113" i="6"/>
  <c r="X115" i="6"/>
  <c r="U9" i="6"/>
  <c r="U33" i="6" s="1"/>
  <c r="U34" i="6" s="1"/>
  <c r="U35" i="6" s="1"/>
  <c r="V8" i="6"/>
  <c r="T19" i="6"/>
  <c r="T22" i="6" s="1"/>
  <c r="T23" i="6" s="1"/>
  <c r="T76" i="6"/>
  <c r="T77" i="6" s="1"/>
  <c r="T101" i="6"/>
  <c r="X27" i="6"/>
  <c r="W29" i="6"/>
  <c r="V30" i="6"/>
  <c r="V38" i="6" s="1"/>
  <c r="V40" i="6" s="1"/>
  <c r="V41" i="6" s="1"/>
  <c r="V31" i="6"/>
  <c r="V37" i="6" s="1"/>
  <c r="O154" i="5"/>
  <c r="I18" i="1" s="1"/>
  <c r="I35" i="1" s="1"/>
  <c r="I37" i="1" s="1"/>
  <c r="P14" i="1"/>
  <c r="Q13" i="1"/>
  <c r="V34" i="5"/>
  <c r="V38" i="5" s="1"/>
  <c r="W33" i="5"/>
  <c r="T56" i="5"/>
  <c r="T59" i="5"/>
  <c r="U54" i="5"/>
  <c r="U57" i="5"/>
  <c r="T58" i="5"/>
  <c r="T60" i="5" s="1"/>
  <c r="T46" i="5" s="1"/>
  <c r="T48" i="5" s="1"/>
  <c r="T49" i="5" s="1"/>
  <c r="T53" i="5" s="1"/>
  <c r="T90" i="5" s="1"/>
  <c r="T61" i="5"/>
  <c r="T62" i="5" s="1"/>
  <c r="T63" i="5" s="1"/>
  <c r="S64" i="5"/>
  <c r="X50" i="5"/>
  <c r="W51" i="5"/>
  <c r="W52" i="5" s="1"/>
  <c r="V35" i="5"/>
  <c r="U36" i="5"/>
  <c r="U39" i="5" s="1"/>
  <c r="AA40" i="5"/>
  <c r="T42" i="5"/>
  <c r="T43" i="5" s="1"/>
  <c r="T45" i="5" s="1"/>
  <c r="S152" i="5"/>
  <c r="S153" i="5" s="1"/>
  <c r="T131" i="5"/>
  <c r="T132" i="5" s="1"/>
  <c r="T134" i="5" s="1"/>
  <c r="T29" i="5"/>
  <c r="T31" i="5" s="1"/>
  <c r="T32" i="5" s="1"/>
  <c r="T147" i="5"/>
  <c r="T149" i="5" s="1"/>
  <c r="T135" i="5" s="1"/>
  <c r="T137" i="5" s="1"/>
  <c r="T138" i="5" s="1"/>
  <c r="T142" i="5" s="1"/>
  <c r="T91" i="5" s="1"/>
  <c r="U146" i="5"/>
  <c r="T150" i="5"/>
  <c r="T151" i="5" s="1"/>
  <c r="U130" i="5"/>
  <c r="W122" i="5"/>
  <c r="V123" i="5"/>
  <c r="V127" i="5" s="1"/>
  <c r="T148" i="5"/>
  <c r="T145" i="5"/>
  <c r="U143" i="5"/>
  <c r="V124" i="5"/>
  <c r="U125" i="5"/>
  <c r="U128" i="5" s="1"/>
  <c r="W129" i="5"/>
  <c r="U140" i="5"/>
  <c r="U141" i="5" s="1"/>
  <c r="V139" i="5"/>
  <c r="K23" i="1"/>
  <c r="W19" i="5"/>
  <c r="V22" i="5"/>
  <c r="P104" i="5"/>
  <c r="P115" i="5"/>
  <c r="P116" i="5" s="1"/>
  <c r="P117" i="5" s="1"/>
  <c r="J17" i="1"/>
  <c r="J47" i="3"/>
  <c r="J23" i="1"/>
  <c r="AF112" i="5"/>
  <c r="AH87" i="5"/>
  <c r="X93" i="5"/>
  <c r="W94" i="5"/>
  <c r="U47" i="6"/>
  <c r="T48" i="6"/>
  <c r="T54" i="6" s="1"/>
  <c r="T55" i="6" s="1"/>
  <c r="U69" i="5"/>
  <c r="W96" i="6"/>
  <c r="V98" i="6"/>
  <c r="V100" i="6" s="1"/>
  <c r="U92" i="6"/>
  <c r="U93" i="6" s="1"/>
  <c r="U94" i="6" s="1"/>
  <c r="U143" i="6" s="1"/>
  <c r="V86" i="6"/>
  <c r="U87" i="6"/>
  <c r="U88" i="6" s="1"/>
  <c r="Y84" i="6"/>
  <c r="X85" i="6"/>
  <c r="U80" i="5"/>
  <c r="T82" i="5"/>
  <c r="T84" i="5" s="1"/>
  <c r="V32" i="6"/>
  <c r="O11" i="4"/>
  <c r="U107" i="1"/>
  <c r="U30" i="3"/>
  <c r="U26" i="3"/>
  <c r="S61" i="6"/>
  <c r="S62" i="6" s="1"/>
  <c r="S63" i="6" s="1"/>
  <c r="I22" i="4"/>
  <c r="I25" i="4" s="1"/>
  <c r="I26" i="4" s="1"/>
  <c r="J10" i="4"/>
  <c r="I12" i="4"/>
  <c r="R62" i="6"/>
  <c r="R63" i="6" s="1"/>
  <c r="R64" i="6" s="1"/>
  <c r="S113" i="5"/>
  <c r="S114" i="5" s="1"/>
  <c r="T88" i="5"/>
  <c r="Q65" i="6"/>
  <c r="Q66" i="6" s="1"/>
  <c r="Q67" i="6" s="1"/>
  <c r="K22" i="1" s="1"/>
  <c r="AG112" i="5"/>
  <c r="AI87" i="5"/>
  <c r="W109" i="6"/>
  <c r="V110" i="6"/>
  <c r="V111" i="6" s="1"/>
  <c r="V112" i="6" s="1"/>
  <c r="S89" i="5"/>
  <c r="S70" i="5"/>
  <c r="S71" i="5" s="1"/>
  <c r="S72" i="5" s="1"/>
  <c r="V43" i="6"/>
  <c r="V44" i="6" s="1"/>
  <c r="W42" i="6"/>
  <c r="U73" i="6"/>
  <c r="U75" i="6" s="1"/>
  <c r="V71" i="6"/>
  <c r="H35" i="1"/>
  <c r="H37" i="1" s="1"/>
  <c r="W17" i="3"/>
  <c r="W16" i="3"/>
  <c r="X4" i="3"/>
  <c r="W15" i="5"/>
  <c r="V16" i="5"/>
  <c r="V41" i="5" s="1"/>
  <c r="R104" i="6"/>
  <c r="R105" i="6" s="1"/>
  <c r="R108" i="6" s="1"/>
  <c r="S79" i="6"/>
  <c r="R80" i="6"/>
  <c r="R95" i="6" s="1"/>
  <c r="V68" i="5"/>
  <c r="V67" i="5"/>
  <c r="W66" i="5"/>
  <c r="S5" i="3"/>
  <c r="P1" i="4"/>
  <c r="R2" i="3"/>
  <c r="U103" i="6"/>
  <c r="V78" i="6"/>
  <c r="X30" i="5"/>
  <c r="W107" i="5"/>
  <c r="W109" i="5" s="1"/>
  <c r="X105" i="5"/>
  <c r="X99" i="5"/>
  <c r="U118" i="5"/>
  <c r="T119" i="5"/>
  <c r="T120" i="5" s="1"/>
  <c r="T121" i="5" s="1"/>
  <c r="R71" i="5"/>
  <c r="R72" i="5" s="1"/>
  <c r="R73" i="5" s="1"/>
  <c r="U81" i="6"/>
  <c r="T101" i="5"/>
  <c r="T102" i="5" s="1"/>
  <c r="T103" i="5" s="1"/>
  <c r="T96" i="5"/>
  <c r="T97" i="5" s="1"/>
  <c r="U95" i="5"/>
  <c r="AB11" i="7"/>
  <c r="V31" i="1" s="1"/>
  <c r="T6" i="4"/>
  <c r="V38" i="3"/>
  <c r="V19" i="3"/>
  <c r="V21" i="3" s="1"/>
  <c r="U110" i="5"/>
  <c r="U111" i="5" s="1"/>
  <c r="U85" i="5"/>
  <c r="U86" i="5" s="1"/>
  <c r="U26" i="5"/>
  <c r="U18" i="5"/>
  <c r="U23" i="5" s="1"/>
  <c r="U24" i="5" s="1"/>
  <c r="Q74" i="5"/>
  <c r="Q75" i="5" s="1"/>
  <c r="Q76" i="5" s="1"/>
  <c r="Q77" i="5" s="1"/>
  <c r="T106" i="6"/>
  <c r="T107" i="6" s="1"/>
  <c r="T82" i="6"/>
  <c r="U134" i="6" l="1"/>
  <c r="U144" i="6" s="1"/>
  <c r="Z113" i="6"/>
  <c r="Y115" i="6"/>
  <c r="V122" i="6"/>
  <c r="V123" i="6" s="1"/>
  <c r="V124" i="6" s="1"/>
  <c r="W121" i="6"/>
  <c r="V120" i="6"/>
  <c r="V119" i="6"/>
  <c r="V127" i="6" s="1"/>
  <c r="V129" i="6" s="1"/>
  <c r="V130" i="6" s="1"/>
  <c r="W137" i="6"/>
  <c r="X136" i="6"/>
  <c r="W118" i="6"/>
  <c r="X116" i="6"/>
  <c r="X132" i="6"/>
  <c r="X133" i="6" s="1"/>
  <c r="Y131" i="6"/>
  <c r="V45" i="6"/>
  <c r="V81" i="6" s="1"/>
  <c r="W31" i="6"/>
  <c r="W37" i="6" s="1"/>
  <c r="W30" i="6"/>
  <c r="W38" i="6" s="1"/>
  <c r="W40" i="6" s="1"/>
  <c r="W41" i="6" s="1"/>
  <c r="Y27" i="6"/>
  <c r="X29" i="6"/>
  <c r="W8" i="6"/>
  <c r="V9" i="6"/>
  <c r="U101" i="6"/>
  <c r="U19" i="6"/>
  <c r="U22" i="6" s="1"/>
  <c r="U23" i="6" s="1"/>
  <c r="U76" i="6"/>
  <c r="U77" i="6" s="1"/>
  <c r="P154" i="5"/>
  <c r="R13" i="1"/>
  <c r="Q14" i="1"/>
  <c r="T64" i="5"/>
  <c r="V54" i="5"/>
  <c r="U56" i="5"/>
  <c r="U59" i="5"/>
  <c r="X33" i="5"/>
  <c r="W34" i="5"/>
  <c r="W38" i="5" s="1"/>
  <c r="W35" i="5"/>
  <c r="V36" i="5"/>
  <c r="V39" i="5" s="1"/>
  <c r="AB40" i="5"/>
  <c r="Y50" i="5"/>
  <c r="X51" i="5"/>
  <c r="X52" i="5" s="1"/>
  <c r="V57" i="5"/>
  <c r="U58" i="5"/>
  <c r="U60" i="5" s="1"/>
  <c r="U46" i="5" s="1"/>
  <c r="U48" i="5" s="1"/>
  <c r="U49" i="5" s="1"/>
  <c r="U53" i="5" s="1"/>
  <c r="U90" i="5" s="1"/>
  <c r="U61" i="5"/>
  <c r="U62" i="5" s="1"/>
  <c r="U63" i="5" s="1"/>
  <c r="U42" i="5"/>
  <c r="U43" i="5" s="1"/>
  <c r="U45" i="5" s="1"/>
  <c r="T152" i="5"/>
  <c r="K47" i="3"/>
  <c r="U29" i="5"/>
  <c r="U31" i="5" s="1"/>
  <c r="U32" i="5" s="1"/>
  <c r="U150" i="5"/>
  <c r="U151" i="5" s="1"/>
  <c r="U147" i="5"/>
  <c r="U149" i="5" s="1"/>
  <c r="U135" i="5" s="1"/>
  <c r="U137" i="5" s="1"/>
  <c r="U138" i="5" s="1"/>
  <c r="U142" i="5" s="1"/>
  <c r="U91" i="5" s="1"/>
  <c r="V146" i="5"/>
  <c r="V130" i="5"/>
  <c r="X122" i="5"/>
  <c r="W123" i="5"/>
  <c r="W127" i="5" s="1"/>
  <c r="V140" i="5"/>
  <c r="V141" i="5" s="1"/>
  <c r="W139" i="5"/>
  <c r="T153" i="5"/>
  <c r="U148" i="5"/>
  <c r="U145" i="5"/>
  <c r="V143" i="5"/>
  <c r="X129" i="5"/>
  <c r="W124" i="5"/>
  <c r="V125" i="5"/>
  <c r="V128" i="5" s="1"/>
  <c r="U131" i="5"/>
  <c r="U132" i="5" s="1"/>
  <c r="U134" i="5" s="1"/>
  <c r="L47" i="3"/>
  <c r="Q115" i="5"/>
  <c r="Q116" i="5" s="1"/>
  <c r="Q117" i="5" s="1"/>
  <c r="Q104" i="5"/>
  <c r="Q154" i="5" s="1"/>
  <c r="W22" i="5"/>
  <c r="X19" i="5"/>
  <c r="K17" i="1"/>
  <c r="S73" i="5"/>
  <c r="S74" i="5" s="1"/>
  <c r="S75" i="5" s="1"/>
  <c r="S76" i="5" s="1"/>
  <c r="S77" i="5" s="1"/>
  <c r="R74" i="5"/>
  <c r="R75" i="5" s="1"/>
  <c r="R76" i="5" s="1"/>
  <c r="R77" i="5" s="1"/>
  <c r="S64" i="6"/>
  <c r="S65" i="6" s="1"/>
  <c r="S66" i="6" s="1"/>
  <c r="S67" i="6" s="1"/>
  <c r="M22" i="1" s="1"/>
  <c r="R65" i="6"/>
  <c r="R66" i="6" s="1"/>
  <c r="R67" i="6" s="1"/>
  <c r="L22" i="1" s="1"/>
  <c r="V110" i="5"/>
  <c r="V111" i="5" s="1"/>
  <c r="V26" i="5"/>
  <c r="V18" i="5"/>
  <c r="V23" i="5" s="1"/>
  <c r="V24" i="5" s="1"/>
  <c r="V85" i="5"/>
  <c r="V86" i="5" s="1"/>
  <c r="Z84" i="6"/>
  <c r="Y85" i="6"/>
  <c r="X15" i="5"/>
  <c r="W16" i="5"/>
  <c r="W41" i="5" s="1"/>
  <c r="W32" i="6"/>
  <c r="V103" i="6"/>
  <c r="W78" i="6"/>
  <c r="T70" i="5"/>
  <c r="T71" i="5" s="1"/>
  <c r="T72" i="5" s="1"/>
  <c r="U88" i="5"/>
  <c r="U89" i="5" s="1"/>
  <c r="T113" i="5"/>
  <c r="T114" i="5" s="1"/>
  <c r="K10" i="4"/>
  <c r="J12" i="4"/>
  <c r="J22" i="4"/>
  <c r="J25" i="4" s="1"/>
  <c r="J26" i="4" s="1"/>
  <c r="T61" i="6"/>
  <c r="T62" i="6"/>
  <c r="T63" i="6" s="1"/>
  <c r="U101" i="5"/>
  <c r="U102" i="5" s="1"/>
  <c r="U103" i="5" s="1"/>
  <c r="U96" i="5"/>
  <c r="U97" i="5" s="1"/>
  <c r="V95" i="5"/>
  <c r="V80" i="5"/>
  <c r="U82" i="5"/>
  <c r="U84" i="5" s="1"/>
  <c r="J36" i="1"/>
  <c r="V69" i="5"/>
  <c r="V118" i="5"/>
  <c r="U119" i="5"/>
  <c r="U120" i="5" s="1"/>
  <c r="U121" i="5" s="1"/>
  <c r="V73" i="6"/>
  <c r="V75" i="6" s="1"/>
  <c r="W71" i="6"/>
  <c r="U106" i="6"/>
  <c r="U107" i="6" s="1"/>
  <c r="U82" i="6"/>
  <c r="V92" i="6"/>
  <c r="V93" i="6" s="1"/>
  <c r="V94" i="6" s="1"/>
  <c r="V143" i="6" s="1"/>
  <c r="V87" i="6"/>
  <c r="V88" i="6" s="1"/>
  <c r="W86" i="6"/>
  <c r="T89" i="5"/>
  <c r="T5" i="3"/>
  <c r="Q1" i="4"/>
  <c r="S2" i="3"/>
  <c r="S104" i="6"/>
  <c r="S105" i="6" s="1"/>
  <c r="S108" i="6" s="1"/>
  <c r="T79" i="6"/>
  <c r="S80" i="6"/>
  <c r="S95" i="6" s="1"/>
  <c r="AC11" i="7"/>
  <c r="W31" i="1" s="1"/>
  <c r="U6" i="4"/>
  <c r="W38" i="3"/>
  <c r="W19" i="3"/>
  <c r="W21" i="3" s="1"/>
  <c r="W110" i="6"/>
  <c r="W111" i="6" s="1"/>
  <c r="W112" i="6" s="1"/>
  <c r="X109" i="6"/>
  <c r="U48" i="6"/>
  <c r="U54" i="6" s="1"/>
  <c r="U55" i="6" s="1"/>
  <c r="V47" i="6"/>
  <c r="Y93" i="5"/>
  <c r="X94" i="5"/>
  <c r="P11" i="4"/>
  <c r="W43" i="6"/>
  <c r="W44" i="6" s="1"/>
  <c r="W45" i="6" s="1"/>
  <c r="X42" i="6"/>
  <c r="W98" i="6"/>
  <c r="W100" i="6" s="1"/>
  <c r="X96" i="6"/>
  <c r="Y105" i="5"/>
  <c r="X107" i="5"/>
  <c r="X109" i="5" s="1"/>
  <c r="Y99" i="5"/>
  <c r="X17" i="3"/>
  <c r="X16" i="3"/>
  <c r="Y4" i="3"/>
  <c r="V30" i="3"/>
  <c r="V107" i="1"/>
  <c r="V26" i="3"/>
  <c r="Y30" i="5"/>
  <c r="X66" i="5"/>
  <c r="W68" i="5"/>
  <c r="W67" i="5"/>
  <c r="K36" i="1"/>
  <c r="AI112" i="5"/>
  <c r="AK87" i="5"/>
  <c r="AH112" i="5"/>
  <c r="AJ87" i="5"/>
  <c r="V134" i="6" l="1"/>
  <c r="V126" i="6"/>
  <c r="Y136" i="6"/>
  <c r="X137" i="6"/>
  <c r="Y132" i="6"/>
  <c r="Y133" i="6" s="1"/>
  <c r="Z131" i="6"/>
  <c r="W122" i="6"/>
  <c r="W123" i="6" s="1"/>
  <c r="W124" i="6" s="1"/>
  <c r="X121" i="6"/>
  <c r="X118" i="6"/>
  <c r="Y116" i="6"/>
  <c r="W119" i="6"/>
  <c r="W127" i="6" s="1"/>
  <c r="W129" i="6" s="1"/>
  <c r="W130" i="6" s="1"/>
  <c r="W120" i="6"/>
  <c r="AA113" i="6"/>
  <c r="Z115" i="6"/>
  <c r="V19" i="6"/>
  <c r="V22" i="6" s="1"/>
  <c r="V23" i="6" s="1"/>
  <c r="V101" i="6"/>
  <c r="V76" i="6"/>
  <c r="V77" i="6" s="1"/>
  <c r="X31" i="6"/>
  <c r="X37" i="6" s="1"/>
  <c r="X30" i="6"/>
  <c r="X38" i="6" s="1"/>
  <c r="X40" i="6" s="1"/>
  <c r="X41" i="6" s="1"/>
  <c r="Y29" i="6"/>
  <c r="Z27" i="6"/>
  <c r="V33" i="6"/>
  <c r="V34" i="6" s="1"/>
  <c r="V35" i="6" s="1"/>
  <c r="X8" i="6"/>
  <c r="W9" i="6"/>
  <c r="S13" i="1"/>
  <c r="R14" i="1"/>
  <c r="U64" i="5"/>
  <c r="Y33" i="5"/>
  <c r="X34" i="5"/>
  <c r="X38" i="5" s="1"/>
  <c r="V42" i="5"/>
  <c r="V43" i="5" s="1"/>
  <c r="V45" i="5" s="1"/>
  <c r="W54" i="5"/>
  <c r="V59" i="5"/>
  <c r="V56" i="5"/>
  <c r="V58" i="5"/>
  <c r="V60" i="5" s="1"/>
  <c r="V46" i="5" s="1"/>
  <c r="V48" i="5" s="1"/>
  <c r="V49" i="5" s="1"/>
  <c r="V53" i="5" s="1"/>
  <c r="V90" i="5" s="1"/>
  <c r="W57" i="5"/>
  <c r="V61" i="5"/>
  <c r="V62" i="5" s="1"/>
  <c r="Z50" i="5"/>
  <c r="Y51" i="5"/>
  <c r="Y52" i="5" s="1"/>
  <c r="AC40" i="5"/>
  <c r="W36" i="5"/>
  <c r="W39" i="5" s="1"/>
  <c r="X35" i="5"/>
  <c r="V29" i="5"/>
  <c r="V31" i="5" s="1"/>
  <c r="W146" i="5"/>
  <c r="V150" i="5"/>
  <c r="V151" i="5" s="1"/>
  <c r="V147" i="5"/>
  <c r="V149" i="5" s="1"/>
  <c r="V135" i="5" s="1"/>
  <c r="V137" i="5" s="1"/>
  <c r="V138" i="5" s="1"/>
  <c r="V142" i="5" s="1"/>
  <c r="V91" i="5" s="1"/>
  <c r="U152" i="5"/>
  <c r="U153" i="5" s="1"/>
  <c r="W130" i="5"/>
  <c r="M47" i="3"/>
  <c r="Y122" i="5"/>
  <c r="X123" i="5"/>
  <c r="X127" i="5" s="1"/>
  <c r="V131" i="5"/>
  <c r="V132" i="5" s="1"/>
  <c r="V134" i="5" s="1"/>
  <c r="Y129" i="5"/>
  <c r="X124" i="5"/>
  <c r="W125" i="5"/>
  <c r="W128" i="5" s="1"/>
  <c r="V148" i="5"/>
  <c r="V145" i="5"/>
  <c r="W143" i="5"/>
  <c r="W140" i="5"/>
  <c r="W141" i="5" s="1"/>
  <c r="X139" i="5"/>
  <c r="L23" i="1"/>
  <c r="L36" i="1" s="1"/>
  <c r="K46" i="3"/>
  <c r="K48" i="3" s="1"/>
  <c r="R115" i="5"/>
  <c r="R116" i="5" s="1"/>
  <c r="R117" i="5" s="1"/>
  <c r="R104" i="5"/>
  <c r="R154" i="5" s="1"/>
  <c r="J18" i="1"/>
  <c r="J35" i="1" s="1"/>
  <c r="J37" i="1" s="1"/>
  <c r="J46" i="3"/>
  <c r="J48" i="3" s="1"/>
  <c r="X22" i="5"/>
  <c r="Y19" i="5"/>
  <c r="L17" i="1"/>
  <c r="Y42" i="6"/>
  <c r="X43" i="6"/>
  <c r="X44" i="6" s="1"/>
  <c r="X45" i="6" s="1"/>
  <c r="Z93" i="5"/>
  <c r="Y94" i="5"/>
  <c r="W103" i="6"/>
  <c r="X78" i="6"/>
  <c r="W69" i="5"/>
  <c r="Y17" i="3"/>
  <c r="Y16" i="3"/>
  <c r="Z4" i="3"/>
  <c r="W81" i="6"/>
  <c r="W47" i="6"/>
  <c r="V48" i="6"/>
  <c r="V54" i="6" s="1"/>
  <c r="V55" i="6" s="1"/>
  <c r="T104" i="6"/>
  <c r="T105" i="6" s="1"/>
  <c r="T108" i="6" s="1"/>
  <c r="U79" i="6"/>
  <c r="T80" i="6"/>
  <c r="T95" i="6" s="1"/>
  <c r="W92" i="6"/>
  <c r="W93" i="6" s="1"/>
  <c r="W94" i="6" s="1"/>
  <c r="W143" i="6" s="1"/>
  <c r="X86" i="6"/>
  <c r="W87" i="6"/>
  <c r="W88" i="6" s="1"/>
  <c r="W73" i="6"/>
  <c r="W75" i="6" s="1"/>
  <c r="X71" i="6"/>
  <c r="U113" i="5"/>
  <c r="U114" i="5" s="1"/>
  <c r="V88" i="5"/>
  <c r="V89" i="5" s="1"/>
  <c r="W110" i="5"/>
  <c r="W111" i="5" s="1"/>
  <c r="W26" i="5"/>
  <c r="W85" i="5"/>
  <c r="W86" i="5" s="1"/>
  <c r="W18" i="5"/>
  <c r="W23" i="5" s="1"/>
  <c r="W24" i="5" s="1"/>
  <c r="AK112" i="5"/>
  <c r="AM87" i="5"/>
  <c r="AA84" i="6"/>
  <c r="Z85" i="6"/>
  <c r="AL87" i="5"/>
  <c r="AJ112" i="5"/>
  <c r="Y66" i="5"/>
  <c r="X68" i="5"/>
  <c r="X67" i="5"/>
  <c r="V82" i="5"/>
  <c r="V84" i="5" s="1"/>
  <c r="W80" i="5"/>
  <c r="W33" i="6"/>
  <c r="W34" i="6" s="1"/>
  <c r="W35" i="6" s="1"/>
  <c r="X32" i="6"/>
  <c r="Y15" i="5"/>
  <c r="X16" i="5"/>
  <c r="X41" i="5" s="1"/>
  <c r="T64" i="6"/>
  <c r="W30" i="3"/>
  <c r="W107" i="1"/>
  <c r="W26" i="3"/>
  <c r="U61" i="6"/>
  <c r="U62" i="6"/>
  <c r="U63" i="6" s="1"/>
  <c r="X98" i="6"/>
  <c r="X100" i="6" s="1"/>
  <c r="Y96" i="6"/>
  <c r="V101" i="5"/>
  <c r="V102" i="5" s="1"/>
  <c r="V103" i="5" s="1"/>
  <c r="W95" i="5"/>
  <c r="V96" i="5"/>
  <c r="V97" i="5" s="1"/>
  <c r="Q11" i="4"/>
  <c r="AD11" i="7"/>
  <c r="X31" i="1" s="1"/>
  <c r="X38" i="3"/>
  <c r="V6" i="4"/>
  <c r="X19" i="3"/>
  <c r="X21" i="3" s="1"/>
  <c r="V106" i="6"/>
  <c r="V107" i="6" s="1"/>
  <c r="V82" i="6"/>
  <c r="U70" i="5"/>
  <c r="U71" i="5" s="1"/>
  <c r="U72" i="5" s="1"/>
  <c r="Z30" i="5"/>
  <c r="Z105" i="5"/>
  <c r="Y107" i="5"/>
  <c r="Y109" i="5" s="1"/>
  <c r="U5" i="3"/>
  <c r="T2" i="3"/>
  <c r="R1" i="4"/>
  <c r="Z99" i="5"/>
  <c r="X110" i="6"/>
  <c r="X111" i="6" s="1"/>
  <c r="X112" i="6" s="1"/>
  <c r="Y109" i="6"/>
  <c r="W118" i="5"/>
  <c r="V119" i="5"/>
  <c r="V120" i="5" s="1"/>
  <c r="V121" i="5" s="1"/>
  <c r="L10" i="4"/>
  <c r="K12" i="4"/>
  <c r="K22" i="4"/>
  <c r="K25" i="4" s="1"/>
  <c r="K26" i="4" s="1"/>
  <c r="V32" i="5"/>
  <c r="T73" i="5"/>
  <c r="T74" i="5" s="1"/>
  <c r="T75" i="5" s="1"/>
  <c r="T76" i="5" s="1"/>
  <c r="T77" i="5" s="1"/>
  <c r="W134" i="6" l="1"/>
  <c r="W126" i="6"/>
  <c r="V144" i="6"/>
  <c r="Z132" i="6"/>
  <c r="Z133" i="6" s="1"/>
  <c r="AA131" i="6"/>
  <c r="X122" i="6"/>
  <c r="X123" i="6" s="1"/>
  <c r="X124" i="6" s="1"/>
  <c r="Y121" i="6"/>
  <c r="X119" i="6"/>
  <c r="X127" i="6" s="1"/>
  <c r="X129" i="6" s="1"/>
  <c r="X130" i="6" s="1"/>
  <c r="X120" i="6"/>
  <c r="AA115" i="6"/>
  <c r="AB113" i="6"/>
  <c r="W144" i="6"/>
  <c r="Y118" i="6"/>
  <c r="Z116" i="6"/>
  <c r="Y137" i="6"/>
  <c r="Z136" i="6"/>
  <c r="Y30" i="6"/>
  <c r="Y38" i="6" s="1"/>
  <c r="Y40" i="6" s="1"/>
  <c r="Y41" i="6" s="1"/>
  <c r="Y31" i="6"/>
  <c r="Y37" i="6" s="1"/>
  <c r="W101" i="6"/>
  <c r="W76" i="6"/>
  <c r="W77" i="6" s="1"/>
  <c r="W19" i="6"/>
  <c r="W22" i="6" s="1"/>
  <c r="W23" i="6" s="1"/>
  <c r="AA27" i="6"/>
  <c r="Z29" i="6"/>
  <c r="Y8" i="6"/>
  <c r="X9" i="6"/>
  <c r="T13" i="1"/>
  <c r="S14" i="1"/>
  <c r="W59" i="5"/>
  <c r="X54" i="5"/>
  <c r="W56" i="5"/>
  <c r="W42" i="5"/>
  <c r="W43" i="5" s="1"/>
  <c r="W45" i="5" s="1"/>
  <c r="Z33" i="5"/>
  <c r="Y34" i="5"/>
  <c r="Y38" i="5" s="1"/>
  <c r="V63" i="5"/>
  <c r="V64" i="5" s="1"/>
  <c r="Z51" i="5"/>
  <c r="Z52" i="5" s="1"/>
  <c r="AA50" i="5"/>
  <c r="X36" i="5"/>
  <c r="X39" i="5" s="1"/>
  <c r="Y35" i="5"/>
  <c r="W58" i="5"/>
  <c r="W60" i="5" s="1"/>
  <c r="W46" i="5" s="1"/>
  <c r="W48" i="5" s="1"/>
  <c r="W49" i="5" s="1"/>
  <c r="W53" i="5" s="1"/>
  <c r="W90" i="5" s="1"/>
  <c r="X57" i="5"/>
  <c r="W61" i="5"/>
  <c r="W62" i="5" s="1"/>
  <c r="W63" i="5" s="1"/>
  <c r="AD40" i="5"/>
  <c r="W131" i="5"/>
  <c r="W132" i="5" s="1"/>
  <c r="V152" i="5"/>
  <c r="V153" i="5" s="1"/>
  <c r="M23" i="1"/>
  <c r="M36" i="1" s="1"/>
  <c r="W29" i="5"/>
  <c r="W31" i="5" s="1"/>
  <c r="W32" i="5" s="1"/>
  <c r="W150" i="5"/>
  <c r="W151" i="5" s="1"/>
  <c r="X146" i="5"/>
  <c r="W147" i="5"/>
  <c r="W149" i="5" s="1"/>
  <c r="W135" i="5" s="1"/>
  <c r="W137" i="5" s="1"/>
  <c r="W138" i="5" s="1"/>
  <c r="W142" i="5" s="1"/>
  <c r="W91" i="5" s="1"/>
  <c r="X130" i="5"/>
  <c r="Z122" i="5"/>
  <c r="Y123" i="5"/>
  <c r="Y127" i="5" s="1"/>
  <c r="W134" i="5"/>
  <c r="X140" i="5"/>
  <c r="X141" i="5" s="1"/>
  <c r="Y139" i="5"/>
  <c r="W148" i="5"/>
  <c r="W145" i="5"/>
  <c r="X143" i="5"/>
  <c r="X125" i="5"/>
  <c r="X128" i="5" s="1"/>
  <c r="Y124" i="5"/>
  <c r="Z129" i="5"/>
  <c r="L46" i="3"/>
  <c r="L48" i="3" s="1"/>
  <c r="M17" i="1"/>
  <c r="K18" i="1"/>
  <c r="K35" i="1" s="1"/>
  <c r="K37" i="1" s="1"/>
  <c r="K50" i="3"/>
  <c r="K58" i="3"/>
  <c r="K59" i="3"/>
  <c r="X69" i="5"/>
  <c r="J59" i="3"/>
  <c r="J58" i="3"/>
  <c r="J50" i="3"/>
  <c r="Y22" i="5"/>
  <c r="Z19" i="5"/>
  <c r="S104" i="5"/>
  <c r="S115" i="5"/>
  <c r="S116" i="5" s="1"/>
  <c r="S117" i="5" s="1"/>
  <c r="L12" i="4"/>
  <c r="M10" i="4"/>
  <c r="L22" i="4"/>
  <c r="L25" i="4" s="1"/>
  <c r="L26" i="4" s="1"/>
  <c r="AA30" i="5"/>
  <c r="W82" i="5"/>
  <c r="W84" i="5" s="1"/>
  <c r="X80" i="5"/>
  <c r="AA4" i="3"/>
  <c r="Z17" i="3"/>
  <c r="Z16" i="3"/>
  <c r="Y67" i="5"/>
  <c r="Y68" i="5"/>
  <c r="Z66" i="5"/>
  <c r="AE11" i="7"/>
  <c r="Y31" i="1" s="1"/>
  <c r="Y38" i="3"/>
  <c r="W6" i="4"/>
  <c r="Y19" i="3"/>
  <c r="Y21" i="3" s="1"/>
  <c r="W119" i="5"/>
  <c r="W120" i="5" s="1"/>
  <c r="W121" i="5" s="1"/>
  <c r="X118" i="5"/>
  <c r="Z15" i="5"/>
  <c r="Y16" i="5"/>
  <c r="Y41" i="5" s="1"/>
  <c r="X103" i="6"/>
  <c r="Y78" i="6"/>
  <c r="X81" i="6"/>
  <c r="AA99" i="5"/>
  <c r="X30" i="3"/>
  <c r="X26" i="3"/>
  <c r="X107" i="1"/>
  <c r="U104" i="6"/>
  <c r="U105" i="6" s="1"/>
  <c r="U108" i="6" s="1"/>
  <c r="V79" i="6"/>
  <c r="U80" i="6"/>
  <c r="U95" i="6" s="1"/>
  <c r="X110" i="5"/>
  <c r="X111" i="5" s="1"/>
  <c r="X85" i="5"/>
  <c r="X86" i="5" s="1"/>
  <c r="X26" i="5"/>
  <c r="X18" i="5"/>
  <c r="X23" i="5" s="1"/>
  <c r="X24" i="5" s="1"/>
  <c r="AM112" i="5"/>
  <c r="AO87" i="5"/>
  <c r="AA93" i="5"/>
  <c r="Z94" i="5"/>
  <c r="W48" i="6"/>
  <c r="W54" i="6" s="1"/>
  <c r="W55" i="6" s="1"/>
  <c r="X47" i="6"/>
  <c r="Y110" i="6"/>
  <c r="Y111" i="6" s="1"/>
  <c r="Y112" i="6" s="1"/>
  <c r="Z109" i="6"/>
  <c r="AA105" i="5"/>
  <c r="Z107" i="5"/>
  <c r="Z109" i="5" s="1"/>
  <c r="V61" i="6"/>
  <c r="V62" i="6"/>
  <c r="V63" i="6" s="1"/>
  <c r="Y32" i="6"/>
  <c r="X33" i="6"/>
  <c r="X34" i="6" s="1"/>
  <c r="X35" i="6" s="1"/>
  <c r="V70" i="5"/>
  <c r="V71" i="5" s="1"/>
  <c r="V72" i="5" s="1"/>
  <c r="Y98" i="6"/>
  <c r="Y100" i="6" s="1"/>
  <c r="Z96" i="6"/>
  <c r="U64" i="6"/>
  <c r="U65" i="6" s="1"/>
  <c r="U66" i="6" s="1"/>
  <c r="U67" i="6" s="1"/>
  <c r="O22" i="1" s="1"/>
  <c r="AL112" i="5"/>
  <c r="AN87" i="5"/>
  <c r="S1" i="4"/>
  <c r="V5" i="3"/>
  <c r="U2" i="3"/>
  <c r="T65" i="6"/>
  <c r="T66" i="6" s="1"/>
  <c r="T67" i="6" s="1"/>
  <c r="N22" i="1" s="1"/>
  <c r="X73" i="6"/>
  <c r="X75" i="6" s="1"/>
  <c r="Y71" i="6"/>
  <c r="R11" i="4"/>
  <c r="Y43" i="6"/>
  <c r="Y44" i="6" s="1"/>
  <c r="Y45" i="6" s="1"/>
  <c r="Z42" i="6"/>
  <c r="U73" i="5"/>
  <c r="U74" i="5" s="1"/>
  <c r="U75" i="5" s="1"/>
  <c r="U76" i="5" s="1"/>
  <c r="U77" i="5" s="1"/>
  <c r="W101" i="5"/>
  <c r="W102" i="5" s="1"/>
  <c r="W103" i="5" s="1"/>
  <c r="W96" i="5"/>
  <c r="W97" i="5" s="1"/>
  <c r="X95" i="5"/>
  <c r="AB84" i="6"/>
  <c r="AA85" i="6"/>
  <c r="V113" i="5"/>
  <c r="V114" i="5" s="1"/>
  <c r="W88" i="5"/>
  <c r="X92" i="6"/>
  <c r="X93" i="6" s="1"/>
  <c r="X94" i="6" s="1"/>
  <c r="X143" i="6" s="1"/>
  <c r="X87" i="6"/>
  <c r="X88" i="6" s="1"/>
  <c r="Y86" i="6"/>
  <c r="W106" i="6"/>
  <c r="W107" i="6" s="1"/>
  <c r="W82" i="6"/>
  <c r="X126" i="6" l="1"/>
  <c r="X134" i="6"/>
  <c r="AB115" i="6"/>
  <c r="AC113" i="6"/>
  <c r="Z137" i="6"/>
  <c r="AA136" i="6"/>
  <c r="X144" i="6"/>
  <c r="Z118" i="6"/>
  <c r="AA116" i="6"/>
  <c r="Y119" i="6"/>
  <c r="Y127" i="6" s="1"/>
  <c r="Y129" i="6" s="1"/>
  <c r="Y130" i="6" s="1"/>
  <c r="Y120" i="6"/>
  <c r="AA132" i="6"/>
  <c r="AA133" i="6" s="1"/>
  <c r="AB131" i="6"/>
  <c r="Y122" i="6"/>
  <c r="Y123" i="6" s="1"/>
  <c r="Y124" i="6" s="1"/>
  <c r="Z121" i="6"/>
  <c r="AB27" i="6"/>
  <c r="AA29" i="6"/>
  <c r="Y9" i="6"/>
  <c r="Y33" i="6" s="1"/>
  <c r="Y34" i="6" s="1"/>
  <c r="Y35" i="6" s="1"/>
  <c r="Z8" i="6"/>
  <c r="Z31" i="6"/>
  <c r="Z37" i="6" s="1"/>
  <c r="Z30" i="6"/>
  <c r="Z38" i="6" s="1"/>
  <c r="Z40" i="6" s="1"/>
  <c r="Z41" i="6" s="1"/>
  <c r="X101" i="6"/>
  <c r="X76" i="6"/>
  <c r="X77" i="6" s="1"/>
  <c r="X19" i="6"/>
  <c r="X22" i="6" s="1"/>
  <c r="X23" i="6" s="1"/>
  <c r="S154" i="5"/>
  <c r="T14" i="1"/>
  <c r="U13" i="1"/>
  <c r="X56" i="5"/>
  <c r="X59" i="5"/>
  <c r="Y54" i="5"/>
  <c r="Z34" i="5"/>
  <c r="Z38" i="5" s="1"/>
  <c r="AA33" i="5"/>
  <c r="AA51" i="5"/>
  <c r="AA52" i="5" s="1"/>
  <c r="AB50" i="5"/>
  <c r="Y42" i="5"/>
  <c r="Y43" i="5" s="1"/>
  <c r="X58" i="5"/>
  <c r="X60" i="5" s="1"/>
  <c r="X46" i="5" s="1"/>
  <c r="X48" i="5" s="1"/>
  <c r="X49" i="5" s="1"/>
  <c r="X53" i="5" s="1"/>
  <c r="X90" i="5" s="1"/>
  <c r="Y57" i="5"/>
  <c r="X61" i="5"/>
  <c r="X62" i="5" s="1"/>
  <c r="X63" i="5" s="1"/>
  <c r="W64" i="5"/>
  <c r="AE40" i="5"/>
  <c r="X42" i="5"/>
  <c r="X43" i="5" s="1"/>
  <c r="X45" i="5" s="1"/>
  <c r="Y36" i="5"/>
  <c r="Y39" i="5" s="1"/>
  <c r="Z35" i="5"/>
  <c r="X29" i="5"/>
  <c r="X31" i="5" s="1"/>
  <c r="X32" i="5" s="1"/>
  <c r="X147" i="5"/>
  <c r="X149" i="5" s="1"/>
  <c r="X135" i="5" s="1"/>
  <c r="X137" i="5" s="1"/>
  <c r="X138" i="5" s="1"/>
  <c r="X142" i="5" s="1"/>
  <c r="X91" i="5" s="1"/>
  <c r="Y146" i="5"/>
  <c r="X150" i="5"/>
  <c r="X151" i="5" s="1"/>
  <c r="W152" i="5"/>
  <c r="W153" i="5" s="1"/>
  <c r="Y130" i="5"/>
  <c r="X131" i="5"/>
  <c r="X132" i="5" s="1"/>
  <c r="X134" i="5" s="1"/>
  <c r="Z123" i="5"/>
  <c r="Z127" i="5" s="1"/>
  <c r="AA122" i="5"/>
  <c r="L59" i="3"/>
  <c r="L50" i="3"/>
  <c r="L57" i="3" s="1"/>
  <c r="L58" i="3"/>
  <c r="L18" i="1"/>
  <c r="L35" i="1" s="1"/>
  <c r="L37" i="1" s="1"/>
  <c r="AA129" i="5"/>
  <c r="Y125" i="5"/>
  <c r="Y128" i="5" s="1"/>
  <c r="Z124" i="5"/>
  <c r="X148" i="5"/>
  <c r="X145" i="5"/>
  <c r="Y143" i="5"/>
  <c r="Z139" i="5"/>
  <c r="Y140" i="5"/>
  <c r="Y141" i="5" s="1"/>
  <c r="O23" i="1"/>
  <c r="J106" i="1"/>
  <c r="J29" i="3"/>
  <c r="J31" i="3" s="1"/>
  <c r="J32" i="3" s="1"/>
  <c r="J57" i="3"/>
  <c r="J25" i="3"/>
  <c r="K31" i="3"/>
  <c r="K25" i="3"/>
  <c r="I2" i="4" s="1"/>
  <c r="K106" i="1"/>
  <c r="K29" i="3"/>
  <c r="K57" i="3"/>
  <c r="T115" i="5"/>
  <c r="T116" i="5" s="1"/>
  <c r="T117" i="5" s="1"/>
  <c r="T104" i="5"/>
  <c r="T154" i="5" s="1"/>
  <c r="AA19" i="5"/>
  <c r="Z22" i="5"/>
  <c r="N17" i="1"/>
  <c r="Y103" i="6"/>
  <c r="Z78" i="6"/>
  <c r="S11" i="4"/>
  <c r="W70" i="5"/>
  <c r="W71" i="5" s="1"/>
  <c r="W72" i="5" s="1"/>
  <c r="AA107" i="5"/>
  <c r="AA109" i="5" s="1"/>
  <c r="AB105" i="5"/>
  <c r="Y26" i="3"/>
  <c r="Y30" i="3"/>
  <c r="Y107" i="1"/>
  <c r="Y69" i="5"/>
  <c r="Z68" i="5"/>
  <c r="Z67" i="5"/>
  <c r="AA66" i="5"/>
  <c r="Z110" i="6"/>
  <c r="Z111" i="6" s="1"/>
  <c r="Z112" i="6" s="1"/>
  <c r="AA109" i="6"/>
  <c r="AF11" i="7"/>
  <c r="Z31" i="1" s="1"/>
  <c r="Z19" i="3"/>
  <c r="Z21" i="3" s="1"/>
  <c r="X6" i="4"/>
  <c r="Z38" i="3"/>
  <c r="AB30" i="5"/>
  <c r="AB4" i="3"/>
  <c r="AA16" i="3"/>
  <c r="AA17" i="3"/>
  <c r="Z43" i="6"/>
  <c r="Z44" i="6" s="1"/>
  <c r="Z45" i="6" s="1"/>
  <c r="AA42" i="6"/>
  <c r="T1" i="4"/>
  <c r="V2" i="3"/>
  <c r="W5" i="3"/>
  <c r="Y47" i="6"/>
  <c r="X48" i="6"/>
  <c r="X54" i="6" s="1"/>
  <c r="X55" i="6" s="1"/>
  <c r="Z98" i="6"/>
  <c r="Z100" i="6" s="1"/>
  <c r="AA96" i="6"/>
  <c r="AA94" i="5"/>
  <c r="AB93" i="5"/>
  <c r="Z16" i="5"/>
  <c r="Z41" i="5" s="1"/>
  <c r="AA15" i="5"/>
  <c r="W113" i="5"/>
  <c r="W114" i="5" s="1"/>
  <c r="X88" i="5"/>
  <c r="X89" i="5" s="1"/>
  <c r="V104" i="6"/>
  <c r="V105" i="6" s="1"/>
  <c r="V108" i="6" s="1"/>
  <c r="W79" i="6"/>
  <c r="V80" i="6"/>
  <c r="V95" i="6" s="1"/>
  <c r="AB99" i="5"/>
  <c r="W89" i="5"/>
  <c r="X101" i="5"/>
  <c r="X102" i="5" s="1"/>
  <c r="X103" i="5" s="1"/>
  <c r="Y95" i="5"/>
  <c r="X96" i="5"/>
  <c r="X97" i="5" s="1"/>
  <c r="Z71" i="6"/>
  <c r="Y73" i="6"/>
  <c r="Y75" i="6" s="1"/>
  <c r="V64" i="6"/>
  <c r="V65" i="6" s="1"/>
  <c r="V66" i="6" s="1"/>
  <c r="V67" i="6" s="1"/>
  <c r="P22" i="1" s="1"/>
  <c r="Z32" i="6"/>
  <c r="AB85" i="6"/>
  <c r="AC84" i="6"/>
  <c r="N23" i="1"/>
  <c r="N36" i="1" s="1"/>
  <c r="N47" i="3"/>
  <c r="X82" i="5"/>
  <c r="X84" i="5" s="1"/>
  <c r="Y80" i="5"/>
  <c r="M12" i="4"/>
  <c r="M22" i="4"/>
  <c r="M25" i="4" s="1"/>
  <c r="M26" i="4" s="1"/>
  <c r="N10" i="4"/>
  <c r="Y92" i="6"/>
  <c r="Y93" i="6" s="1"/>
  <c r="Y94" i="6" s="1"/>
  <c r="Y143" i="6" s="1"/>
  <c r="Y87" i="6"/>
  <c r="Y88" i="6" s="1"/>
  <c r="Z86" i="6"/>
  <c r="Y81" i="6"/>
  <c r="V73" i="5"/>
  <c r="V74" i="5" s="1"/>
  <c r="V75" i="5" s="1"/>
  <c r="V76" i="5" s="1"/>
  <c r="V77" i="5" s="1"/>
  <c r="AN112" i="5"/>
  <c r="AP87" i="5"/>
  <c r="W61" i="6"/>
  <c r="W62" i="6"/>
  <c r="W63" i="6" s="1"/>
  <c r="AO112" i="5"/>
  <c r="AQ87" i="5"/>
  <c r="X106" i="6"/>
  <c r="X107" i="6" s="1"/>
  <c r="X82" i="6"/>
  <c r="Y110" i="5"/>
  <c r="Y111" i="5" s="1"/>
  <c r="Y85" i="5"/>
  <c r="Y86" i="5" s="1"/>
  <c r="Y26" i="5"/>
  <c r="Y18" i="5"/>
  <c r="Y23" i="5" s="1"/>
  <c r="Y24" i="5" s="1"/>
  <c r="X119" i="5"/>
  <c r="X120" i="5" s="1"/>
  <c r="X121" i="5" s="1"/>
  <c r="Y118" i="5"/>
  <c r="Y134" i="6" l="1"/>
  <c r="Y126" i="6"/>
  <c r="AA137" i="6"/>
  <c r="AB136" i="6"/>
  <c r="AB116" i="6"/>
  <c r="AA118" i="6"/>
  <c r="Z119" i="6"/>
  <c r="Z127" i="6" s="1"/>
  <c r="Z129" i="6" s="1"/>
  <c r="Z130" i="6" s="1"/>
  <c r="Z120" i="6"/>
  <c r="Z122" i="6"/>
  <c r="Z123" i="6" s="1"/>
  <c r="Z124" i="6" s="1"/>
  <c r="AA121" i="6"/>
  <c r="AC131" i="6"/>
  <c r="AB132" i="6"/>
  <c r="AB133" i="6" s="1"/>
  <c r="AC115" i="6"/>
  <c r="AD113" i="6"/>
  <c r="AA8" i="6"/>
  <c r="Z9" i="6"/>
  <c r="AA31" i="6"/>
  <c r="AA37" i="6" s="1"/>
  <c r="AA30" i="6"/>
  <c r="AA38" i="6" s="1"/>
  <c r="AA40" i="6" s="1"/>
  <c r="AA41" i="6" s="1"/>
  <c r="Y19" i="6"/>
  <c r="Y22" i="6" s="1"/>
  <c r="Y23" i="6" s="1"/>
  <c r="Y101" i="6"/>
  <c r="Y76" i="6"/>
  <c r="Y77" i="6" s="1"/>
  <c r="AC27" i="6"/>
  <c r="AB29" i="6"/>
  <c r="V13" i="1"/>
  <c r="U14" i="1"/>
  <c r="AA34" i="5"/>
  <c r="AA38" i="5" s="1"/>
  <c r="AB33" i="5"/>
  <c r="Y56" i="5"/>
  <c r="Z54" i="5"/>
  <c r="Y59" i="5"/>
  <c r="X64" i="5"/>
  <c r="Y58" i="5"/>
  <c r="Y60" i="5" s="1"/>
  <c r="Y46" i="5" s="1"/>
  <c r="Y48" i="5" s="1"/>
  <c r="Y49" i="5" s="1"/>
  <c r="Y53" i="5" s="1"/>
  <c r="Y90" i="5" s="1"/>
  <c r="Y61" i="5"/>
  <c r="Y62" i="5" s="1"/>
  <c r="Y63" i="5" s="1"/>
  <c r="Z57" i="5"/>
  <c r="AF40" i="5"/>
  <c r="Z36" i="5"/>
  <c r="Z39" i="5" s="1"/>
  <c r="AA35" i="5"/>
  <c r="AB51" i="5"/>
  <c r="AB52" i="5" s="1"/>
  <c r="AC50" i="5"/>
  <c r="Y45" i="5"/>
  <c r="O36" i="1"/>
  <c r="Y29" i="5"/>
  <c r="Y31" i="5" s="1"/>
  <c r="Y32" i="5" s="1"/>
  <c r="Y150" i="5"/>
  <c r="Y151" i="5" s="1"/>
  <c r="Z146" i="5"/>
  <c r="Y147" i="5"/>
  <c r="Y149" i="5" s="1"/>
  <c r="Y135" i="5" s="1"/>
  <c r="Y137" i="5" s="1"/>
  <c r="Y138" i="5" s="1"/>
  <c r="Y142" i="5" s="1"/>
  <c r="Y91" i="5" s="1"/>
  <c r="X152" i="5"/>
  <c r="X153" i="5" s="1"/>
  <c r="O47" i="3"/>
  <c r="L31" i="3"/>
  <c r="Z130" i="5"/>
  <c r="L25" i="3"/>
  <c r="J2" i="4" s="1"/>
  <c r="Y131" i="5"/>
  <c r="Y132" i="5" s="1"/>
  <c r="Y134" i="5" s="1"/>
  <c r="L106" i="1"/>
  <c r="L29" i="3"/>
  <c r="AB122" i="5"/>
  <c r="AA123" i="5"/>
  <c r="AA127" i="5" s="1"/>
  <c r="AA139" i="5"/>
  <c r="Z140" i="5"/>
  <c r="Z141" i="5" s="1"/>
  <c r="Y148" i="5"/>
  <c r="Y145" i="5"/>
  <c r="Y152" i="5" s="1"/>
  <c r="Z143" i="5"/>
  <c r="AB129" i="5"/>
  <c r="Z125" i="5"/>
  <c r="Z128" i="5" s="1"/>
  <c r="AA124" i="5"/>
  <c r="K32" i="3"/>
  <c r="N18" i="1"/>
  <c r="H2" i="4"/>
  <c r="H9" i="4" s="1"/>
  <c r="J27" i="3"/>
  <c r="K24" i="3" s="1"/>
  <c r="J37" i="3"/>
  <c r="J39" i="3" s="1"/>
  <c r="O17" i="1"/>
  <c r="J70" i="3"/>
  <c r="J76" i="3" s="1"/>
  <c r="J71" i="3"/>
  <c r="J77" i="3" s="1"/>
  <c r="J73" i="3"/>
  <c r="J79" i="3" s="1"/>
  <c r="J69" i="3"/>
  <c r="J75" i="3" s="1"/>
  <c r="J72" i="3"/>
  <c r="J78" i="3" s="1"/>
  <c r="M18" i="1"/>
  <c r="M35" i="1" s="1"/>
  <c r="M37" i="1" s="1"/>
  <c r="M46" i="3"/>
  <c r="M48" i="3" s="1"/>
  <c r="U115" i="5"/>
  <c r="U116" i="5" s="1"/>
  <c r="U117" i="5" s="1"/>
  <c r="U104" i="5"/>
  <c r="AA22" i="5"/>
  <c r="AB19" i="5"/>
  <c r="K72" i="3"/>
  <c r="K78" i="3" s="1"/>
  <c r="K70" i="3"/>
  <c r="K76" i="3" s="1"/>
  <c r="K69" i="3"/>
  <c r="K75" i="3" s="1"/>
  <c r="K71" i="3"/>
  <c r="K77" i="3" s="1"/>
  <c r="K73" i="3"/>
  <c r="K79" i="3" s="1"/>
  <c r="W104" i="6"/>
  <c r="W105" i="6" s="1"/>
  <c r="W108" i="6" s="1"/>
  <c r="X79" i="6"/>
  <c r="W80" i="6"/>
  <c r="W95" i="6" s="1"/>
  <c r="AA67" i="5"/>
  <c r="AB66" i="5"/>
  <c r="AA68" i="5"/>
  <c r="Y119" i="5"/>
  <c r="Y120" i="5" s="1"/>
  <c r="Y121" i="5" s="1"/>
  <c r="Z118" i="5"/>
  <c r="N22" i="4"/>
  <c r="N25" i="4" s="1"/>
  <c r="N26" i="4" s="1"/>
  <c r="O10" i="4"/>
  <c r="N12" i="4"/>
  <c r="AA98" i="6"/>
  <c r="AA100" i="6" s="1"/>
  <c r="AB96" i="6"/>
  <c r="AB17" i="3"/>
  <c r="AB16" i="3"/>
  <c r="AC4" i="3"/>
  <c r="AB109" i="6"/>
  <c r="AA110" i="6"/>
  <c r="AA111" i="6" s="1"/>
  <c r="AA112" i="6" s="1"/>
  <c r="Y106" i="6"/>
  <c r="Y107" i="6" s="1"/>
  <c r="Y82" i="6"/>
  <c r="X113" i="5"/>
  <c r="X114" i="5" s="1"/>
  <c r="Y88" i="5"/>
  <c r="AC30" i="5"/>
  <c r="X70" i="5"/>
  <c r="X71" i="5" s="1"/>
  <c r="X72" i="5" s="1"/>
  <c r="AA16" i="5"/>
  <c r="AA41" i="5" s="1"/>
  <c r="AB15" i="5"/>
  <c r="Z26" i="3"/>
  <c r="Z30" i="3"/>
  <c r="Z107" i="1"/>
  <c r="T11" i="4"/>
  <c r="W73" i="5"/>
  <c r="AA32" i="6"/>
  <c r="Z33" i="6"/>
  <c r="Z34" i="6" s="1"/>
  <c r="Z35" i="6" s="1"/>
  <c r="Z47" i="6"/>
  <c r="Y48" i="6"/>
  <c r="Y54" i="6" s="1"/>
  <c r="Y55" i="6" s="1"/>
  <c r="Z69" i="5"/>
  <c r="AB107" i="5"/>
  <c r="AB109" i="5" s="1"/>
  <c r="AC105" i="5"/>
  <c r="W64" i="6"/>
  <c r="W65" i="6" s="1"/>
  <c r="W66" i="6" s="1"/>
  <c r="W67" i="6" s="1"/>
  <c r="Q22" i="1" s="1"/>
  <c r="Z103" i="6"/>
  <c r="AA78" i="6"/>
  <c r="X61" i="6"/>
  <c r="Z80" i="5"/>
  <c r="Y82" i="5"/>
  <c r="Y84" i="5" s="1"/>
  <c r="AA71" i="6"/>
  <c r="Z73" i="6"/>
  <c r="Z75" i="6" s="1"/>
  <c r="AP112" i="5"/>
  <c r="AR87" i="5"/>
  <c r="Z87" i="6"/>
  <c r="Z88" i="6" s="1"/>
  <c r="Z92" i="6"/>
  <c r="Z93" i="6" s="1"/>
  <c r="Z94" i="6" s="1"/>
  <c r="Z143" i="6" s="1"/>
  <c r="AA86" i="6"/>
  <c r="AD84" i="6"/>
  <c r="AC85" i="6"/>
  <c r="AC99" i="5"/>
  <c r="AA43" i="6"/>
  <c r="AA44" i="6" s="1"/>
  <c r="AA45" i="6" s="1"/>
  <c r="AB42" i="6"/>
  <c r="L71" i="3"/>
  <c r="L77" i="3" s="1"/>
  <c r="L73" i="3"/>
  <c r="L79" i="3" s="1"/>
  <c r="L72" i="3"/>
  <c r="L78" i="3" s="1"/>
  <c r="L69" i="3"/>
  <c r="L75" i="3" s="1"/>
  <c r="L70" i="3"/>
  <c r="L76" i="3" s="1"/>
  <c r="AQ112" i="5"/>
  <c r="AS87" i="5"/>
  <c r="Z110" i="5"/>
  <c r="Z111" i="5" s="1"/>
  <c r="Z85" i="5"/>
  <c r="Z86" i="5" s="1"/>
  <c r="Z26" i="5"/>
  <c r="Z18" i="5"/>
  <c r="Z23" i="5" s="1"/>
  <c r="Z24" i="5" s="1"/>
  <c r="AG11" i="7"/>
  <c r="AA31" i="1" s="1"/>
  <c r="AA19" i="3"/>
  <c r="AA21" i="3" s="1"/>
  <c r="Y6" i="4"/>
  <c r="AA38" i="3"/>
  <c r="U1" i="4"/>
  <c r="W2" i="3"/>
  <c r="X5" i="3"/>
  <c r="Y101" i="5"/>
  <c r="Y102" i="5" s="1"/>
  <c r="Y103" i="5" s="1"/>
  <c r="Z95" i="5"/>
  <c r="Y96" i="5"/>
  <c r="Y97" i="5" s="1"/>
  <c r="AC93" i="5"/>
  <c r="AB94" i="5"/>
  <c r="Z81" i="6"/>
  <c r="Z134" i="6" l="1"/>
  <c r="Z126" i="6"/>
  <c r="Y144" i="6"/>
  <c r="AA120" i="6"/>
  <c r="AA126" i="6" s="1"/>
  <c r="AA119" i="6"/>
  <c r="AA127" i="6" s="1"/>
  <c r="AA129" i="6" s="1"/>
  <c r="AA130" i="6" s="1"/>
  <c r="AA134" i="6" s="1"/>
  <c r="AB121" i="6"/>
  <c r="AA122" i="6"/>
  <c r="AA123" i="6" s="1"/>
  <c r="AA124" i="6" s="1"/>
  <c r="AE113" i="6"/>
  <c r="AD115" i="6"/>
  <c r="Z144" i="6"/>
  <c r="AC116" i="6"/>
  <c r="AB118" i="6"/>
  <c r="AB137" i="6"/>
  <c r="AC136" i="6"/>
  <c r="AC132" i="6"/>
  <c r="AC133" i="6" s="1"/>
  <c r="AD131" i="6"/>
  <c r="AD27" i="6"/>
  <c r="AC29" i="6"/>
  <c r="Z101" i="6"/>
  <c r="Z76" i="6"/>
  <c r="Z77" i="6" s="1"/>
  <c r="Z19" i="6"/>
  <c r="Z22" i="6" s="1"/>
  <c r="Z23" i="6" s="1"/>
  <c r="AB30" i="6"/>
  <c r="AB38" i="6" s="1"/>
  <c r="AB40" i="6" s="1"/>
  <c r="AB41" i="6" s="1"/>
  <c r="AB31" i="6"/>
  <c r="AB37" i="6" s="1"/>
  <c r="AA9" i="6"/>
  <c r="AB8" i="6"/>
  <c r="U154" i="5"/>
  <c r="V14" i="1"/>
  <c r="W13" i="1"/>
  <c r="AA54" i="5"/>
  <c r="Z56" i="5"/>
  <c r="Z59" i="5"/>
  <c r="Z42" i="5"/>
  <c r="Z43" i="5" s="1"/>
  <c r="Z45" i="5" s="1"/>
  <c r="AB34" i="5"/>
  <c r="AB38" i="5" s="1"/>
  <c r="AC33" i="5"/>
  <c r="Z58" i="5"/>
  <c r="Z60" i="5" s="1"/>
  <c r="Z46" i="5" s="1"/>
  <c r="Z48" i="5" s="1"/>
  <c r="Z49" i="5" s="1"/>
  <c r="Z53" i="5" s="1"/>
  <c r="Z90" i="5" s="1"/>
  <c r="Z61" i="5"/>
  <c r="Z62" i="5" s="1"/>
  <c r="Z63" i="5" s="1"/>
  <c r="AA57" i="5"/>
  <c r="AC51" i="5"/>
  <c r="AC52" i="5" s="1"/>
  <c r="AD50" i="5"/>
  <c r="AA36" i="5"/>
  <c r="AA39" i="5" s="1"/>
  <c r="AB35" i="5"/>
  <c r="AG40" i="5"/>
  <c r="Y64" i="5"/>
  <c r="Z29" i="5"/>
  <c r="Z31" i="5" s="1"/>
  <c r="Z32" i="5" s="1"/>
  <c r="Z150" i="5"/>
  <c r="Z151" i="5" s="1"/>
  <c r="Z147" i="5"/>
  <c r="Z149" i="5" s="1"/>
  <c r="Z135" i="5" s="1"/>
  <c r="Z137" i="5" s="1"/>
  <c r="Z138" i="5" s="1"/>
  <c r="Z142" i="5" s="1"/>
  <c r="Z91" i="5" s="1"/>
  <c r="AA146" i="5"/>
  <c r="Z131" i="5"/>
  <c r="Z132" i="5" s="1"/>
  <c r="Z134" i="5" s="1"/>
  <c r="AA130" i="5"/>
  <c r="L32" i="3"/>
  <c r="AB123" i="5"/>
  <c r="AB127" i="5" s="1"/>
  <c r="AC122" i="5"/>
  <c r="N46" i="3"/>
  <c r="N48" i="3" s="1"/>
  <c r="N50" i="3" s="1"/>
  <c r="N29" i="3" s="1"/>
  <c r="AC129" i="5"/>
  <c r="Y153" i="5"/>
  <c r="AA125" i="5"/>
  <c r="AA128" i="5" s="1"/>
  <c r="AB124" i="5"/>
  <c r="AA143" i="5"/>
  <c r="Z148" i="5"/>
  <c r="Z145" i="5"/>
  <c r="AB139" i="5"/>
  <c r="AA140" i="5"/>
  <c r="AA141" i="5" s="1"/>
  <c r="P17" i="1"/>
  <c r="O46" i="3"/>
  <c r="O48" i="3" s="1"/>
  <c r="AB22" i="5"/>
  <c r="AC19" i="5"/>
  <c r="AA69" i="5"/>
  <c r="J40" i="3"/>
  <c r="K36" i="3" s="1"/>
  <c r="K27" i="3"/>
  <c r="L24" i="3" s="1"/>
  <c r="K37" i="3"/>
  <c r="N35" i="1"/>
  <c r="N37" i="1" s="1"/>
  <c r="H23" i="4"/>
  <c r="H24" i="4" s="1"/>
  <c r="I9" i="4"/>
  <c r="M58" i="3"/>
  <c r="M59" i="3"/>
  <c r="M50" i="3"/>
  <c r="V115" i="5"/>
  <c r="V116" i="5" s="1"/>
  <c r="V117" i="5" s="1"/>
  <c r="V104" i="5"/>
  <c r="V1" i="4"/>
  <c r="Y5" i="3"/>
  <c r="X2" i="3"/>
  <c r="AA47" i="6"/>
  <c r="Z48" i="6"/>
  <c r="Z54" i="6" s="1"/>
  <c r="Z55" i="6" s="1"/>
  <c r="U11" i="4"/>
  <c r="P47" i="3"/>
  <c r="P23" i="1"/>
  <c r="P36" i="1" s="1"/>
  <c r="AA26" i="3"/>
  <c r="AA107" i="1"/>
  <c r="AA30" i="3"/>
  <c r="AD99" i="5"/>
  <c r="Y70" i="5"/>
  <c r="O22" i="4"/>
  <c r="O25" i="4" s="1"/>
  <c r="O26" i="4" s="1"/>
  <c r="O12" i="4"/>
  <c r="P10" i="4"/>
  <c r="X104" i="6"/>
  <c r="X105" i="6" s="1"/>
  <c r="X108" i="6" s="1"/>
  <c r="Y79" i="6"/>
  <c r="X80" i="6"/>
  <c r="X95" i="6" s="1"/>
  <c r="Y61" i="6"/>
  <c r="AB16" i="5"/>
  <c r="AB41" i="5" s="1"/>
  <c r="AC15" i="5"/>
  <c r="AB43" i="6"/>
  <c r="AB44" i="6" s="1"/>
  <c r="AB45" i="6" s="1"/>
  <c r="AC42" i="6"/>
  <c r="X73" i="5"/>
  <c r="Y113" i="5"/>
  <c r="Y114" i="5" s="1"/>
  <c r="Z88" i="5"/>
  <c r="AD93" i="5"/>
  <c r="AC94" i="5"/>
  <c r="AA81" i="6"/>
  <c r="AB71" i="6"/>
  <c r="AA73" i="6"/>
  <c r="AA75" i="6" s="1"/>
  <c r="AA103" i="6"/>
  <c r="AB78" i="6"/>
  <c r="W74" i="5"/>
  <c r="W75" i="5" s="1"/>
  <c r="W76" i="5" s="1"/>
  <c r="W77" i="5" s="1"/>
  <c r="AB98" i="6"/>
  <c r="AB100" i="6" s="1"/>
  <c r="AC96" i="6"/>
  <c r="AB68" i="5"/>
  <c r="AB67" i="5"/>
  <c r="AC66" i="5"/>
  <c r="AR112" i="5"/>
  <c r="AT87" i="5"/>
  <c r="AC109" i="6"/>
  <c r="AB110" i="6"/>
  <c r="AB111" i="6" s="1"/>
  <c r="AB112" i="6" s="1"/>
  <c r="Z96" i="5"/>
  <c r="Z97" i="5" s="1"/>
  <c r="AA95" i="5"/>
  <c r="Z101" i="5"/>
  <c r="Z102" i="5" s="1"/>
  <c r="Z103" i="5" s="1"/>
  <c r="AE84" i="6"/>
  <c r="AD85" i="6"/>
  <c r="AA80" i="5"/>
  <c r="Z82" i="5"/>
  <c r="Z84" i="5" s="1"/>
  <c r="AD30" i="5"/>
  <c r="AC16" i="3"/>
  <c r="AC17" i="3"/>
  <c r="AD4" i="3"/>
  <c r="Z119" i="5"/>
  <c r="Z120" i="5" s="1"/>
  <c r="Z121" i="5" s="1"/>
  <c r="AA118" i="5"/>
  <c r="Z106" i="6"/>
  <c r="Z107" i="6" s="1"/>
  <c r="Z82" i="6"/>
  <c r="AC107" i="5"/>
  <c r="AC109" i="5" s="1"/>
  <c r="AD105" i="5"/>
  <c r="AB32" i="6"/>
  <c r="AH11" i="7"/>
  <c r="AB31" i="1" s="1"/>
  <c r="Z6" i="4"/>
  <c r="AB19" i="3"/>
  <c r="AB21" i="3" s="1"/>
  <c r="AB38" i="3"/>
  <c r="X62" i="6"/>
  <c r="X63" i="6" s="1"/>
  <c r="X64" i="6" s="1"/>
  <c r="AA110" i="5"/>
  <c r="AA111" i="5" s="1"/>
  <c r="AA85" i="5"/>
  <c r="AA86" i="5" s="1"/>
  <c r="AA26" i="5"/>
  <c r="AA18" i="5"/>
  <c r="AA23" i="5" s="1"/>
  <c r="AA24" i="5" s="1"/>
  <c r="AS112" i="5"/>
  <c r="AU87" i="5"/>
  <c r="AA87" i="6"/>
  <c r="AA88" i="6" s="1"/>
  <c r="AA92" i="6"/>
  <c r="AA93" i="6" s="1"/>
  <c r="AA94" i="6" s="1"/>
  <c r="AA143" i="6" s="1"/>
  <c r="AB86" i="6"/>
  <c r="Y89" i="5"/>
  <c r="AA144" i="6" l="1"/>
  <c r="AD116" i="6"/>
  <c r="AC118" i="6"/>
  <c r="AD132" i="6"/>
  <c r="AD133" i="6" s="1"/>
  <c r="AE131" i="6"/>
  <c r="AF113" i="6"/>
  <c r="AE115" i="6"/>
  <c r="AC137" i="6"/>
  <c r="AD136" i="6"/>
  <c r="AC121" i="6"/>
  <c r="AB122" i="6"/>
  <c r="AB123" i="6" s="1"/>
  <c r="AB124" i="6" s="1"/>
  <c r="AB120" i="6"/>
  <c r="AB119" i="6"/>
  <c r="AB127" i="6" s="1"/>
  <c r="AB129" i="6" s="1"/>
  <c r="AB130" i="6" s="1"/>
  <c r="AB134" i="6" s="1"/>
  <c r="AA19" i="6"/>
  <c r="AA22" i="6" s="1"/>
  <c r="AA23" i="6" s="1"/>
  <c r="AA76" i="6"/>
  <c r="AA77" i="6" s="1"/>
  <c r="AA101" i="6"/>
  <c r="AC30" i="6"/>
  <c r="AC38" i="6" s="1"/>
  <c r="AC40" i="6" s="1"/>
  <c r="AC41" i="6" s="1"/>
  <c r="AC31" i="6"/>
  <c r="AC37" i="6" s="1"/>
  <c r="AA33" i="6"/>
  <c r="AA34" i="6" s="1"/>
  <c r="AA35" i="6" s="1"/>
  <c r="AB9" i="6"/>
  <c r="AC8" i="6"/>
  <c r="AD29" i="6"/>
  <c r="AE27" i="6"/>
  <c r="V154" i="5"/>
  <c r="W14" i="1"/>
  <c r="X13" i="1"/>
  <c r="AC34" i="5"/>
  <c r="AC38" i="5" s="1"/>
  <c r="AD33" i="5"/>
  <c r="AA56" i="5"/>
  <c r="AB54" i="5"/>
  <c r="AA59" i="5"/>
  <c r="AB57" i="5"/>
  <c r="AA58" i="5"/>
  <c r="AA60" i="5" s="1"/>
  <c r="AA46" i="5" s="1"/>
  <c r="AA48" i="5" s="1"/>
  <c r="AA49" i="5" s="1"/>
  <c r="AA53" i="5" s="1"/>
  <c r="AA90" i="5" s="1"/>
  <c r="AA61" i="5"/>
  <c r="AA62" i="5" s="1"/>
  <c r="AA63" i="5" s="1"/>
  <c r="AB36" i="5"/>
  <c r="AB39" i="5" s="1"/>
  <c r="AC35" i="5"/>
  <c r="AB42" i="5"/>
  <c r="AB43" i="5" s="1"/>
  <c r="Z64" i="5"/>
  <c r="AH40" i="5"/>
  <c r="AA42" i="5"/>
  <c r="AA43" i="5" s="1"/>
  <c r="AA45" i="5" s="1"/>
  <c r="AD51" i="5"/>
  <c r="AD52" i="5" s="1"/>
  <c r="AE50" i="5"/>
  <c r="Z152" i="5"/>
  <c r="Z153" i="5" s="1"/>
  <c r="N31" i="3"/>
  <c r="AA29" i="5"/>
  <c r="AA31" i="5" s="1"/>
  <c r="AA32" i="5" s="1"/>
  <c r="AB146" i="5"/>
  <c r="AA150" i="5"/>
  <c r="AA151" i="5" s="1"/>
  <c r="AA147" i="5"/>
  <c r="AA149" i="5" s="1"/>
  <c r="AA135" i="5" s="1"/>
  <c r="AA137" i="5" s="1"/>
  <c r="AA138" i="5" s="1"/>
  <c r="AA142" i="5" s="1"/>
  <c r="AA91" i="5" s="1"/>
  <c r="N58" i="3"/>
  <c r="AB130" i="5"/>
  <c r="N106" i="1"/>
  <c r="N25" i="3"/>
  <c r="L2" i="4" s="1"/>
  <c r="N59" i="3"/>
  <c r="AA131" i="5"/>
  <c r="AA132" i="5" s="1"/>
  <c r="AA134" i="5" s="1"/>
  <c r="AD122" i="5"/>
  <c r="AC123" i="5"/>
  <c r="AC127" i="5" s="1"/>
  <c r="N57" i="3"/>
  <c r="N70" i="3" s="1"/>
  <c r="N76" i="3" s="1"/>
  <c r="AA148" i="5"/>
  <c r="AB143" i="5"/>
  <c r="AA145" i="5"/>
  <c r="AB140" i="5"/>
  <c r="AB141" i="5" s="1"/>
  <c r="AC139" i="5"/>
  <c r="AC124" i="5"/>
  <c r="AB125" i="5"/>
  <c r="AB128" i="5" s="1"/>
  <c r="AD129" i="5"/>
  <c r="P46" i="3"/>
  <c r="P48" i="3" s="1"/>
  <c r="O58" i="3"/>
  <c r="O59" i="3"/>
  <c r="O50" i="3"/>
  <c r="O57" i="3" s="1"/>
  <c r="O18" i="1"/>
  <c r="O35" i="1" s="1"/>
  <c r="O37" i="1" s="1"/>
  <c r="K39" i="3"/>
  <c r="K40" i="3" s="1"/>
  <c r="L36" i="3" s="1"/>
  <c r="Q17" i="1"/>
  <c r="W104" i="5"/>
  <c r="W115" i="5"/>
  <c r="W116" i="5" s="1"/>
  <c r="W117" i="5" s="1"/>
  <c r="I23" i="4"/>
  <c r="I24" i="4" s="1"/>
  <c r="J9" i="4"/>
  <c r="AC22" i="5"/>
  <c r="AD19" i="5"/>
  <c r="M29" i="3"/>
  <c r="M57" i="3"/>
  <c r="M106" i="1"/>
  <c r="M31" i="3"/>
  <c r="M32" i="3" s="1"/>
  <c r="M25" i="3"/>
  <c r="K2" i="4" s="1"/>
  <c r="L27" i="3"/>
  <c r="M24" i="3" s="1"/>
  <c r="L37" i="3"/>
  <c r="AD17" i="3"/>
  <c r="AD16" i="3"/>
  <c r="AE4" i="3"/>
  <c r="AB81" i="6"/>
  <c r="AC86" i="6"/>
  <c r="AB92" i="6"/>
  <c r="AB93" i="6" s="1"/>
  <c r="AB94" i="6" s="1"/>
  <c r="AB143" i="6" s="1"/>
  <c r="AB87" i="6"/>
  <c r="AB88" i="6" s="1"/>
  <c r="AI11" i="7"/>
  <c r="AC31" i="1" s="1"/>
  <c r="AA6" i="4"/>
  <c r="V35" i="3"/>
  <c r="N35" i="3"/>
  <c r="AC35" i="3"/>
  <c r="U35" i="3"/>
  <c r="M35" i="3"/>
  <c r="AB35" i="3"/>
  <c r="T35" i="3"/>
  <c r="L35" i="3"/>
  <c r="W35" i="3"/>
  <c r="O35" i="3"/>
  <c r="AC19" i="3"/>
  <c r="AC21" i="3" s="1"/>
  <c r="Y35" i="3"/>
  <c r="R35" i="3"/>
  <c r="X35" i="3"/>
  <c r="AC38" i="3"/>
  <c r="S35" i="3"/>
  <c r="Z35" i="3"/>
  <c r="J35" i="3"/>
  <c r="Q35" i="3"/>
  <c r="P35" i="3"/>
  <c r="K35" i="3"/>
  <c r="AA35" i="3"/>
  <c r="AA96" i="5"/>
  <c r="AA97" i="5" s="1"/>
  <c r="AB95" i="5"/>
  <c r="AA101" i="5"/>
  <c r="AA102" i="5" s="1"/>
  <c r="AA103" i="5" s="1"/>
  <c r="AC98" i="6"/>
  <c r="AC100" i="6" s="1"/>
  <c r="AD96" i="6"/>
  <c r="Z113" i="5"/>
  <c r="Z114" i="5" s="1"/>
  <c r="AA88" i="5"/>
  <c r="AC16" i="5"/>
  <c r="AC41" i="5" s="1"/>
  <c r="AD15" i="5"/>
  <c r="AU112" i="5"/>
  <c r="AW87" i="5"/>
  <c r="AB26" i="3"/>
  <c r="AB107" i="1"/>
  <c r="AB30" i="3"/>
  <c r="AB73" i="6"/>
  <c r="AB75" i="6" s="1"/>
  <c r="AC71" i="6"/>
  <c r="X65" i="6"/>
  <c r="X66" i="6" s="1"/>
  <c r="X67" i="6" s="1"/>
  <c r="R22" i="1" s="1"/>
  <c r="AT112" i="5"/>
  <c r="AV87" i="5"/>
  <c r="AE93" i="5"/>
  <c r="AD94" i="5"/>
  <c r="P22" i="4"/>
  <c r="P25" i="4" s="1"/>
  <c r="P26" i="4" s="1"/>
  <c r="P12" i="4"/>
  <c r="Q10" i="4"/>
  <c r="AE99" i="5"/>
  <c r="AB80" i="5"/>
  <c r="AA82" i="5"/>
  <c r="AA84" i="5" s="1"/>
  <c r="Q47" i="3"/>
  <c r="Q23" i="1"/>
  <c r="Q36" i="1" s="1"/>
  <c r="Z70" i="5"/>
  <c r="AD109" i="6"/>
  <c r="AC110" i="6"/>
  <c r="AC111" i="6" s="1"/>
  <c r="AC112" i="6" s="1"/>
  <c r="AB103" i="6"/>
  <c r="AC78" i="6"/>
  <c r="X74" i="5"/>
  <c r="X75" i="5" s="1"/>
  <c r="X76" i="5" s="1"/>
  <c r="X77" i="5" s="1"/>
  <c r="Y71" i="5"/>
  <c r="Y72" i="5" s="1"/>
  <c r="Y73" i="5" s="1"/>
  <c r="Z89" i="5"/>
  <c r="Y2" i="3"/>
  <c r="W1" i="4"/>
  <c r="Z5" i="3"/>
  <c r="AB69" i="5"/>
  <c r="AC32" i="6"/>
  <c r="AB85" i="5"/>
  <c r="AB86" i="5" s="1"/>
  <c r="AB110" i="5"/>
  <c r="AB111" i="5" s="1"/>
  <c r="AB26" i="5"/>
  <c r="AB18" i="5"/>
  <c r="AB23" i="5" s="1"/>
  <c r="AB24" i="5" s="1"/>
  <c r="Z61" i="6"/>
  <c r="AE105" i="5"/>
  <c r="AD107" i="5"/>
  <c r="AD109" i="5" s="1"/>
  <c r="AF84" i="6"/>
  <c r="AE85" i="6"/>
  <c r="Y62" i="6"/>
  <c r="Y63" i="6" s="1"/>
  <c r="Y64" i="6" s="1"/>
  <c r="V11" i="4"/>
  <c r="AB118" i="5"/>
  <c r="AA119" i="5"/>
  <c r="AA120" i="5" s="1"/>
  <c r="AA121" i="5" s="1"/>
  <c r="AE30" i="5"/>
  <c r="AD66" i="5"/>
  <c r="AC68" i="5"/>
  <c r="AC67" i="5"/>
  <c r="AA106" i="6"/>
  <c r="AA107" i="6" s="1"/>
  <c r="AA82" i="6"/>
  <c r="AC43" i="6"/>
  <c r="AC44" i="6" s="1"/>
  <c r="AC45" i="6" s="1"/>
  <c r="AD42" i="6"/>
  <c r="Y104" i="6"/>
  <c r="Y105" i="6" s="1"/>
  <c r="Y108" i="6" s="1"/>
  <c r="Z79" i="6"/>
  <c r="Y80" i="6"/>
  <c r="Y95" i="6" s="1"/>
  <c r="AA48" i="6"/>
  <c r="AA54" i="6" s="1"/>
  <c r="AA55" i="6" s="1"/>
  <c r="AB47" i="6"/>
  <c r="AB126" i="6" l="1"/>
  <c r="AB144" i="6"/>
  <c r="AD121" i="6"/>
  <c r="AC122" i="6"/>
  <c r="AC123" i="6" s="1"/>
  <c r="AC124" i="6" s="1"/>
  <c r="AC120" i="6"/>
  <c r="AC119" i="6"/>
  <c r="AC127" i="6" s="1"/>
  <c r="AC129" i="6" s="1"/>
  <c r="AC130" i="6" s="1"/>
  <c r="AC134" i="6" s="1"/>
  <c r="AG113" i="6"/>
  <c r="AF115" i="6"/>
  <c r="AE132" i="6"/>
  <c r="AE133" i="6" s="1"/>
  <c r="AF131" i="6"/>
  <c r="AE136" i="6"/>
  <c r="AD137" i="6"/>
  <c r="AE116" i="6"/>
  <c r="AD118" i="6"/>
  <c r="AD8" i="6"/>
  <c r="AC9" i="6"/>
  <c r="AB19" i="6"/>
  <c r="AB22" i="6" s="1"/>
  <c r="AB23" i="6" s="1"/>
  <c r="AB76" i="6"/>
  <c r="AB77" i="6" s="1"/>
  <c r="AB101" i="6"/>
  <c r="AB33" i="6"/>
  <c r="AB34" i="6" s="1"/>
  <c r="AB35" i="6" s="1"/>
  <c r="AF27" i="6"/>
  <c r="AE29" i="6"/>
  <c r="AD30" i="6"/>
  <c r="AD38" i="6" s="1"/>
  <c r="AD40" i="6" s="1"/>
  <c r="AD41" i="6" s="1"/>
  <c r="AD31" i="6"/>
  <c r="AD37" i="6" s="1"/>
  <c r="AA64" i="5"/>
  <c r="Y13" i="1"/>
  <c r="X14" i="1"/>
  <c r="W154" i="5"/>
  <c r="AC54" i="5"/>
  <c r="AB59" i="5"/>
  <c r="AB56" i="5"/>
  <c r="AD34" i="5"/>
  <c r="AD38" i="5" s="1"/>
  <c r="AE33" i="5"/>
  <c r="AB45" i="5"/>
  <c r="AF50" i="5"/>
  <c r="AE51" i="5"/>
  <c r="AE52" i="5" s="1"/>
  <c r="AD35" i="5"/>
  <c r="AC36" i="5"/>
  <c r="AC39" i="5" s="1"/>
  <c r="AC57" i="5"/>
  <c r="AB61" i="5"/>
  <c r="AB62" i="5" s="1"/>
  <c r="AB58" i="5"/>
  <c r="AB60" i="5" s="1"/>
  <c r="AB46" i="5" s="1"/>
  <c r="AB48" i="5" s="1"/>
  <c r="AB49" i="5" s="1"/>
  <c r="AB53" i="5" s="1"/>
  <c r="AB90" i="5" s="1"/>
  <c r="AI40" i="5"/>
  <c r="N32" i="3"/>
  <c r="AA152" i="5"/>
  <c r="AA153" i="5" s="1"/>
  <c r="N72" i="3"/>
  <c r="N78" i="3" s="1"/>
  <c r="O106" i="1"/>
  <c r="AB29" i="5"/>
  <c r="AB31" i="5" s="1"/>
  <c r="AB32" i="5" s="1"/>
  <c r="AB150" i="5"/>
  <c r="AB151" i="5" s="1"/>
  <c r="AC146" i="5"/>
  <c r="AB147" i="5"/>
  <c r="AB149" i="5" s="1"/>
  <c r="AB135" i="5" s="1"/>
  <c r="AB137" i="5" s="1"/>
  <c r="AB138" i="5" s="1"/>
  <c r="AB142" i="5" s="1"/>
  <c r="AB91" i="5" s="1"/>
  <c r="O31" i="3"/>
  <c r="O32" i="3" s="1"/>
  <c r="AC130" i="5"/>
  <c r="N73" i="3"/>
  <c r="N79" i="3" s="1"/>
  <c r="AE122" i="5"/>
  <c r="AD123" i="5"/>
  <c r="AD127" i="5" s="1"/>
  <c r="O29" i="3"/>
  <c r="N69" i="3"/>
  <c r="N75" i="3" s="1"/>
  <c r="N71" i="3"/>
  <c r="N77" i="3" s="1"/>
  <c r="AB131" i="5"/>
  <c r="AB132" i="5" s="1"/>
  <c r="AB134" i="5" s="1"/>
  <c r="P18" i="1"/>
  <c r="P35" i="1" s="1"/>
  <c r="P37" i="1" s="1"/>
  <c r="AE129" i="5"/>
  <c r="AC140" i="5"/>
  <c r="AC141" i="5" s="1"/>
  <c r="AD139" i="5"/>
  <c r="AB148" i="5"/>
  <c r="AB145" i="5"/>
  <c r="AC143" i="5"/>
  <c r="AD124" i="5"/>
  <c r="AC125" i="5"/>
  <c r="AC128" i="5" s="1"/>
  <c r="O25" i="3"/>
  <c r="M2" i="4" s="1"/>
  <c r="P58" i="3"/>
  <c r="P50" i="3"/>
  <c r="P106" i="1" s="1"/>
  <c r="P59" i="3"/>
  <c r="L39" i="3"/>
  <c r="L40" i="3" s="1"/>
  <c r="M70" i="3"/>
  <c r="M76" i="3" s="1"/>
  <c r="M73" i="3"/>
  <c r="M79" i="3" s="1"/>
  <c r="M69" i="3"/>
  <c r="M75" i="3" s="1"/>
  <c r="M72" i="3"/>
  <c r="M78" i="3" s="1"/>
  <c r="M71" i="3"/>
  <c r="M77" i="3" s="1"/>
  <c r="K9" i="4"/>
  <c r="J23" i="4"/>
  <c r="J24" i="4" s="1"/>
  <c r="AD22" i="5"/>
  <c r="AE19" i="5"/>
  <c r="M27" i="3"/>
  <c r="N24" i="3" s="1"/>
  <c r="M37" i="3"/>
  <c r="R17" i="1"/>
  <c r="X115" i="5"/>
  <c r="X116" i="5" s="1"/>
  <c r="X117" i="5" s="1"/>
  <c r="X104" i="5"/>
  <c r="X154" i="5" s="1"/>
  <c r="S23" i="1"/>
  <c r="Y65" i="6"/>
  <c r="Y66" i="6" s="1"/>
  <c r="Y67" i="6" s="1"/>
  <c r="S22" i="1" s="1"/>
  <c r="Y74" i="5"/>
  <c r="Y75" i="5" s="1"/>
  <c r="Y76" i="5" s="1"/>
  <c r="Y77" i="5" s="1"/>
  <c r="AB96" i="5"/>
  <c r="AB97" i="5" s="1"/>
  <c r="AB101" i="5"/>
  <c r="AB102" i="5" s="1"/>
  <c r="AB103" i="5" s="1"/>
  <c r="AC95" i="5"/>
  <c r="AA113" i="5"/>
  <c r="AA114" i="5" s="1"/>
  <c r="AB88" i="5"/>
  <c r="AB89" i="5" s="1"/>
  <c r="AA89" i="5"/>
  <c r="AJ11" i="7"/>
  <c r="AD31" i="1" s="1"/>
  <c r="AB6" i="4"/>
  <c r="AD38" i="3"/>
  <c r="AD19" i="3"/>
  <c r="AD21" i="3" s="1"/>
  <c r="AC47" i="6"/>
  <c r="AB48" i="6"/>
  <c r="AB54" i="6" s="1"/>
  <c r="AB55" i="6" s="1"/>
  <c r="AG84" i="6"/>
  <c r="AF85" i="6"/>
  <c r="AF99" i="5"/>
  <c r="Q22" i="4"/>
  <c r="Q25" i="4" s="1"/>
  <c r="Q26" i="4" s="1"/>
  <c r="R10" i="4"/>
  <c r="Q12" i="4"/>
  <c r="AC85" i="5"/>
  <c r="AC86" i="5" s="1"/>
  <c r="AC26" i="5"/>
  <c r="AC110" i="5"/>
  <c r="AC111" i="5" s="1"/>
  <c r="AC18" i="5"/>
  <c r="AC23" i="5" s="1"/>
  <c r="AC24" i="5" s="1"/>
  <c r="AB82" i="6"/>
  <c r="AB106" i="6"/>
  <c r="AB107" i="6" s="1"/>
  <c r="AE107" i="5"/>
  <c r="AE109" i="5" s="1"/>
  <c r="AF105" i="5"/>
  <c r="AE17" i="3"/>
  <c r="AE16" i="3"/>
  <c r="AF4" i="3"/>
  <c r="O73" i="3"/>
  <c r="O79" i="3" s="1"/>
  <c r="O70" i="3"/>
  <c r="O76" i="3" s="1"/>
  <c r="O72" i="3"/>
  <c r="O78" i="3" s="1"/>
  <c r="O69" i="3"/>
  <c r="O75" i="3" s="1"/>
  <c r="O71" i="3"/>
  <c r="O77" i="3" s="1"/>
  <c r="R47" i="3"/>
  <c r="R23" i="1"/>
  <c r="R36" i="1" s="1"/>
  <c r="AC118" i="5"/>
  <c r="AB119" i="5"/>
  <c r="AB120" i="5" s="1"/>
  <c r="AB121" i="5" s="1"/>
  <c r="W11" i="4"/>
  <c r="AA61" i="6"/>
  <c r="AA70" i="5"/>
  <c r="AA71" i="5" s="1"/>
  <c r="AA72" i="5" s="1"/>
  <c r="AC69" i="5"/>
  <c r="Z62" i="6"/>
  <c r="Z63" i="6" s="1"/>
  <c r="Z64" i="6" s="1"/>
  <c r="X1" i="4"/>
  <c r="AA5" i="3"/>
  <c r="Z2" i="3"/>
  <c r="Z71" i="5"/>
  <c r="Z72" i="5" s="1"/>
  <c r="Z73" i="5" s="1"/>
  <c r="AC80" i="5"/>
  <c r="AB82" i="5"/>
  <c r="AB84" i="5" s="1"/>
  <c r="AV112" i="5"/>
  <c r="AX87" i="5"/>
  <c r="AC26" i="3"/>
  <c r="AC30" i="3"/>
  <c r="AC107" i="1"/>
  <c r="AD43" i="6"/>
  <c r="AD44" i="6" s="1"/>
  <c r="AE42" i="6"/>
  <c r="AD16" i="5"/>
  <c r="AD41" i="5" s="1"/>
  <c r="AE15" i="5"/>
  <c r="AC81" i="6"/>
  <c r="AF30" i="5"/>
  <c r="AC103" i="6"/>
  <c r="AD78" i="6"/>
  <c r="AW112" i="5"/>
  <c r="AY87" i="5"/>
  <c r="AF93" i="5"/>
  <c r="AE94" i="5"/>
  <c r="AD71" i="6"/>
  <c r="AC73" i="6"/>
  <c r="AC75" i="6" s="1"/>
  <c r="AE96" i="6"/>
  <c r="AD98" i="6"/>
  <c r="AD100" i="6" s="1"/>
  <c r="Z104" i="6"/>
  <c r="Z105" i="6" s="1"/>
  <c r="Z108" i="6" s="1"/>
  <c r="AA79" i="6"/>
  <c r="Z80" i="6"/>
  <c r="Z95" i="6" s="1"/>
  <c r="AE66" i="5"/>
  <c r="AD68" i="5"/>
  <c r="AD67" i="5"/>
  <c r="AC33" i="6"/>
  <c r="AC34" i="6" s="1"/>
  <c r="AC35" i="6" s="1"/>
  <c r="AD32" i="6"/>
  <c r="AE109" i="6"/>
  <c r="AD110" i="6"/>
  <c r="AD111" i="6" s="1"/>
  <c r="AD112" i="6" s="1"/>
  <c r="AC92" i="6"/>
  <c r="AC93" i="6" s="1"/>
  <c r="AC94" i="6" s="1"/>
  <c r="AC143" i="6" s="1"/>
  <c r="AC87" i="6"/>
  <c r="AC88" i="6" s="1"/>
  <c r="AD86" i="6"/>
  <c r="AC126" i="6" l="1"/>
  <c r="AC144" i="6"/>
  <c r="AD45" i="6"/>
  <c r="AH113" i="6"/>
  <c r="AG115" i="6"/>
  <c r="AF132" i="6"/>
  <c r="AF133" i="6" s="1"/>
  <c r="AG131" i="6"/>
  <c r="AD120" i="6"/>
  <c r="AD119" i="6"/>
  <c r="AD127" i="6" s="1"/>
  <c r="AD129" i="6" s="1"/>
  <c r="AD130" i="6" s="1"/>
  <c r="AE118" i="6"/>
  <c r="AF116" i="6"/>
  <c r="AE137" i="6"/>
  <c r="AF136" i="6"/>
  <c r="AD122" i="6"/>
  <c r="AD123" i="6" s="1"/>
  <c r="AD124" i="6" s="1"/>
  <c r="AE121" i="6"/>
  <c r="AG27" i="6"/>
  <c r="AF29" i="6"/>
  <c r="AE31" i="6"/>
  <c r="AE37" i="6" s="1"/>
  <c r="AE30" i="6"/>
  <c r="AE38" i="6" s="1"/>
  <c r="AE40" i="6" s="1"/>
  <c r="AE41" i="6" s="1"/>
  <c r="AC19" i="6"/>
  <c r="AC22" i="6" s="1"/>
  <c r="AC23" i="6" s="1"/>
  <c r="AC101" i="6"/>
  <c r="AC76" i="6"/>
  <c r="AC77" i="6" s="1"/>
  <c r="AE8" i="6"/>
  <c r="AD9" i="6"/>
  <c r="Y14" i="1"/>
  <c r="Z13" i="1"/>
  <c r="AF33" i="5"/>
  <c r="AE34" i="5"/>
  <c r="AE38" i="5" s="1"/>
  <c r="AB63" i="5"/>
  <c r="AB64" i="5" s="1"/>
  <c r="AD54" i="5"/>
  <c r="AC59" i="5"/>
  <c r="AC56" i="5"/>
  <c r="AC42" i="5"/>
  <c r="AC43" i="5" s="1"/>
  <c r="AC45" i="5" s="1"/>
  <c r="AD57" i="5"/>
  <c r="AC61" i="5"/>
  <c r="AC62" i="5" s="1"/>
  <c r="AC58" i="5"/>
  <c r="AC60" i="5" s="1"/>
  <c r="AC46" i="5" s="1"/>
  <c r="AC48" i="5" s="1"/>
  <c r="AC49" i="5" s="1"/>
  <c r="AC53" i="5" s="1"/>
  <c r="AC90" i="5" s="1"/>
  <c r="AJ40" i="5"/>
  <c r="AE35" i="5"/>
  <c r="AD36" i="5"/>
  <c r="AD39" i="5" s="1"/>
  <c r="AG50" i="5"/>
  <c r="AF51" i="5"/>
  <c r="AF52" i="5" s="1"/>
  <c r="R18" i="1"/>
  <c r="T23" i="1"/>
  <c r="AC29" i="5"/>
  <c r="AC31" i="5" s="1"/>
  <c r="AC32" i="5" s="1"/>
  <c r="AD146" i="5"/>
  <c r="AC150" i="5"/>
  <c r="AC151" i="5" s="1"/>
  <c r="AC147" i="5"/>
  <c r="AC149" i="5" s="1"/>
  <c r="AC135" i="5" s="1"/>
  <c r="AC137" i="5" s="1"/>
  <c r="AC138" i="5" s="1"/>
  <c r="AC142" i="5" s="1"/>
  <c r="AC91" i="5" s="1"/>
  <c r="AB152" i="5"/>
  <c r="AB153" i="5" s="1"/>
  <c r="AC131" i="5"/>
  <c r="AC132" i="5" s="1"/>
  <c r="AC134" i="5" s="1"/>
  <c r="AD130" i="5"/>
  <c r="AE123" i="5"/>
  <c r="AE127" i="5" s="1"/>
  <c r="AF122" i="5"/>
  <c r="P57" i="3"/>
  <c r="P69" i="3" s="1"/>
  <c r="P75" i="3" s="1"/>
  <c r="P31" i="3"/>
  <c r="P32" i="3" s="1"/>
  <c r="P25" i="3"/>
  <c r="N2" i="4" s="1"/>
  <c r="P29" i="3"/>
  <c r="AE124" i="5"/>
  <c r="AD125" i="5"/>
  <c r="AD128" i="5" s="1"/>
  <c r="AC148" i="5"/>
  <c r="AC145" i="5"/>
  <c r="AD143" i="5"/>
  <c r="AD140" i="5"/>
  <c r="AD141" i="5" s="1"/>
  <c r="AE139" i="5"/>
  <c r="AF129" i="5"/>
  <c r="M36" i="3"/>
  <c r="M39" i="3" s="1"/>
  <c r="S47" i="3"/>
  <c r="Y104" i="5"/>
  <c r="Y115" i="5"/>
  <c r="Y116" i="5" s="1"/>
  <c r="Y117" i="5" s="1"/>
  <c r="R46" i="3"/>
  <c r="R48" i="3" s="1"/>
  <c r="L9" i="4"/>
  <c r="K23" i="4"/>
  <c r="K24" i="4" s="1"/>
  <c r="AE22" i="5"/>
  <c r="AF19" i="5"/>
  <c r="S17" i="1"/>
  <c r="Q46" i="3"/>
  <c r="Q48" i="3" s="1"/>
  <c r="Q18" i="1"/>
  <c r="Q35" i="1" s="1"/>
  <c r="Q37" i="1" s="1"/>
  <c r="N27" i="3"/>
  <c r="O24" i="3" s="1"/>
  <c r="N37" i="3"/>
  <c r="AA73" i="5"/>
  <c r="AA74" i="5" s="1"/>
  <c r="AA75" i="5" s="1"/>
  <c r="AA76" i="5" s="1"/>
  <c r="AA77" i="5" s="1"/>
  <c r="Z74" i="5"/>
  <c r="Z75" i="5" s="1"/>
  <c r="Z76" i="5" s="1"/>
  <c r="Z77" i="5" s="1"/>
  <c r="Z65" i="6"/>
  <c r="Z66" i="6" s="1"/>
  <c r="Z67" i="6" s="1"/>
  <c r="T22" i="1" s="1"/>
  <c r="AX112" i="5"/>
  <c r="AZ87" i="5"/>
  <c r="AD81" i="6"/>
  <c r="X11" i="4"/>
  <c r="AH84" i="6"/>
  <c r="AG85" i="6"/>
  <c r="AC106" i="6"/>
  <c r="AC107" i="6" s="1"/>
  <c r="AC82" i="6"/>
  <c r="AC48" i="6"/>
  <c r="AC54" i="6" s="1"/>
  <c r="AC55" i="6" s="1"/>
  <c r="AD47" i="6"/>
  <c r="AC101" i="5"/>
  <c r="AC102" i="5" s="1"/>
  <c r="AC103" i="5" s="1"/>
  <c r="AC96" i="5"/>
  <c r="AC97" i="5" s="1"/>
  <c r="AD95" i="5"/>
  <c r="AG93" i="5"/>
  <c r="AF94" i="5"/>
  <c r="AF66" i="5"/>
  <c r="AE68" i="5"/>
  <c r="AE67" i="5"/>
  <c r="AF42" i="6"/>
  <c r="AE43" i="6"/>
  <c r="AE44" i="6" s="1"/>
  <c r="AG105" i="5"/>
  <c r="AF107" i="5"/>
  <c r="AF109" i="5" s="1"/>
  <c r="AE110" i="6"/>
  <c r="AE111" i="6" s="1"/>
  <c r="AE112" i="6" s="1"/>
  <c r="AF109" i="6"/>
  <c r="AE98" i="6"/>
  <c r="AE100" i="6" s="1"/>
  <c r="AF96" i="6"/>
  <c r="AF17" i="3"/>
  <c r="AF16" i="3"/>
  <c r="AG4" i="3"/>
  <c r="S36" i="1"/>
  <c r="AD92" i="6"/>
  <c r="AD93" i="6" s="1"/>
  <c r="AD94" i="6" s="1"/>
  <c r="AD143" i="6" s="1"/>
  <c r="AD87" i="6"/>
  <c r="AD88" i="6" s="1"/>
  <c r="AE86" i="6"/>
  <c r="AG30" i="5"/>
  <c r="AD85" i="5"/>
  <c r="AD86" i="5" s="1"/>
  <c r="AD26" i="5"/>
  <c r="AD18" i="5"/>
  <c r="AD23" i="5" s="1"/>
  <c r="AD24" i="5" s="1"/>
  <c r="AD110" i="5"/>
  <c r="AD111" i="5" s="1"/>
  <c r="Y1" i="4"/>
  <c r="AB5" i="3"/>
  <c r="AA2" i="3"/>
  <c r="AB61" i="6"/>
  <c r="AK11" i="7"/>
  <c r="AE31" i="1" s="1"/>
  <c r="AC6" i="4"/>
  <c r="AE38" i="3"/>
  <c r="AE19" i="3"/>
  <c r="AE21" i="3" s="1"/>
  <c r="S10" i="4"/>
  <c r="R12" i="4"/>
  <c r="R22" i="4"/>
  <c r="R25" i="4" s="1"/>
  <c r="R26" i="4" s="1"/>
  <c r="AA104" i="6"/>
  <c r="AA105" i="6" s="1"/>
  <c r="AA108" i="6" s="1"/>
  <c r="AB79" i="6"/>
  <c r="AA80" i="6"/>
  <c r="AA95" i="6" s="1"/>
  <c r="AB70" i="5"/>
  <c r="AB71" i="5" s="1"/>
  <c r="AB72" i="5" s="1"/>
  <c r="AD80" i="5"/>
  <c r="AC82" i="5"/>
  <c r="AC84" i="5" s="1"/>
  <c r="AD118" i="5"/>
  <c r="AC119" i="5"/>
  <c r="AC120" i="5" s="1"/>
  <c r="AC121" i="5" s="1"/>
  <c r="AE32" i="6"/>
  <c r="AD33" i="6"/>
  <c r="AD34" i="6" s="1"/>
  <c r="AD35" i="6" s="1"/>
  <c r="AY112" i="5"/>
  <c r="BA87" i="5"/>
  <c r="AB113" i="5"/>
  <c r="AB114" i="5" s="1"/>
  <c r="AC88" i="5"/>
  <c r="AC89" i="5" s="1"/>
  <c r="AF15" i="5"/>
  <c r="AE16" i="5"/>
  <c r="AE41" i="5" s="1"/>
  <c r="AD30" i="3"/>
  <c r="AD107" i="1"/>
  <c r="AD26" i="3"/>
  <c r="AD103" i="6"/>
  <c r="AE78" i="6"/>
  <c r="AD69" i="5"/>
  <c r="AD73" i="6"/>
  <c r="AD75" i="6" s="1"/>
  <c r="AE71" i="6"/>
  <c r="AA62" i="6"/>
  <c r="AA63" i="6" s="1"/>
  <c r="AA64" i="6" s="1"/>
  <c r="AG99" i="5"/>
  <c r="AD134" i="6" l="1"/>
  <c r="AD126" i="6"/>
  <c r="AE120" i="6"/>
  <c r="AE119" i="6"/>
  <c r="AE127" i="6" s="1"/>
  <c r="AE129" i="6" s="1"/>
  <c r="AE130" i="6" s="1"/>
  <c r="AE122" i="6"/>
  <c r="AE123" i="6" s="1"/>
  <c r="AE124" i="6" s="1"/>
  <c r="AF121" i="6"/>
  <c r="AH131" i="6"/>
  <c r="AG132" i="6"/>
  <c r="AG133" i="6" s="1"/>
  <c r="AG136" i="6"/>
  <c r="AF137" i="6"/>
  <c r="AF118" i="6"/>
  <c r="AG116" i="6"/>
  <c r="AI113" i="6"/>
  <c r="AH115" i="6"/>
  <c r="AE9" i="6"/>
  <c r="AF8" i="6"/>
  <c r="AE45" i="6"/>
  <c r="AF31" i="6"/>
  <c r="AF37" i="6" s="1"/>
  <c r="AF30" i="6"/>
  <c r="AF38" i="6" s="1"/>
  <c r="AF40" i="6" s="1"/>
  <c r="AF41" i="6" s="1"/>
  <c r="AD19" i="6"/>
  <c r="AD22" i="6" s="1"/>
  <c r="AD23" i="6" s="1"/>
  <c r="AD76" i="6"/>
  <c r="AD77" i="6" s="1"/>
  <c r="AD101" i="6"/>
  <c r="AH27" i="6"/>
  <c r="AG29" i="6"/>
  <c r="Y154" i="5"/>
  <c r="AA13" i="1"/>
  <c r="Z14" i="1"/>
  <c r="AD59" i="5"/>
  <c r="AD56" i="5"/>
  <c r="AE54" i="5"/>
  <c r="AC63" i="5"/>
  <c r="AC64" i="5" s="1"/>
  <c r="AG33" i="5"/>
  <c r="AF34" i="5"/>
  <c r="AF38" i="5" s="1"/>
  <c r="AH50" i="5"/>
  <c r="AG51" i="5"/>
  <c r="AG52" i="5" s="1"/>
  <c r="AD42" i="5"/>
  <c r="AD43" i="5" s="1"/>
  <c r="AD45" i="5" s="1"/>
  <c r="T47" i="3"/>
  <c r="AF35" i="5"/>
  <c r="AE36" i="5"/>
  <c r="AE39" i="5" s="1"/>
  <c r="AK40" i="5"/>
  <c r="AD58" i="5"/>
  <c r="AD60" i="5" s="1"/>
  <c r="AD46" i="5" s="1"/>
  <c r="AD48" i="5" s="1"/>
  <c r="AD49" i="5" s="1"/>
  <c r="AD53" i="5" s="1"/>
  <c r="AD90" i="5" s="1"/>
  <c r="AE57" i="5"/>
  <c r="AD61" i="5"/>
  <c r="AD62" i="5" s="1"/>
  <c r="AD63" i="5" s="1"/>
  <c r="AC152" i="5"/>
  <c r="AD29" i="5"/>
  <c r="AD31" i="5" s="1"/>
  <c r="AD32" i="5" s="1"/>
  <c r="AD150" i="5"/>
  <c r="AD151" i="5" s="1"/>
  <c r="AE146" i="5"/>
  <c r="AD147" i="5"/>
  <c r="AD149" i="5" s="1"/>
  <c r="AD135" i="5" s="1"/>
  <c r="AD137" i="5" s="1"/>
  <c r="AD138" i="5" s="1"/>
  <c r="AD142" i="5" s="1"/>
  <c r="AD91" i="5" s="1"/>
  <c r="P73" i="3"/>
  <c r="P79" i="3" s="1"/>
  <c r="U23" i="1"/>
  <c r="AE130" i="5"/>
  <c r="T36" i="1"/>
  <c r="P70" i="3"/>
  <c r="P76" i="3" s="1"/>
  <c r="AF123" i="5"/>
  <c r="AF127" i="5" s="1"/>
  <c r="AG122" i="5"/>
  <c r="P71" i="3"/>
  <c r="P77" i="3" s="1"/>
  <c r="P72" i="3"/>
  <c r="P78" i="3" s="1"/>
  <c r="AD131" i="5"/>
  <c r="AD132" i="5" s="1"/>
  <c r="AD134" i="5" s="1"/>
  <c r="M40" i="3"/>
  <c r="N36" i="3" s="1"/>
  <c r="N39" i="3" s="1"/>
  <c r="AG129" i="5"/>
  <c r="AC153" i="5"/>
  <c r="AD148" i="5"/>
  <c r="AE143" i="5"/>
  <c r="AD145" i="5"/>
  <c r="AF139" i="5"/>
  <c r="AE140" i="5"/>
  <c r="AE141" i="5" s="1"/>
  <c r="AE125" i="5"/>
  <c r="AE128" i="5" s="1"/>
  <c r="AF124" i="5"/>
  <c r="R50" i="3"/>
  <c r="R29" i="3" s="1"/>
  <c r="R58" i="3"/>
  <c r="R59" i="3"/>
  <c r="Q58" i="3"/>
  <c r="Q50" i="3"/>
  <c r="Q59" i="3"/>
  <c r="R35" i="1"/>
  <c r="R37" i="1" s="1"/>
  <c r="L23" i="4"/>
  <c r="L24" i="4" s="1"/>
  <c r="M9" i="4"/>
  <c r="Z115" i="5"/>
  <c r="Z116" i="5" s="1"/>
  <c r="Z117" i="5" s="1"/>
  <c r="Z104" i="5"/>
  <c r="O27" i="3"/>
  <c r="P24" i="3" s="1"/>
  <c r="O37" i="3"/>
  <c r="T17" i="1"/>
  <c r="AG19" i="5"/>
  <c r="AF22" i="5"/>
  <c r="Y11" i="4"/>
  <c r="AE110" i="5"/>
  <c r="AE111" i="5" s="1"/>
  <c r="AE26" i="5"/>
  <c r="AE85" i="5"/>
  <c r="AE86" i="5" s="1"/>
  <c r="AE18" i="5"/>
  <c r="AE23" i="5" s="1"/>
  <c r="AE24" i="5" s="1"/>
  <c r="AC113" i="5"/>
  <c r="AC114" i="5" s="1"/>
  <c r="AD88" i="5"/>
  <c r="AE118" i="5"/>
  <c r="AD119" i="5"/>
  <c r="AD120" i="5" s="1"/>
  <c r="AD121" i="5" s="1"/>
  <c r="AG17" i="3"/>
  <c r="AG16" i="3"/>
  <c r="AH4" i="3"/>
  <c r="AE69" i="5"/>
  <c r="BB87" i="5"/>
  <c r="AZ112" i="5"/>
  <c r="AF98" i="6"/>
  <c r="AF100" i="6" s="1"/>
  <c r="AG96" i="6"/>
  <c r="AG42" i="6"/>
  <c r="AF43" i="6"/>
  <c r="AF44" i="6" s="1"/>
  <c r="AH93" i="5"/>
  <c r="AG94" i="5"/>
  <c r="AG15" i="5"/>
  <c r="AF16" i="5"/>
  <c r="AF41" i="5" s="1"/>
  <c r="Z1" i="4"/>
  <c r="AC5" i="3"/>
  <c r="AB2" i="3"/>
  <c r="AE33" i="6"/>
  <c r="AE34" i="6" s="1"/>
  <c r="AE35" i="6" s="1"/>
  <c r="AF32" i="6"/>
  <c r="AD101" i="5"/>
  <c r="AD102" i="5" s="1"/>
  <c r="AD103" i="5" s="1"/>
  <c r="AE95" i="5"/>
  <c r="AD96" i="5"/>
  <c r="AD97" i="5" s="1"/>
  <c r="AA65" i="6"/>
  <c r="AA66" i="6" s="1"/>
  <c r="AA67" i="6" s="1"/>
  <c r="U22" i="1" s="1"/>
  <c r="T10" i="4"/>
  <c r="S12" i="4"/>
  <c r="S22" i="4"/>
  <c r="S25" i="4" s="1"/>
  <c r="S26" i="4" s="1"/>
  <c r="AG109" i="6"/>
  <c r="AF110" i="6"/>
  <c r="AF111" i="6" s="1"/>
  <c r="AF112" i="6" s="1"/>
  <c r="AG66" i="5"/>
  <c r="AF68" i="5"/>
  <c r="AF67" i="5"/>
  <c r="AI84" i="6"/>
  <c r="AH85" i="6"/>
  <c r="AB73" i="5"/>
  <c r="AB74" i="5" s="1"/>
  <c r="AB75" i="5" s="1"/>
  <c r="AB76" i="5" s="1"/>
  <c r="AB77" i="5" s="1"/>
  <c r="AC61" i="6"/>
  <c r="AC62" i="6"/>
  <c r="AC63" i="6" s="1"/>
  <c r="AH30" i="5"/>
  <c r="AC70" i="5"/>
  <c r="AC71" i="5" s="1"/>
  <c r="AC72" i="5" s="1"/>
  <c r="AE81" i="6"/>
  <c r="AH99" i="5"/>
  <c r="AE103" i="6"/>
  <c r="AF78" i="6"/>
  <c r="AD106" i="6"/>
  <c r="AD107" i="6" s="1"/>
  <c r="AD82" i="6"/>
  <c r="AB104" i="6"/>
  <c r="AB105" i="6" s="1"/>
  <c r="AB108" i="6" s="1"/>
  <c r="AC79" i="6"/>
  <c r="AB80" i="6"/>
  <c r="AB95" i="6" s="1"/>
  <c r="AL11" i="7"/>
  <c r="AF31" i="1" s="1"/>
  <c r="AF38" i="3"/>
  <c r="AD6" i="4"/>
  <c r="AF19" i="3"/>
  <c r="AF21" i="3" s="1"/>
  <c r="BC87" i="5"/>
  <c r="BA112" i="5"/>
  <c r="AD82" i="5"/>
  <c r="AD84" i="5" s="1"/>
  <c r="AE80" i="5"/>
  <c r="AE30" i="3"/>
  <c r="AE107" i="1"/>
  <c r="AE26" i="3"/>
  <c r="AE73" i="6"/>
  <c r="AE75" i="6" s="1"/>
  <c r="AF71" i="6"/>
  <c r="AB62" i="6"/>
  <c r="AB63" i="6" s="1"/>
  <c r="AB64" i="6" s="1"/>
  <c r="AF86" i="6"/>
  <c r="AE87" i="6"/>
  <c r="AE88" i="6" s="1"/>
  <c r="AE92" i="6"/>
  <c r="AE93" i="6" s="1"/>
  <c r="AE94" i="6" s="1"/>
  <c r="AE143" i="6" s="1"/>
  <c r="AH105" i="5"/>
  <c r="AG107" i="5"/>
  <c r="AG109" i="5" s="1"/>
  <c r="AD48" i="6"/>
  <c r="AD54" i="6" s="1"/>
  <c r="AD55" i="6" s="1"/>
  <c r="AE47" i="6"/>
  <c r="AE126" i="6" l="1"/>
  <c r="AE134" i="6"/>
  <c r="AE144" i="6" s="1"/>
  <c r="AD144" i="6"/>
  <c r="AH132" i="6"/>
  <c r="AH133" i="6" s="1"/>
  <c r="AI131" i="6"/>
  <c r="AF119" i="6"/>
  <c r="AF127" i="6" s="1"/>
  <c r="AF129" i="6" s="1"/>
  <c r="AF130" i="6" s="1"/>
  <c r="AF120" i="6"/>
  <c r="AF126" i="6" s="1"/>
  <c r="AG137" i="6"/>
  <c r="AH136" i="6"/>
  <c r="AI115" i="6"/>
  <c r="AJ113" i="6"/>
  <c r="AF122" i="6"/>
  <c r="AF123" i="6" s="1"/>
  <c r="AF124" i="6" s="1"/>
  <c r="AG121" i="6"/>
  <c r="AG118" i="6"/>
  <c r="AH116" i="6"/>
  <c r="AG30" i="6"/>
  <c r="AG38" i="6" s="1"/>
  <c r="AG40" i="6" s="1"/>
  <c r="AG41" i="6" s="1"/>
  <c r="AG31" i="6"/>
  <c r="AG37" i="6" s="1"/>
  <c r="AG8" i="6"/>
  <c r="AF9" i="6"/>
  <c r="AF45" i="6"/>
  <c r="AF81" i="6" s="1"/>
  <c r="AI27" i="6"/>
  <c r="AH29" i="6"/>
  <c r="AE101" i="6"/>
  <c r="AE19" i="6"/>
  <c r="AE22" i="6" s="1"/>
  <c r="AE23" i="6" s="1"/>
  <c r="AE76" i="6"/>
  <c r="AE77" i="6" s="1"/>
  <c r="Z154" i="5"/>
  <c r="AB13" i="1"/>
  <c r="AA14" i="1"/>
  <c r="AE42" i="5"/>
  <c r="AE43" i="5" s="1"/>
  <c r="AE45" i="5" s="1"/>
  <c r="AG34" i="5"/>
  <c r="AG38" i="5" s="1"/>
  <c r="AH33" i="5"/>
  <c r="AF54" i="5"/>
  <c r="AE56" i="5"/>
  <c r="AE59" i="5"/>
  <c r="AD64" i="5"/>
  <c r="AF36" i="5"/>
  <c r="AF39" i="5" s="1"/>
  <c r="AG35" i="5"/>
  <c r="AL40" i="5"/>
  <c r="AF42" i="5"/>
  <c r="AF43" i="5" s="1"/>
  <c r="AE58" i="5"/>
  <c r="AE60" i="5" s="1"/>
  <c r="AE46" i="5" s="1"/>
  <c r="AE48" i="5" s="1"/>
  <c r="AE49" i="5" s="1"/>
  <c r="AE53" i="5" s="1"/>
  <c r="AE90" i="5" s="1"/>
  <c r="AF57" i="5"/>
  <c r="AE61" i="5"/>
  <c r="AE62" i="5" s="1"/>
  <c r="AH51" i="5"/>
  <c r="AH52" i="5" s="1"/>
  <c r="AI50" i="5"/>
  <c r="U47" i="3"/>
  <c r="AE29" i="5"/>
  <c r="AE31" i="5" s="1"/>
  <c r="AE147" i="5"/>
  <c r="AE149" i="5" s="1"/>
  <c r="AE135" i="5" s="1"/>
  <c r="AE137" i="5" s="1"/>
  <c r="AE138" i="5" s="1"/>
  <c r="AE142" i="5" s="1"/>
  <c r="AE91" i="5" s="1"/>
  <c r="AF146" i="5"/>
  <c r="AE150" i="5"/>
  <c r="AE151" i="5" s="1"/>
  <c r="AF130" i="5"/>
  <c r="R57" i="3"/>
  <c r="R72" i="3" s="1"/>
  <c r="R78" i="3" s="1"/>
  <c r="R31" i="3"/>
  <c r="AD152" i="5"/>
  <c r="AD153" i="5" s="1"/>
  <c r="AG123" i="5"/>
  <c r="AG127" i="5" s="1"/>
  <c r="AH122" i="5"/>
  <c r="T18" i="1"/>
  <c r="AE148" i="5"/>
  <c r="AF143" i="5"/>
  <c r="AE145" i="5"/>
  <c r="AE131" i="5"/>
  <c r="AE132" i="5" s="1"/>
  <c r="AE134" i="5" s="1"/>
  <c r="AG139" i="5"/>
  <c r="AF140" i="5"/>
  <c r="AF141" i="5" s="1"/>
  <c r="AH129" i="5"/>
  <c r="AF125" i="5"/>
  <c r="AF128" i="5" s="1"/>
  <c r="AG124" i="5"/>
  <c r="R106" i="1"/>
  <c r="R25" i="3"/>
  <c r="P2" i="4" s="1"/>
  <c r="N40" i="3"/>
  <c r="O36" i="3" s="1"/>
  <c r="O39" i="3" s="1"/>
  <c r="AA115" i="5"/>
  <c r="AA116" i="5" s="1"/>
  <c r="AA117" i="5" s="1"/>
  <c r="AA104" i="5"/>
  <c r="AA154" i="5" s="1"/>
  <c r="S18" i="1"/>
  <c r="S35" i="1" s="1"/>
  <c r="S37" i="1" s="1"/>
  <c r="S46" i="3"/>
  <c r="S48" i="3" s="1"/>
  <c r="U17" i="1"/>
  <c r="M23" i="4"/>
  <c r="M24" i="4" s="1"/>
  <c r="N9" i="4"/>
  <c r="P37" i="3"/>
  <c r="P27" i="3"/>
  <c r="Q24" i="3" s="1"/>
  <c r="Q29" i="3"/>
  <c r="Q57" i="3"/>
  <c r="Q106" i="1"/>
  <c r="Q31" i="3"/>
  <c r="Q32" i="3" s="1"/>
  <c r="Q25" i="3"/>
  <c r="O2" i="4" s="1"/>
  <c r="V23" i="1"/>
  <c r="AH19" i="5"/>
  <c r="AG22" i="5"/>
  <c r="AC64" i="6"/>
  <c r="AC65" i="6" s="1"/>
  <c r="AC66" i="6" s="1"/>
  <c r="AC67" i="6" s="1"/>
  <c r="W22" i="1" s="1"/>
  <c r="AB65" i="6"/>
  <c r="AB66" i="6" s="1"/>
  <c r="AB67" i="6" s="1"/>
  <c r="V22" i="1" s="1"/>
  <c r="AA1" i="4"/>
  <c r="AD5" i="3"/>
  <c r="AC2" i="3"/>
  <c r="T12" i="4"/>
  <c r="U10" i="4"/>
  <c r="T22" i="4"/>
  <c r="T25" i="4" s="1"/>
  <c r="T26" i="4" s="1"/>
  <c r="Z11" i="4"/>
  <c r="AF30" i="3"/>
  <c r="AF26" i="3"/>
  <c r="AF107" i="1"/>
  <c r="AH42" i="6"/>
  <c r="AG43" i="6"/>
  <c r="AG44" i="6" s="1"/>
  <c r="AG45" i="6" s="1"/>
  <c r="AD113" i="5"/>
  <c r="AD114" i="5" s="1"/>
  <c r="AE88" i="5"/>
  <c r="AE89" i="5" s="1"/>
  <c r="AF92" i="6"/>
  <c r="AF93" i="6" s="1"/>
  <c r="AF94" i="6" s="1"/>
  <c r="AF143" i="6" s="1"/>
  <c r="AG86" i="6"/>
  <c r="AF87" i="6"/>
  <c r="AF88" i="6" s="1"/>
  <c r="AI99" i="5"/>
  <c r="AI30" i="5"/>
  <c r="AG110" i="6"/>
  <c r="AG111" i="6" s="1"/>
  <c r="AG112" i="6" s="1"/>
  <c r="AH109" i="6"/>
  <c r="AM11" i="7"/>
  <c r="AG31" i="1" s="1"/>
  <c r="AE6" i="4"/>
  <c r="AG38" i="3"/>
  <c r="AG19" i="3"/>
  <c r="AG21" i="3" s="1"/>
  <c r="AD70" i="5"/>
  <c r="AD71" i="5" s="1"/>
  <c r="AD72" i="5" s="1"/>
  <c r="AE48" i="6"/>
  <c r="AE54" i="6" s="1"/>
  <c r="AE55" i="6" s="1"/>
  <c r="AF47" i="6"/>
  <c r="AD61" i="6"/>
  <c r="AD62" i="6" s="1"/>
  <c r="AD63" i="6" s="1"/>
  <c r="AH15" i="5"/>
  <c r="AG16" i="5"/>
  <c r="AG41" i="5" s="1"/>
  <c r="AE101" i="5"/>
  <c r="AE102" i="5" s="1"/>
  <c r="AE103" i="5" s="1"/>
  <c r="AE96" i="5"/>
  <c r="AE97" i="5" s="1"/>
  <c r="AF95" i="5"/>
  <c r="AC73" i="5"/>
  <c r="AG67" i="5"/>
  <c r="AG68" i="5"/>
  <c r="AH66" i="5"/>
  <c r="AI105" i="5"/>
  <c r="AH107" i="5"/>
  <c r="AH109" i="5" s="1"/>
  <c r="AD79" i="6"/>
  <c r="AC104" i="6"/>
  <c r="AC105" i="6" s="1"/>
  <c r="AC108" i="6" s="1"/>
  <c r="AC80" i="6"/>
  <c r="AC95" i="6" s="1"/>
  <c r="AE106" i="6"/>
  <c r="AE107" i="6" s="1"/>
  <c r="AE82" i="6"/>
  <c r="AD89" i="5"/>
  <c r="AJ84" i="6"/>
  <c r="AI85" i="6"/>
  <c r="AF110" i="5"/>
  <c r="AF111" i="5" s="1"/>
  <c r="AF26" i="5"/>
  <c r="AF85" i="5"/>
  <c r="AF86" i="5" s="1"/>
  <c r="AF18" i="5"/>
  <c r="AF23" i="5" s="1"/>
  <c r="AF24" i="5" s="1"/>
  <c r="AG98" i="6"/>
  <c r="AG100" i="6" s="1"/>
  <c r="AH96" i="6"/>
  <c r="AF69" i="5"/>
  <c r="AF73" i="6"/>
  <c r="AF75" i="6" s="1"/>
  <c r="AG71" i="6"/>
  <c r="AE82" i="5"/>
  <c r="AE84" i="5" s="1"/>
  <c r="AF80" i="5"/>
  <c r="AI93" i="5"/>
  <c r="AH94" i="5"/>
  <c r="U36" i="1"/>
  <c r="BB112" i="5"/>
  <c r="BD87" i="5"/>
  <c r="BC112" i="5"/>
  <c r="BE87" i="5"/>
  <c r="AF103" i="6"/>
  <c r="AG78" i="6"/>
  <c r="AG32" i="6"/>
  <c r="AF33" i="6"/>
  <c r="AF34" i="6" s="1"/>
  <c r="AF35" i="6" s="1"/>
  <c r="AH16" i="3"/>
  <c r="AI4" i="3"/>
  <c r="AH17" i="3"/>
  <c r="AE119" i="5"/>
  <c r="AE120" i="5" s="1"/>
  <c r="AE121" i="5" s="1"/>
  <c r="AF118" i="5"/>
  <c r="AE32" i="5"/>
  <c r="AF134" i="6" l="1"/>
  <c r="AH137" i="6"/>
  <c r="AI136" i="6"/>
  <c r="AI116" i="6"/>
  <c r="AH118" i="6"/>
  <c r="AG119" i="6"/>
  <c r="AG127" i="6" s="1"/>
  <c r="AG129" i="6" s="1"/>
  <c r="AG130" i="6" s="1"/>
  <c r="AG134" i="6" s="1"/>
  <c r="AG120" i="6"/>
  <c r="AG126" i="6" s="1"/>
  <c r="AF144" i="6"/>
  <c r="AH121" i="6"/>
  <c r="AG122" i="6"/>
  <c r="AG123" i="6" s="1"/>
  <c r="AG124" i="6" s="1"/>
  <c r="AJ131" i="6"/>
  <c r="AI132" i="6"/>
  <c r="AI133" i="6" s="1"/>
  <c r="AJ115" i="6"/>
  <c r="AK113" i="6"/>
  <c r="AH8" i="6"/>
  <c r="AG9" i="6"/>
  <c r="AH30" i="6"/>
  <c r="AH38" i="6" s="1"/>
  <c r="AH40" i="6" s="1"/>
  <c r="AH41" i="6" s="1"/>
  <c r="AH31" i="6"/>
  <c r="AH37" i="6" s="1"/>
  <c r="AJ27" i="6"/>
  <c r="AI29" i="6"/>
  <c r="AF101" i="6"/>
  <c r="AF76" i="6"/>
  <c r="AF77" i="6" s="1"/>
  <c r="AF19" i="6"/>
  <c r="AF22" i="6" s="1"/>
  <c r="AF23" i="6" s="1"/>
  <c r="AC13" i="1"/>
  <c r="AB14" i="1"/>
  <c r="AF59" i="5"/>
  <c r="AG54" i="5"/>
  <c r="AF56" i="5"/>
  <c r="AE63" i="5"/>
  <c r="AE64" i="5" s="1"/>
  <c r="AI33" i="5"/>
  <c r="AH34" i="5"/>
  <c r="AH38" i="5" s="1"/>
  <c r="AM40" i="5"/>
  <c r="AF45" i="5"/>
  <c r="AF58" i="5"/>
  <c r="AF60" i="5" s="1"/>
  <c r="AF46" i="5" s="1"/>
  <c r="AF48" i="5" s="1"/>
  <c r="AF49" i="5" s="1"/>
  <c r="AF53" i="5" s="1"/>
  <c r="AF90" i="5" s="1"/>
  <c r="AF61" i="5"/>
  <c r="AF62" i="5" s="1"/>
  <c r="AF63" i="5" s="1"/>
  <c r="AG57" i="5"/>
  <c r="AG36" i="5"/>
  <c r="AG39" i="5" s="1"/>
  <c r="AH35" i="5"/>
  <c r="AI51" i="5"/>
  <c r="AI52" i="5" s="1"/>
  <c r="AJ50" i="5"/>
  <c r="V47" i="3"/>
  <c r="R73" i="3"/>
  <c r="R79" i="3" s="1"/>
  <c r="AE152" i="5"/>
  <c r="AE153" i="5" s="1"/>
  <c r="AF29" i="5"/>
  <c r="AF31" i="5" s="1"/>
  <c r="AF32" i="5" s="1"/>
  <c r="AG146" i="5"/>
  <c r="AF150" i="5"/>
  <c r="AF151" i="5" s="1"/>
  <c r="AF147" i="5"/>
  <c r="AF149" i="5" s="1"/>
  <c r="AF135" i="5" s="1"/>
  <c r="AF137" i="5" s="1"/>
  <c r="AF138" i="5" s="1"/>
  <c r="AF142" i="5" s="1"/>
  <c r="AF91" i="5" s="1"/>
  <c r="R32" i="3"/>
  <c r="R70" i="3"/>
  <c r="R76" i="3" s="1"/>
  <c r="R71" i="3"/>
  <c r="R77" i="3" s="1"/>
  <c r="R69" i="3"/>
  <c r="R75" i="3" s="1"/>
  <c r="AG130" i="5"/>
  <c r="T46" i="3"/>
  <c r="T48" i="3" s="1"/>
  <c r="T59" i="3" s="1"/>
  <c r="AI122" i="5"/>
  <c r="AH123" i="5"/>
  <c r="AH127" i="5" s="1"/>
  <c r="AI129" i="5"/>
  <c r="AH139" i="5"/>
  <c r="AG140" i="5"/>
  <c r="AG141" i="5" s="1"/>
  <c r="AF148" i="5"/>
  <c r="AF145" i="5"/>
  <c r="AG143" i="5"/>
  <c r="AG125" i="5"/>
  <c r="AG128" i="5" s="1"/>
  <c r="AH124" i="5"/>
  <c r="AF131" i="5"/>
  <c r="AF132" i="5" s="1"/>
  <c r="AF134" i="5" s="1"/>
  <c r="AB115" i="5"/>
  <c r="AB116" i="5" s="1"/>
  <c r="AB117" i="5" s="1"/>
  <c r="AB104" i="5"/>
  <c r="AB154" i="5" s="1"/>
  <c r="Q70" i="3"/>
  <c r="Q76" i="3" s="1"/>
  <c r="Q71" i="3"/>
  <c r="Q77" i="3" s="1"/>
  <c r="Q72" i="3"/>
  <c r="Q78" i="3" s="1"/>
  <c r="Q73" i="3"/>
  <c r="Q79" i="3" s="1"/>
  <c r="Q69" i="3"/>
  <c r="Q75" i="3" s="1"/>
  <c r="Q37" i="3"/>
  <c r="Q27" i="3"/>
  <c r="R24" i="3" s="1"/>
  <c r="O40" i="3"/>
  <c r="P36" i="3" s="1"/>
  <c r="P39" i="3" s="1"/>
  <c r="P40" i="3" s="1"/>
  <c r="Q36" i="3" s="1"/>
  <c r="AI19" i="5"/>
  <c r="AH22" i="5"/>
  <c r="T35" i="1"/>
  <c r="T37" i="1" s="1"/>
  <c r="S59" i="3"/>
  <c r="S50" i="3"/>
  <c r="S58" i="3"/>
  <c r="U18" i="1"/>
  <c r="U35" i="1" s="1"/>
  <c r="U37" i="1" s="1"/>
  <c r="U46" i="3"/>
  <c r="U48" i="3" s="1"/>
  <c r="AG69" i="5"/>
  <c r="O9" i="4"/>
  <c r="N23" i="4"/>
  <c r="N24" i="4" s="1"/>
  <c r="V17" i="1"/>
  <c r="AG103" i="6"/>
  <c r="AH78" i="6"/>
  <c r="AJ93" i="5"/>
  <c r="AI94" i="5"/>
  <c r="V36" i="1"/>
  <c r="AF106" i="6"/>
  <c r="AF107" i="6" s="1"/>
  <c r="AF82" i="6"/>
  <c r="AF82" i="5"/>
  <c r="AF84" i="5" s="1"/>
  <c r="AG80" i="5"/>
  <c r="AE70" i="5"/>
  <c r="AE71" i="5" s="1"/>
  <c r="AE72" i="5" s="1"/>
  <c r="AH110" i="6"/>
  <c r="AH111" i="6" s="1"/>
  <c r="AH112" i="6" s="1"/>
  <c r="AI109" i="6"/>
  <c r="AG81" i="6"/>
  <c r="AD73" i="5"/>
  <c r="AD74" i="5" s="1"/>
  <c r="AD75" i="5" s="1"/>
  <c r="AD76" i="5" s="1"/>
  <c r="AD77" i="5" s="1"/>
  <c r="BE112" i="5"/>
  <c r="BG87" i="5"/>
  <c r="AD64" i="6"/>
  <c r="AD65" i="6"/>
  <c r="AD66" i="6" s="1"/>
  <c r="AD67" i="6" s="1"/>
  <c r="X22" i="1" s="1"/>
  <c r="AF119" i="5"/>
  <c r="AF120" i="5" s="1"/>
  <c r="AF121" i="5" s="1"/>
  <c r="AG118" i="5"/>
  <c r="AH32" i="6"/>
  <c r="AG33" i="6"/>
  <c r="AG34" i="6" s="1"/>
  <c r="AG35" i="6" s="1"/>
  <c r="BD112" i="5"/>
  <c r="BF87" i="5"/>
  <c r="AG73" i="6"/>
  <c r="AG75" i="6" s="1"/>
  <c r="AH71" i="6"/>
  <c r="AH98" i="6"/>
  <c r="AH100" i="6" s="1"/>
  <c r="AI96" i="6"/>
  <c r="AD104" i="6"/>
  <c r="AD105" i="6" s="1"/>
  <c r="AD108" i="6" s="1"/>
  <c r="AE79" i="6"/>
  <c r="AD80" i="6"/>
  <c r="AD95" i="6" s="1"/>
  <c r="AF101" i="5"/>
  <c r="AF102" i="5" s="1"/>
  <c r="AF103" i="5" s="1"/>
  <c r="AG95" i="5"/>
  <c r="AF96" i="5"/>
  <c r="AF97" i="5" s="1"/>
  <c r="AJ99" i="5"/>
  <c r="AH68" i="5"/>
  <c r="AH67" i="5"/>
  <c r="AI66" i="5"/>
  <c r="AG110" i="5"/>
  <c r="AG111" i="5" s="1"/>
  <c r="AG85" i="5"/>
  <c r="AG86" i="5" s="1"/>
  <c r="AG26" i="5"/>
  <c r="AG18" i="5"/>
  <c r="AG23" i="5" s="1"/>
  <c r="AG24" i="5" s="1"/>
  <c r="AJ30" i="5"/>
  <c r="AH16" i="5"/>
  <c r="AH41" i="5" s="1"/>
  <c r="AI15" i="5"/>
  <c r="AG26" i="3"/>
  <c r="AG30" i="3"/>
  <c r="AG107" i="1"/>
  <c r="AG92" i="6"/>
  <c r="AG93" i="6" s="1"/>
  <c r="AG94" i="6" s="1"/>
  <c r="AG143" i="6" s="1"/>
  <c r="AH86" i="6"/>
  <c r="AG87" i="6"/>
  <c r="AG88" i="6" s="1"/>
  <c r="AA11" i="4"/>
  <c r="AJ85" i="6"/>
  <c r="AK84" i="6"/>
  <c r="AF48" i="6"/>
  <c r="AF54" i="6" s="1"/>
  <c r="AF55" i="6" s="1"/>
  <c r="AG47" i="6"/>
  <c r="AI42" i="6"/>
  <c r="AH43" i="6"/>
  <c r="AH44" i="6" s="1"/>
  <c r="AH45" i="6" s="1"/>
  <c r="U12" i="4"/>
  <c r="V10" i="4"/>
  <c r="U22" i="4"/>
  <c r="U25" i="4" s="1"/>
  <c r="U26" i="4" s="1"/>
  <c r="AI107" i="5"/>
  <c r="AI109" i="5" s="1"/>
  <c r="AJ105" i="5"/>
  <c r="AB1" i="4"/>
  <c r="AD2" i="3"/>
  <c r="AE5" i="3"/>
  <c r="AJ4" i="3"/>
  <c r="AI16" i="3"/>
  <c r="AI17" i="3"/>
  <c r="AN11" i="7"/>
  <c r="AH31" i="1" s="1"/>
  <c r="AF6" i="4"/>
  <c r="AH19" i="3"/>
  <c r="AH21" i="3" s="1"/>
  <c r="AH38" i="3"/>
  <c r="AC74" i="5"/>
  <c r="AC75" i="5" s="1"/>
  <c r="AC76" i="5" s="1"/>
  <c r="AC77" i="5" s="1"/>
  <c r="AE61" i="6"/>
  <c r="AE113" i="5"/>
  <c r="AE114" i="5" s="1"/>
  <c r="AF88" i="5"/>
  <c r="AF89" i="5" s="1"/>
  <c r="AH119" i="6" l="1"/>
  <c r="AH127" i="6" s="1"/>
  <c r="AH129" i="6" s="1"/>
  <c r="AH130" i="6" s="1"/>
  <c r="AH120" i="6"/>
  <c r="AH126" i="6" s="1"/>
  <c r="AI121" i="6"/>
  <c r="AH122" i="6"/>
  <c r="AH123" i="6" s="1"/>
  <c r="AH124" i="6" s="1"/>
  <c r="AK115" i="6"/>
  <c r="AL113" i="6"/>
  <c r="AG144" i="6"/>
  <c r="AJ116" i="6"/>
  <c r="AI118" i="6"/>
  <c r="AK131" i="6"/>
  <c r="AJ132" i="6"/>
  <c r="AJ133" i="6" s="1"/>
  <c r="AI137" i="6"/>
  <c r="AJ136" i="6"/>
  <c r="AK27" i="6"/>
  <c r="AJ29" i="6"/>
  <c r="AG19" i="6"/>
  <c r="AG22" i="6" s="1"/>
  <c r="AG23" i="6" s="1"/>
  <c r="AG101" i="6"/>
  <c r="AG76" i="6"/>
  <c r="AG77" i="6" s="1"/>
  <c r="AI31" i="6"/>
  <c r="AI37" i="6" s="1"/>
  <c r="AI30" i="6"/>
  <c r="AI38" i="6" s="1"/>
  <c r="AI40" i="6" s="1"/>
  <c r="AI41" i="6" s="1"/>
  <c r="AH9" i="6"/>
  <c r="AI8" i="6"/>
  <c r="AD13" i="1"/>
  <c r="AC14" i="1"/>
  <c r="AF64" i="5"/>
  <c r="AG56" i="5"/>
  <c r="AH54" i="5"/>
  <c r="AG59" i="5"/>
  <c r="AI34" i="5"/>
  <c r="AI38" i="5" s="1"/>
  <c r="AJ33" i="5"/>
  <c r="AN40" i="5"/>
  <c r="AK50" i="5"/>
  <c r="AJ51" i="5"/>
  <c r="AJ52" i="5" s="1"/>
  <c r="AG61" i="5"/>
  <c r="AG62" i="5" s="1"/>
  <c r="AH57" i="5"/>
  <c r="AG58" i="5"/>
  <c r="AG60" i="5" s="1"/>
  <c r="AG46" i="5" s="1"/>
  <c r="AG48" i="5" s="1"/>
  <c r="AG49" i="5" s="1"/>
  <c r="AG53" i="5" s="1"/>
  <c r="AG90" i="5" s="1"/>
  <c r="AI35" i="5"/>
  <c r="AH36" i="5"/>
  <c r="AH39" i="5" s="1"/>
  <c r="AG42" i="5"/>
  <c r="AG43" i="5" s="1"/>
  <c r="AG45" i="5" s="1"/>
  <c r="AF152" i="5"/>
  <c r="T58" i="3"/>
  <c r="AG29" i="5"/>
  <c r="AG31" i="5" s="1"/>
  <c r="AG32" i="5" s="1"/>
  <c r="AG150" i="5"/>
  <c r="AG151" i="5" s="1"/>
  <c r="AG147" i="5"/>
  <c r="AG149" i="5" s="1"/>
  <c r="AG135" i="5" s="1"/>
  <c r="AG137" i="5" s="1"/>
  <c r="AG138" i="5" s="1"/>
  <c r="AG142" i="5" s="1"/>
  <c r="AG91" i="5" s="1"/>
  <c r="AH146" i="5"/>
  <c r="V46" i="3"/>
  <c r="V48" i="3" s="1"/>
  <c r="AH130" i="5"/>
  <c r="T50" i="3"/>
  <c r="T25" i="3" s="1"/>
  <c r="R2" i="4" s="1"/>
  <c r="AG131" i="5"/>
  <c r="AG132" i="5" s="1"/>
  <c r="AG134" i="5" s="1"/>
  <c r="AI123" i="5"/>
  <c r="AI127" i="5" s="1"/>
  <c r="AJ122" i="5"/>
  <c r="AF153" i="5"/>
  <c r="AJ129" i="5"/>
  <c r="AG148" i="5"/>
  <c r="AG145" i="5"/>
  <c r="AH143" i="5"/>
  <c r="AI139" i="5"/>
  <c r="AH140" i="5"/>
  <c r="AH141" i="5" s="1"/>
  <c r="AH125" i="5"/>
  <c r="AH128" i="5" s="1"/>
  <c r="AI124" i="5"/>
  <c r="X23" i="1"/>
  <c r="Q39" i="3"/>
  <c r="Q40" i="3" s="1"/>
  <c r="R36" i="3" s="1"/>
  <c r="S25" i="3"/>
  <c r="Q2" i="4" s="1"/>
  <c r="S29" i="3"/>
  <c r="S31" i="3"/>
  <c r="S32" i="3" s="1"/>
  <c r="S106" i="1"/>
  <c r="S57" i="3"/>
  <c r="W17" i="1"/>
  <c r="AC115" i="5"/>
  <c r="AC116" i="5" s="1"/>
  <c r="AC117" i="5" s="1"/>
  <c r="AC104" i="5"/>
  <c r="P9" i="4"/>
  <c r="O23" i="4"/>
  <c r="O24" i="4" s="1"/>
  <c r="R27" i="3"/>
  <c r="S24" i="3" s="1"/>
  <c r="R37" i="3"/>
  <c r="AJ19" i="5"/>
  <c r="AI22" i="5"/>
  <c r="U59" i="3"/>
  <c r="U50" i="3"/>
  <c r="U58" i="3"/>
  <c r="AJ107" i="5"/>
  <c r="AJ109" i="5" s="1"/>
  <c r="AK105" i="5"/>
  <c r="AI98" i="6"/>
  <c r="AI100" i="6" s="1"/>
  <c r="AJ96" i="6"/>
  <c r="BG112" i="5"/>
  <c r="BI87" i="5"/>
  <c r="AF61" i="6"/>
  <c r="AH81" i="6"/>
  <c r="AH92" i="6"/>
  <c r="AH93" i="6" s="1"/>
  <c r="AH94" i="6" s="1"/>
  <c r="AH143" i="6" s="1"/>
  <c r="AI86" i="6"/>
  <c r="AH87" i="6"/>
  <c r="AH88" i="6" s="1"/>
  <c r="AI110" i="6"/>
  <c r="AI111" i="6" s="1"/>
  <c r="AI112" i="6" s="1"/>
  <c r="AJ109" i="6"/>
  <c r="AK93" i="5"/>
  <c r="AJ94" i="5"/>
  <c r="AI43" i="6"/>
  <c r="AI44" i="6" s="1"/>
  <c r="AJ42" i="6"/>
  <c r="AI67" i="5"/>
  <c r="AI68" i="5"/>
  <c r="AI69" i="5" s="1"/>
  <c r="AJ66" i="5"/>
  <c r="AK99" i="5"/>
  <c r="AI32" i="6"/>
  <c r="W47" i="3"/>
  <c r="W23" i="1"/>
  <c r="W36" i="1" s="1"/>
  <c r="AH103" i="6"/>
  <c r="AI78" i="6"/>
  <c r="AG119" i="5"/>
  <c r="AG120" i="5" s="1"/>
  <c r="AG121" i="5" s="1"/>
  <c r="AH118" i="5"/>
  <c r="AH69" i="5"/>
  <c r="AH47" i="6"/>
  <c r="AG48" i="6"/>
  <c r="AG54" i="6" s="1"/>
  <c r="AG55" i="6" s="1"/>
  <c r="AH26" i="3"/>
  <c r="AH30" i="3"/>
  <c r="AH107" i="1"/>
  <c r="AB11" i="4"/>
  <c r="AI16" i="5"/>
  <c r="AI41" i="5" s="1"/>
  <c r="AJ15" i="5"/>
  <c r="AG82" i="5"/>
  <c r="AG84" i="5" s="1"/>
  <c r="AH80" i="5"/>
  <c r="W10" i="4"/>
  <c r="V12" i="4"/>
  <c r="V22" i="4"/>
  <c r="V25" i="4" s="1"/>
  <c r="V26" i="4" s="1"/>
  <c r="AL84" i="6"/>
  <c r="AK85" i="6"/>
  <c r="AH110" i="5"/>
  <c r="AH111" i="5" s="1"/>
  <c r="AH85" i="5"/>
  <c r="AH86" i="5" s="1"/>
  <c r="AH26" i="5"/>
  <c r="AH18" i="5"/>
  <c r="AH23" i="5" s="1"/>
  <c r="AH24" i="5" s="1"/>
  <c r="AE104" i="6"/>
  <c r="AE105" i="6" s="1"/>
  <c r="AE108" i="6" s="1"/>
  <c r="AF79" i="6"/>
  <c r="AE80" i="6"/>
  <c r="AE95" i="6" s="1"/>
  <c r="BF112" i="5"/>
  <c r="BH87" i="5"/>
  <c r="AF113" i="5"/>
  <c r="AF114" i="5" s="1"/>
  <c r="AG88" i="5"/>
  <c r="AC1" i="4"/>
  <c r="AE2" i="3"/>
  <c r="AF5" i="3"/>
  <c r="AK30" i="5"/>
  <c r="AG101" i="5"/>
  <c r="AG102" i="5" s="1"/>
  <c r="AG103" i="5" s="1"/>
  <c r="AH95" i="5"/>
  <c r="AG96" i="5"/>
  <c r="AG97" i="5" s="1"/>
  <c r="AF70" i="5"/>
  <c r="AF71" i="5" s="1"/>
  <c r="AF72" i="5" s="1"/>
  <c r="AO11" i="7"/>
  <c r="AI31" i="1" s="1"/>
  <c r="AG6" i="4"/>
  <c r="AI19" i="3"/>
  <c r="AI21" i="3" s="1"/>
  <c r="AI38" i="3"/>
  <c r="AI71" i="6"/>
  <c r="AH73" i="6"/>
  <c r="AH75" i="6" s="1"/>
  <c r="AE73" i="5"/>
  <c r="AK4" i="3"/>
  <c r="AJ17" i="3"/>
  <c r="AJ16" i="3"/>
  <c r="AE62" i="6"/>
  <c r="AE63" i="6" s="1"/>
  <c r="AE64" i="6" s="1"/>
  <c r="AE65" i="6" s="1"/>
  <c r="AE66" i="6" s="1"/>
  <c r="AE67" i="6" s="1"/>
  <c r="Y22" i="1" s="1"/>
  <c r="AG106" i="6"/>
  <c r="AG107" i="6" s="1"/>
  <c r="AG82" i="6"/>
  <c r="AH134" i="6" l="1"/>
  <c r="AJ137" i="6"/>
  <c r="AK136" i="6"/>
  <c r="AM113" i="6"/>
  <c r="AL115" i="6"/>
  <c r="AK132" i="6"/>
  <c r="AK133" i="6" s="1"/>
  <c r="AL131" i="6"/>
  <c r="AJ121" i="6"/>
  <c r="AI122" i="6"/>
  <c r="AI123" i="6" s="1"/>
  <c r="AI124" i="6" s="1"/>
  <c r="AI120" i="6"/>
  <c r="AI119" i="6"/>
  <c r="AI127" i="6" s="1"/>
  <c r="AI129" i="6" s="1"/>
  <c r="AI130" i="6" s="1"/>
  <c r="AK116" i="6"/>
  <c r="AJ118" i="6"/>
  <c r="AH144" i="6"/>
  <c r="AH101" i="6"/>
  <c r="AH76" i="6"/>
  <c r="AH77" i="6" s="1"/>
  <c r="AH19" i="6"/>
  <c r="AH22" i="6" s="1"/>
  <c r="AH23" i="6" s="1"/>
  <c r="AH33" i="6"/>
  <c r="AH34" i="6" s="1"/>
  <c r="AH35" i="6" s="1"/>
  <c r="AJ30" i="6"/>
  <c r="AJ38" i="6" s="1"/>
  <c r="AJ40" i="6" s="1"/>
  <c r="AJ41" i="6" s="1"/>
  <c r="AJ31" i="6"/>
  <c r="AJ37" i="6" s="1"/>
  <c r="AI45" i="6"/>
  <c r="AI81" i="6" s="1"/>
  <c r="AJ8" i="6"/>
  <c r="AI9" i="6"/>
  <c r="AI33" i="6" s="1"/>
  <c r="AI34" i="6" s="1"/>
  <c r="AI35" i="6" s="1"/>
  <c r="AK29" i="6"/>
  <c r="AL27" i="6"/>
  <c r="AC154" i="5"/>
  <c r="AD14" i="1"/>
  <c r="AE13" i="1"/>
  <c r="AJ34" i="5"/>
  <c r="AJ38" i="5" s="1"/>
  <c r="AK33" i="5"/>
  <c r="AH42" i="5"/>
  <c r="AH43" i="5" s="1"/>
  <c r="AH45" i="5" s="1"/>
  <c r="AH56" i="5"/>
  <c r="AI54" i="5"/>
  <c r="AH59" i="5"/>
  <c r="AG63" i="5"/>
  <c r="AG64" i="5" s="1"/>
  <c r="AI57" i="5"/>
  <c r="AH61" i="5"/>
  <c r="AH62" i="5" s="1"/>
  <c r="AH58" i="5"/>
  <c r="AH60" i="5" s="1"/>
  <c r="AH46" i="5" s="1"/>
  <c r="AH48" i="5" s="1"/>
  <c r="AH49" i="5" s="1"/>
  <c r="AH53" i="5" s="1"/>
  <c r="AH90" i="5" s="1"/>
  <c r="AK51" i="5"/>
  <c r="AK52" i="5" s="1"/>
  <c r="AL50" i="5"/>
  <c r="AO40" i="5"/>
  <c r="AI36" i="5"/>
  <c r="AI39" i="5" s="1"/>
  <c r="AJ35" i="5"/>
  <c r="X47" i="3"/>
  <c r="AH131" i="5"/>
  <c r="AH132" i="5" s="1"/>
  <c r="AH134" i="5" s="1"/>
  <c r="T31" i="3"/>
  <c r="T32" i="3" s="1"/>
  <c r="AG152" i="5"/>
  <c r="AG153" i="5" s="1"/>
  <c r="AH29" i="5"/>
  <c r="AH31" i="5" s="1"/>
  <c r="AH32" i="5" s="1"/>
  <c r="AH147" i="5"/>
  <c r="AH149" i="5" s="1"/>
  <c r="AH135" i="5" s="1"/>
  <c r="AH137" i="5" s="1"/>
  <c r="AH138" i="5" s="1"/>
  <c r="AH142" i="5" s="1"/>
  <c r="AH91" i="5" s="1"/>
  <c r="AI146" i="5"/>
  <c r="AH150" i="5"/>
  <c r="AH151" i="5" s="1"/>
  <c r="V18" i="1"/>
  <c r="V35" i="1" s="1"/>
  <c r="V37" i="1" s="1"/>
  <c r="Y47" i="3"/>
  <c r="T106" i="1"/>
  <c r="AI130" i="5"/>
  <c r="T29" i="3"/>
  <c r="T57" i="3"/>
  <c r="T70" i="3" s="1"/>
  <c r="T76" i="3" s="1"/>
  <c r="R39" i="3"/>
  <c r="R40" i="3" s="1"/>
  <c r="S36" i="3" s="1"/>
  <c r="AJ123" i="5"/>
  <c r="AJ127" i="5" s="1"/>
  <c r="AK122" i="5"/>
  <c r="AI125" i="5"/>
  <c r="AI128" i="5" s="1"/>
  <c r="AJ124" i="5"/>
  <c r="AK129" i="5"/>
  <c r="AJ139" i="5"/>
  <c r="AI140" i="5"/>
  <c r="AI141" i="5" s="1"/>
  <c r="AH148" i="5"/>
  <c r="AI143" i="5"/>
  <c r="AH145" i="5"/>
  <c r="W18" i="1"/>
  <c r="AD104" i="5"/>
  <c r="AD115" i="5"/>
  <c r="AD116" i="5" s="1"/>
  <c r="AD117" i="5" s="1"/>
  <c r="AJ22" i="5"/>
  <c r="AK19" i="5"/>
  <c r="U29" i="3"/>
  <c r="U57" i="3"/>
  <c r="U31" i="3"/>
  <c r="U25" i="3"/>
  <c r="S2" i="4" s="1"/>
  <c r="U106" i="1"/>
  <c r="X17" i="1"/>
  <c r="S27" i="3"/>
  <c r="T24" i="3" s="1"/>
  <c r="S37" i="3"/>
  <c r="V58" i="3"/>
  <c r="V50" i="3"/>
  <c r="V59" i="3"/>
  <c r="S72" i="3"/>
  <c r="S78" i="3" s="1"/>
  <c r="S69" i="3"/>
  <c r="S75" i="3" s="1"/>
  <c r="S70" i="3"/>
  <c r="S76" i="3" s="1"/>
  <c r="S71" i="3"/>
  <c r="S77" i="3" s="1"/>
  <c r="S73" i="3"/>
  <c r="S79" i="3" s="1"/>
  <c r="Q9" i="4"/>
  <c r="P23" i="4"/>
  <c r="P24" i="4" s="1"/>
  <c r="AJ71" i="6"/>
  <c r="AI73" i="6"/>
  <c r="AI75" i="6" s="1"/>
  <c r="AJ16" i="5"/>
  <c r="AJ41" i="5" s="1"/>
  <c r="AK15" i="5"/>
  <c r="AJ110" i="6"/>
  <c r="AJ111" i="6" s="1"/>
  <c r="AJ112" i="6" s="1"/>
  <c r="AK109" i="6"/>
  <c r="AC11" i="4"/>
  <c r="BI112" i="5"/>
  <c r="BK87" i="5"/>
  <c r="AF73" i="5"/>
  <c r="AG61" i="6"/>
  <c r="AG62" i="6" s="1"/>
  <c r="AG63" i="6" s="1"/>
  <c r="AH96" i="5"/>
  <c r="AH97" i="5" s="1"/>
  <c r="AH101" i="5"/>
  <c r="AH102" i="5" s="1"/>
  <c r="AH103" i="5" s="1"/>
  <c r="AI95" i="5"/>
  <c r="AG113" i="5"/>
  <c r="AG114" i="5" s="1"/>
  <c r="AH88" i="5"/>
  <c r="AI110" i="5"/>
  <c r="AI111" i="5" s="1"/>
  <c r="AI85" i="5"/>
  <c r="AI86" i="5" s="1"/>
  <c r="AI26" i="5"/>
  <c r="AI18" i="5"/>
  <c r="AI23" i="5" s="1"/>
  <c r="AI24" i="5" s="1"/>
  <c r="AI26" i="3"/>
  <c r="AI30" i="3"/>
  <c r="AI107" i="1"/>
  <c r="AL30" i="5"/>
  <c r="AG89" i="5"/>
  <c r="AE74" i="5"/>
  <c r="AE75" i="5" s="1"/>
  <c r="AE76" i="5" s="1"/>
  <c r="AE77" i="5" s="1"/>
  <c r="AH82" i="5"/>
  <c r="AH84" i="5" s="1"/>
  <c r="AI80" i="5"/>
  <c r="AH119" i="5"/>
  <c r="AH120" i="5" s="1"/>
  <c r="AH121" i="5" s="1"/>
  <c r="AI118" i="5"/>
  <c r="AJ68" i="5"/>
  <c r="AJ67" i="5"/>
  <c r="AK66" i="5"/>
  <c r="AK96" i="6"/>
  <c r="AJ98" i="6"/>
  <c r="AJ100" i="6" s="1"/>
  <c r="AL93" i="5"/>
  <c r="AK94" i="5"/>
  <c r="AF104" i="6"/>
  <c r="AF105" i="6" s="1"/>
  <c r="AF108" i="6" s="1"/>
  <c r="AG79" i="6"/>
  <c r="AF80" i="6"/>
  <c r="AF95" i="6" s="1"/>
  <c r="AI92" i="6"/>
  <c r="AI93" i="6" s="1"/>
  <c r="AI94" i="6" s="1"/>
  <c r="AI143" i="6" s="1"/>
  <c r="AJ86" i="6"/>
  <c r="AI87" i="6"/>
  <c r="AI88" i="6" s="1"/>
  <c r="X36" i="1"/>
  <c r="AJ43" i="6"/>
  <c r="AJ44" i="6" s="1"/>
  <c r="AK42" i="6"/>
  <c r="AM84" i="6"/>
  <c r="AL85" i="6"/>
  <c r="AF62" i="6"/>
  <c r="AF63" i="6" s="1"/>
  <c r="AF64" i="6" s="1"/>
  <c r="AI103" i="6"/>
  <c r="AJ78" i="6"/>
  <c r="AP11" i="7"/>
  <c r="AJ31" i="1" s="1"/>
  <c r="AH6" i="4"/>
  <c r="AJ19" i="3"/>
  <c r="AJ21" i="3" s="1"/>
  <c r="AJ38" i="3"/>
  <c r="W22" i="4"/>
  <c r="W25" i="4" s="1"/>
  <c r="W26" i="4" s="1"/>
  <c r="X10" i="4"/>
  <c r="W12" i="4"/>
  <c r="AI47" i="6"/>
  <c r="AH48" i="6"/>
  <c r="AH54" i="6" s="1"/>
  <c r="AH55" i="6" s="1"/>
  <c r="AL99" i="5"/>
  <c r="AK17" i="3"/>
  <c r="AL4" i="3"/>
  <c r="AK16" i="3"/>
  <c r="AG70" i="5"/>
  <c r="AD1" i="4"/>
  <c r="AG5" i="3"/>
  <c r="AF2" i="3"/>
  <c r="BH112" i="5"/>
  <c r="BJ87" i="5"/>
  <c r="AJ32" i="6"/>
  <c r="AH106" i="6"/>
  <c r="AH107" i="6" s="1"/>
  <c r="AH82" i="6"/>
  <c r="AK107" i="5"/>
  <c r="AK109" i="5" s="1"/>
  <c r="AL105" i="5"/>
  <c r="AI126" i="6" l="1"/>
  <c r="AI134" i="6"/>
  <c r="AI144" i="6" s="1"/>
  <c r="AK121" i="6"/>
  <c r="AJ122" i="6"/>
  <c r="AJ123" i="6" s="1"/>
  <c r="AJ124" i="6" s="1"/>
  <c r="AL116" i="6"/>
  <c r="AK118" i="6"/>
  <c r="AN113" i="6"/>
  <c r="AM115" i="6"/>
  <c r="AL132" i="6"/>
  <c r="AL133" i="6" s="1"/>
  <c r="AM131" i="6"/>
  <c r="AJ120" i="6"/>
  <c r="AJ119" i="6"/>
  <c r="AJ127" i="6" s="1"/>
  <c r="AJ129" i="6" s="1"/>
  <c r="AJ130" i="6" s="1"/>
  <c r="AK137" i="6"/>
  <c r="AL136" i="6"/>
  <c r="AJ9" i="6"/>
  <c r="AJ33" i="6" s="1"/>
  <c r="AJ34" i="6" s="1"/>
  <c r="AJ35" i="6" s="1"/>
  <c r="AK8" i="6"/>
  <c r="AM27" i="6"/>
  <c r="AL29" i="6"/>
  <c r="AJ45" i="6"/>
  <c r="AJ81" i="6" s="1"/>
  <c r="AK30" i="6"/>
  <c r="AK38" i="6" s="1"/>
  <c r="AK40" i="6" s="1"/>
  <c r="AK41" i="6" s="1"/>
  <c r="AK31" i="6"/>
  <c r="AK37" i="6" s="1"/>
  <c r="AI101" i="6"/>
  <c r="AI76" i="6"/>
  <c r="AI77" i="6" s="1"/>
  <c r="AI19" i="6"/>
  <c r="AI22" i="6" s="1"/>
  <c r="AI23" i="6" s="1"/>
  <c r="AE14" i="1"/>
  <c r="AF13" i="1"/>
  <c r="AD154" i="5"/>
  <c r="AI42" i="5"/>
  <c r="AI43" i="5" s="1"/>
  <c r="AI45" i="5" s="1"/>
  <c r="AK34" i="5"/>
  <c r="AK38" i="5" s="1"/>
  <c r="AL33" i="5"/>
  <c r="AJ54" i="5"/>
  <c r="AI56" i="5"/>
  <c r="AI59" i="5"/>
  <c r="W35" i="1"/>
  <c r="W37" i="1" s="1"/>
  <c r="AH63" i="5"/>
  <c r="AH64" i="5" s="1"/>
  <c r="AP40" i="5"/>
  <c r="AL51" i="5"/>
  <c r="AL52" i="5" s="1"/>
  <c r="AM50" i="5"/>
  <c r="AJ36" i="5"/>
  <c r="AJ39" i="5" s="1"/>
  <c r="AK35" i="5"/>
  <c r="AJ57" i="5"/>
  <c r="AI61" i="5"/>
  <c r="AI62" i="5" s="1"/>
  <c r="AI63" i="5" s="1"/>
  <c r="AI58" i="5"/>
  <c r="AI60" i="5" s="1"/>
  <c r="AI46" i="5" s="1"/>
  <c r="AI48" i="5" s="1"/>
  <c r="AI49" i="5" s="1"/>
  <c r="AI53" i="5" s="1"/>
  <c r="AI90" i="5" s="1"/>
  <c r="AH152" i="5"/>
  <c r="AH153" i="5" s="1"/>
  <c r="AI29" i="5"/>
  <c r="AI31" i="5" s="1"/>
  <c r="AI147" i="5"/>
  <c r="AI149" i="5" s="1"/>
  <c r="AI135" i="5" s="1"/>
  <c r="AI137" i="5" s="1"/>
  <c r="AI138" i="5" s="1"/>
  <c r="AI142" i="5" s="1"/>
  <c r="AI91" i="5" s="1"/>
  <c r="AJ146" i="5"/>
  <c r="AI150" i="5"/>
  <c r="AI151" i="5" s="1"/>
  <c r="Y23" i="1"/>
  <c r="Y36" i="1" s="1"/>
  <c r="T71" i="3"/>
  <c r="T77" i="3" s="1"/>
  <c r="S39" i="3"/>
  <c r="S40" i="3" s="1"/>
  <c r="T72" i="3"/>
  <c r="T78" i="3" s="1"/>
  <c r="AJ130" i="5"/>
  <c r="T73" i="3"/>
  <c r="T79" i="3" s="1"/>
  <c r="T69" i="3"/>
  <c r="T75" i="3" s="1"/>
  <c r="Z47" i="3"/>
  <c r="AK123" i="5"/>
  <c r="AK127" i="5" s="1"/>
  <c r="AL122" i="5"/>
  <c r="W46" i="3"/>
  <c r="W48" i="3" s="1"/>
  <c r="W59" i="3" s="1"/>
  <c r="AJ125" i="5"/>
  <c r="AJ128" i="5" s="1"/>
  <c r="AK124" i="5"/>
  <c r="AL129" i="5"/>
  <c r="AJ140" i="5"/>
  <c r="AJ141" i="5" s="1"/>
  <c r="AK139" i="5"/>
  <c r="AI148" i="5"/>
  <c r="AJ143" i="5"/>
  <c r="AI145" i="5"/>
  <c r="AI131" i="5"/>
  <c r="AI132" i="5" s="1"/>
  <c r="AI32" i="5"/>
  <c r="T27" i="3"/>
  <c r="U24" i="3" s="1"/>
  <c r="T37" i="3"/>
  <c r="AK22" i="5"/>
  <c r="AL19" i="5"/>
  <c r="V106" i="1"/>
  <c r="V29" i="3"/>
  <c r="V31" i="3"/>
  <c r="V25" i="3"/>
  <c r="T2" i="4" s="1"/>
  <c r="V57" i="3"/>
  <c r="U32" i="3"/>
  <c r="AE104" i="5"/>
  <c r="AE115" i="5"/>
  <c r="AE116" i="5" s="1"/>
  <c r="AE117" i="5" s="1"/>
  <c r="Q23" i="4"/>
  <c r="Q24" i="4" s="1"/>
  <c r="R9" i="4"/>
  <c r="Y17" i="1"/>
  <c r="U73" i="3"/>
  <c r="U79" i="3" s="1"/>
  <c r="U72" i="3"/>
  <c r="U78" i="3" s="1"/>
  <c r="U69" i="3"/>
  <c r="U75" i="3" s="1"/>
  <c r="U71" i="3"/>
  <c r="U77" i="3" s="1"/>
  <c r="U70" i="3"/>
  <c r="U76" i="3" s="1"/>
  <c r="AG64" i="6"/>
  <c r="AF65" i="6"/>
  <c r="AF66" i="6" s="1"/>
  <c r="AF67" i="6" s="1"/>
  <c r="Z22" i="1" s="1"/>
  <c r="AJ103" i="6"/>
  <c r="AK78" i="6"/>
  <c r="AM30" i="5"/>
  <c r="AE1" i="4"/>
  <c r="AG2" i="3"/>
  <c r="AH5" i="3"/>
  <c r="AL17" i="3"/>
  <c r="AL16" i="3"/>
  <c r="AM4" i="3"/>
  <c r="AK43" i="6"/>
  <c r="AK44" i="6" s="1"/>
  <c r="AK45" i="6" s="1"/>
  <c r="AL42" i="6"/>
  <c r="AG104" i="6"/>
  <c r="AG105" i="6" s="1"/>
  <c r="AG108" i="6" s="1"/>
  <c r="AH79" i="6"/>
  <c r="AG80" i="6"/>
  <c r="AG95" i="6" s="1"/>
  <c r="AL66" i="5"/>
  <c r="AK68" i="5"/>
  <c r="AK67" i="5"/>
  <c r="AJ80" i="5"/>
  <c r="AI82" i="5"/>
  <c r="AI84" i="5" s="1"/>
  <c r="AH113" i="5"/>
  <c r="AH114" i="5" s="1"/>
  <c r="AI88" i="5"/>
  <c r="AI89" i="5" s="1"/>
  <c r="AH61" i="6"/>
  <c r="AF74" i="5"/>
  <c r="AF75" i="5" s="1"/>
  <c r="AF76" i="5" s="1"/>
  <c r="AF77" i="5" s="1"/>
  <c r="AN84" i="6"/>
  <c r="AM85" i="6"/>
  <c r="AJ47" i="6"/>
  <c r="AI48" i="6"/>
  <c r="AI54" i="6" s="1"/>
  <c r="AI55" i="6" s="1"/>
  <c r="AI106" i="6"/>
  <c r="AI107" i="6" s="1"/>
  <c r="AI82" i="6"/>
  <c r="X22" i="4"/>
  <c r="X25" i="4" s="1"/>
  <c r="X26" i="4" s="1"/>
  <c r="Y10" i="4"/>
  <c r="X12" i="4"/>
  <c r="BK112" i="5"/>
  <c r="BM87" i="5"/>
  <c r="AK32" i="6"/>
  <c r="AJ30" i="3"/>
  <c r="AJ107" i="1"/>
  <c r="AJ26" i="3"/>
  <c r="AD11" i="4"/>
  <c r="AH70" i="5"/>
  <c r="AK86" i="6"/>
  <c r="AJ92" i="6"/>
  <c r="AJ93" i="6" s="1"/>
  <c r="AJ94" i="6" s="1"/>
  <c r="AJ143" i="6" s="1"/>
  <c r="AJ87" i="6"/>
  <c r="AJ88" i="6" s="1"/>
  <c r="AJ69" i="5"/>
  <c r="AG71" i="5"/>
  <c r="AG72" i="5" s="1"/>
  <c r="AG73" i="5" s="1"/>
  <c r="AJ118" i="5"/>
  <c r="AI119" i="5"/>
  <c r="AI120" i="5" s="1"/>
  <c r="AI121" i="5" s="1"/>
  <c r="AI96" i="5"/>
  <c r="AI97" i="5" s="1"/>
  <c r="AI101" i="5"/>
  <c r="AI102" i="5" s="1"/>
  <c r="AI103" i="5" s="1"/>
  <c r="AJ95" i="5"/>
  <c r="AJ73" i="6"/>
  <c r="AJ75" i="6" s="1"/>
  <c r="AK71" i="6"/>
  <c r="BJ112" i="5"/>
  <c r="BL87" i="5"/>
  <c r="AH89" i="5"/>
  <c r="AM99" i="5"/>
  <c r="AK16" i="5"/>
  <c r="AK41" i="5" s="1"/>
  <c r="AL15" i="5"/>
  <c r="AQ11" i="7"/>
  <c r="AK31" i="1" s="1"/>
  <c r="AI6" i="4"/>
  <c r="AK19" i="3"/>
  <c r="AK21" i="3" s="1"/>
  <c r="AK38" i="3"/>
  <c r="AL96" i="6"/>
  <c r="AK98" i="6"/>
  <c r="AK100" i="6" s="1"/>
  <c r="AL107" i="5"/>
  <c r="AL109" i="5" s="1"/>
  <c r="AM105" i="5"/>
  <c r="AM93" i="5"/>
  <c r="AL94" i="5"/>
  <c r="AL109" i="6"/>
  <c r="AK110" i="6"/>
  <c r="AK111" i="6" s="1"/>
  <c r="AK112" i="6" s="1"/>
  <c r="AJ110" i="5"/>
  <c r="AJ111" i="5" s="1"/>
  <c r="AJ85" i="5"/>
  <c r="AJ86" i="5" s="1"/>
  <c r="AJ26" i="5"/>
  <c r="AJ18" i="5"/>
  <c r="AJ23" i="5" s="1"/>
  <c r="AJ24" i="5" s="1"/>
  <c r="AJ134" i="6" l="1"/>
  <c r="AJ126" i="6"/>
  <c r="AN131" i="6"/>
  <c r="AM132" i="6"/>
  <c r="AM133" i="6" s="1"/>
  <c r="AK120" i="6"/>
  <c r="AK119" i="6"/>
  <c r="AK127" i="6" s="1"/>
  <c r="AK129" i="6" s="1"/>
  <c r="AK130" i="6" s="1"/>
  <c r="AO113" i="6"/>
  <c r="AN115" i="6"/>
  <c r="AL137" i="6"/>
  <c r="AM136" i="6"/>
  <c r="AM116" i="6"/>
  <c r="AL118" i="6"/>
  <c r="AL121" i="6"/>
  <c r="AK122" i="6"/>
  <c r="AK123" i="6" s="1"/>
  <c r="AK124" i="6" s="1"/>
  <c r="AN27" i="6"/>
  <c r="AM29" i="6"/>
  <c r="AL30" i="6"/>
  <c r="AL38" i="6" s="1"/>
  <c r="AL40" i="6" s="1"/>
  <c r="AL41" i="6" s="1"/>
  <c r="AL31" i="6"/>
  <c r="AL37" i="6" s="1"/>
  <c r="AL8" i="6"/>
  <c r="AK9" i="6"/>
  <c r="AK33" i="6" s="1"/>
  <c r="AK34" i="6" s="1"/>
  <c r="AK35" i="6" s="1"/>
  <c r="AJ76" i="6"/>
  <c r="AJ77" i="6" s="1"/>
  <c r="AJ19" i="6"/>
  <c r="AJ22" i="6" s="1"/>
  <c r="AJ23" i="6" s="1"/>
  <c r="AJ101" i="6"/>
  <c r="AF14" i="1"/>
  <c r="AG13" i="1"/>
  <c r="AE154" i="5"/>
  <c r="AJ56" i="5"/>
  <c r="AJ59" i="5"/>
  <c r="AK54" i="5"/>
  <c r="AI64" i="5"/>
  <c r="AM33" i="5"/>
  <c r="AL34" i="5"/>
  <c r="AL38" i="5" s="1"/>
  <c r="AK57" i="5"/>
  <c r="AJ58" i="5"/>
  <c r="AJ60" i="5" s="1"/>
  <c r="AJ46" i="5" s="1"/>
  <c r="AJ48" i="5" s="1"/>
  <c r="AJ49" i="5" s="1"/>
  <c r="AJ53" i="5" s="1"/>
  <c r="AJ90" i="5" s="1"/>
  <c r="AJ61" i="5"/>
  <c r="AJ62" i="5" s="1"/>
  <c r="AJ63" i="5" s="1"/>
  <c r="AN50" i="5"/>
  <c r="AM51" i="5"/>
  <c r="AM52" i="5" s="1"/>
  <c r="AL35" i="5"/>
  <c r="AK36" i="5"/>
  <c r="AK39" i="5" s="1"/>
  <c r="AQ40" i="5"/>
  <c r="AJ42" i="5"/>
  <c r="AJ43" i="5" s="1"/>
  <c r="AJ45" i="5" s="1"/>
  <c r="Y46" i="3"/>
  <c r="Y48" i="3" s="1"/>
  <c r="Z23" i="1"/>
  <c r="Z36" i="1" s="1"/>
  <c r="AJ29" i="5"/>
  <c r="AJ31" i="5" s="1"/>
  <c r="AJ32" i="5" s="1"/>
  <c r="AJ147" i="5"/>
  <c r="AJ149" i="5" s="1"/>
  <c r="AJ135" i="5" s="1"/>
  <c r="AJ137" i="5" s="1"/>
  <c r="AJ138" i="5" s="1"/>
  <c r="AJ142" i="5" s="1"/>
  <c r="AJ91" i="5" s="1"/>
  <c r="AJ150" i="5"/>
  <c r="AJ151" i="5" s="1"/>
  <c r="AK146" i="5"/>
  <c r="AI152" i="5"/>
  <c r="T36" i="3"/>
  <c r="T39" i="3" s="1"/>
  <c r="W58" i="3"/>
  <c r="AK130" i="5"/>
  <c r="W50" i="3"/>
  <c r="W57" i="3" s="1"/>
  <c r="W72" i="3" s="1"/>
  <c r="W78" i="3" s="1"/>
  <c r="AJ131" i="5"/>
  <c r="AJ132" i="5" s="1"/>
  <c r="AJ134" i="5" s="1"/>
  <c r="AM122" i="5"/>
  <c r="AL123" i="5"/>
  <c r="AL127" i="5" s="1"/>
  <c r="AI134" i="5"/>
  <c r="V32" i="3"/>
  <c r="AJ148" i="5"/>
  <c r="AJ145" i="5"/>
  <c r="AK143" i="5"/>
  <c r="AL124" i="5"/>
  <c r="AK125" i="5"/>
  <c r="AK128" i="5" s="1"/>
  <c r="AM129" i="5"/>
  <c r="AK140" i="5"/>
  <c r="AK141" i="5" s="1"/>
  <c r="AL139" i="5"/>
  <c r="U27" i="3"/>
  <c r="V24" i="3" s="1"/>
  <c r="U37" i="3"/>
  <c r="Y18" i="1"/>
  <c r="AM19" i="5"/>
  <c r="AL22" i="5"/>
  <c r="Z17" i="1"/>
  <c r="V73" i="3"/>
  <c r="V79" i="3" s="1"/>
  <c r="V70" i="3"/>
  <c r="V76" i="3" s="1"/>
  <c r="V71" i="3"/>
  <c r="V77" i="3" s="1"/>
  <c r="V72" i="3"/>
  <c r="V78" i="3" s="1"/>
  <c r="V69" i="3"/>
  <c r="V75" i="3" s="1"/>
  <c r="X46" i="3"/>
  <c r="X48" i="3" s="1"/>
  <c r="X18" i="1"/>
  <c r="X35" i="1" s="1"/>
  <c r="X37" i="1" s="1"/>
  <c r="R23" i="4"/>
  <c r="R24" i="4" s="1"/>
  <c r="S9" i="4"/>
  <c r="AF115" i="5"/>
  <c r="AF116" i="5" s="1"/>
  <c r="AF117" i="5" s="1"/>
  <c r="AF104" i="5"/>
  <c r="AF154" i="5" s="1"/>
  <c r="AG74" i="5"/>
  <c r="AG75" i="5" s="1"/>
  <c r="AG76" i="5" s="1"/>
  <c r="AG77" i="5" s="1"/>
  <c r="AN99" i="5"/>
  <c r="Y22" i="4"/>
  <c r="Y25" i="4" s="1"/>
  <c r="Y26" i="4" s="1"/>
  <c r="Z10" i="4"/>
  <c r="Y12" i="4"/>
  <c r="AH104" i="6"/>
  <c r="AH105" i="6" s="1"/>
  <c r="AH108" i="6" s="1"/>
  <c r="AI79" i="6"/>
  <c r="AH80" i="6"/>
  <c r="AH95" i="6" s="1"/>
  <c r="AL32" i="6"/>
  <c r="BL112" i="5"/>
  <c r="BN87" i="5"/>
  <c r="AI70" i="5"/>
  <c r="AK80" i="5"/>
  <c r="AJ82" i="5"/>
  <c r="AJ84" i="5" s="1"/>
  <c r="AM15" i="5"/>
  <c r="AL16" i="5"/>
  <c r="AL41" i="5" s="1"/>
  <c r="AH71" i="5"/>
  <c r="AH72" i="5" s="1"/>
  <c r="AH73" i="5" s="1"/>
  <c r="AK69" i="5"/>
  <c r="AM109" i="6"/>
  <c r="AL110" i="6"/>
  <c r="AL111" i="6" s="1"/>
  <c r="AL112" i="6" s="1"/>
  <c r="AM107" i="5"/>
  <c r="AM109" i="5" s="1"/>
  <c r="AN105" i="5"/>
  <c r="BM112" i="5"/>
  <c r="BO87" i="5"/>
  <c r="AK47" i="6"/>
  <c r="AJ48" i="6"/>
  <c r="AJ54" i="6" s="1"/>
  <c r="AJ55" i="6" s="1"/>
  <c r="AI61" i="6"/>
  <c r="AL68" i="5"/>
  <c r="AL67" i="5"/>
  <c r="AM66" i="5"/>
  <c r="AM17" i="3"/>
  <c r="AM16" i="3"/>
  <c r="AN4" i="3"/>
  <c r="AO84" i="6"/>
  <c r="AN85" i="6"/>
  <c r="AL43" i="6"/>
  <c r="AL44" i="6" s="1"/>
  <c r="AM42" i="6"/>
  <c r="AK103" i="6"/>
  <c r="AL78" i="6"/>
  <c r="AK110" i="5"/>
  <c r="AK111" i="5" s="1"/>
  <c r="AK85" i="5"/>
  <c r="AK86" i="5" s="1"/>
  <c r="AK26" i="5"/>
  <c r="AK18" i="5"/>
  <c r="AK23" i="5" s="1"/>
  <c r="AK24" i="5" s="1"/>
  <c r="AL71" i="6"/>
  <c r="AK73" i="6"/>
  <c r="AK75" i="6" s="1"/>
  <c r="AE11" i="4"/>
  <c r="AK107" i="1"/>
  <c r="AK26" i="3"/>
  <c r="AK30" i="3"/>
  <c r="AK95" i="5"/>
  <c r="AJ96" i="5"/>
  <c r="AJ97" i="5" s="1"/>
  <c r="AJ101" i="5"/>
  <c r="AJ102" i="5" s="1"/>
  <c r="AJ103" i="5" s="1"/>
  <c r="AJ106" i="6"/>
  <c r="AJ107" i="6" s="1"/>
  <c r="AJ82" i="6"/>
  <c r="AH62" i="6"/>
  <c r="AH63" i="6" s="1"/>
  <c r="AH64" i="6" s="1"/>
  <c r="AR11" i="7"/>
  <c r="AL31" i="1" s="1"/>
  <c r="AJ6" i="4"/>
  <c r="AL38" i="3"/>
  <c r="AL19" i="3"/>
  <c r="AL21" i="3" s="1"/>
  <c r="AN30" i="5"/>
  <c r="AK92" i="6"/>
  <c r="AK93" i="6" s="1"/>
  <c r="AK94" i="6" s="1"/>
  <c r="AK143" i="6" s="1"/>
  <c r="AK87" i="6"/>
  <c r="AK88" i="6" s="1"/>
  <c r="AL86" i="6"/>
  <c r="AI5" i="3"/>
  <c r="AH2" i="3"/>
  <c r="AF1" i="4"/>
  <c r="AK118" i="5"/>
  <c r="AJ119" i="5"/>
  <c r="AJ120" i="5" s="1"/>
  <c r="AJ121" i="5" s="1"/>
  <c r="AK81" i="6"/>
  <c r="AN93" i="5"/>
  <c r="AM94" i="5"/>
  <c r="AM96" i="6"/>
  <c r="AL98" i="6"/>
  <c r="AL100" i="6" s="1"/>
  <c r="AI113" i="5"/>
  <c r="AI114" i="5" s="1"/>
  <c r="AJ88" i="5"/>
  <c r="AJ89" i="5" s="1"/>
  <c r="AG65" i="6"/>
  <c r="AG66" i="6" s="1"/>
  <c r="AG67" i="6" s="1"/>
  <c r="AA22" i="1" s="1"/>
  <c r="AK126" i="6" l="1"/>
  <c r="AK134" i="6"/>
  <c r="AK144" i="6" s="1"/>
  <c r="AJ144" i="6"/>
  <c r="AP113" i="6"/>
  <c r="AO115" i="6"/>
  <c r="AL122" i="6"/>
  <c r="AL123" i="6" s="1"/>
  <c r="AL124" i="6" s="1"/>
  <c r="AM121" i="6"/>
  <c r="AL120" i="6"/>
  <c r="AL119" i="6"/>
  <c r="AL127" i="6" s="1"/>
  <c r="AL129" i="6" s="1"/>
  <c r="AL130" i="6" s="1"/>
  <c r="AM118" i="6"/>
  <c r="AN116" i="6"/>
  <c r="AM137" i="6"/>
  <c r="AN136" i="6"/>
  <c r="AN132" i="6"/>
  <c r="AN133" i="6" s="1"/>
  <c r="AO131" i="6"/>
  <c r="AL45" i="6"/>
  <c r="AM31" i="6"/>
  <c r="AM37" i="6" s="1"/>
  <c r="AM30" i="6"/>
  <c r="AM38" i="6" s="1"/>
  <c r="AM40" i="6" s="1"/>
  <c r="AM41" i="6" s="1"/>
  <c r="AK19" i="6"/>
  <c r="AK22" i="6" s="1"/>
  <c r="AK23" i="6" s="1"/>
  <c r="AK101" i="6"/>
  <c r="AK76" i="6"/>
  <c r="AK77" i="6" s="1"/>
  <c r="AM8" i="6"/>
  <c r="AL9" i="6"/>
  <c r="AL33" i="6" s="1"/>
  <c r="AL34" i="6" s="1"/>
  <c r="AL35" i="6" s="1"/>
  <c r="AN29" i="6"/>
  <c r="AO27" i="6"/>
  <c r="AJ64" i="5"/>
  <c r="AG14" i="1"/>
  <c r="AH13" i="1"/>
  <c r="AM34" i="5"/>
  <c r="AM38" i="5" s="1"/>
  <c r="AN33" i="5"/>
  <c r="AK59" i="5"/>
  <c r="AK56" i="5"/>
  <c r="AL54" i="5"/>
  <c r="AR40" i="5"/>
  <c r="AO50" i="5"/>
  <c r="AN51" i="5"/>
  <c r="AN52" i="5" s="1"/>
  <c r="AM35" i="5"/>
  <c r="AL36" i="5"/>
  <c r="AL39" i="5" s="1"/>
  <c r="AK42" i="5"/>
  <c r="AK43" i="5" s="1"/>
  <c r="AK45" i="5" s="1"/>
  <c r="AL57" i="5"/>
  <c r="AK58" i="5"/>
  <c r="AK60" i="5" s="1"/>
  <c r="AK46" i="5" s="1"/>
  <c r="AK48" i="5" s="1"/>
  <c r="AK49" i="5" s="1"/>
  <c r="AK53" i="5" s="1"/>
  <c r="AK90" i="5" s="1"/>
  <c r="AK61" i="5"/>
  <c r="AK62" i="5" s="1"/>
  <c r="AI153" i="5"/>
  <c r="AK29" i="5"/>
  <c r="AK31" i="5" s="1"/>
  <c r="AK32" i="5" s="1"/>
  <c r="AK147" i="5"/>
  <c r="AK149" i="5" s="1"/>
  <c r="AK135" i="5" s="1"/>
  <c r="AK137" i="5" s="1"/>
  <c r="AK138" i="5" s="1"/>
  <c r="AK142" i="5" s="1"/>
  <c r="AK91" i="5" s="1"/>
  <c r="AK150" i="5"/>
  <c r="AK151" i="5" s="1"/>
  <c r="AL146" i="5"/>
  <c r="AL130" i="5"/>
  <c r="W106" i="1"/>
  <c r="W29" i="3"/>
  <c r="W25" i="3"/>
  <c r="U2" i="4" s="1"/>
  <c r="W31" i="3"/>
  <c r="W32" i="3" s="1"/>
  <c r="W69" i="3"/>
  <c r="W75" i="3" s="1"/>
  <c r="W71" i="3"/>
  <c r="W77" i="3" s="1"/>
  <c r="AJ152" i="5"/>
  <c r="AJ153" i="5" s="1"/>
  <c r="W70" i="3"/>
  <c r="W76" i="3" s="1"/>
  <c r="AN122" i="5"/>
  <c r="AM123" i="5"/>
  <c r="AM127" i="5" s="1"/>
  <c r="W73" i="3"/>
  <c r="W79" i="3" s="1"/>
  <c r="AL140" i="5"/>
  <c r="AL141" i="5" s="1"/>
  <c r="AM139" i="5"/>
  <c r="AN129" i="5"/>
  <c r="AM124" i="5"/>
  <c r="AL125" i="5"/>
  <c r="AL128" i="5" s="1"/>
  <c r="AK148" i="5"/>
  <c r="AK145" i="5"/>
  <c r="AL143" i="5"/>
  <c r="AK131" i="5"/>
  <c r="AK132" i="5" s="1"/>
  <c r="AK134" i="5" s="1"/>
  <c r="X58" i="3"/>
  <c r="X50" i="3"/>
  <c r="X59" i="3"/>
  <c r="AA17" i="1"/>
  <c r="T40" i="3"/>
  <c r="U36" i="3" s="1"/>
  <c r="U39" i="3" s="1"/>
  <c r="Y50" i="3"/>
  <c r="Y58" i="3"/>
  <c r="Y59" i="3"/>
  <c r="AG104" i="5"/>
  <c r="AG115" i="5"/>
  <c r="AG116" i="5" s="1"/>
  <c r="AG117" i="5" s="1"/>
  <c r="T9" i="4"/>
  <c r="S23" i="4"/>
  <c r="S24" i="4" s="1"/>
  <c r="V37" i="3"/>
  <c r="V27" i="3"/>
  <c r="W24" i="3" s="1"/>
  <c r="AM22" i="5"/>
  <c r="AN19" i="5"/>
  <c r="Z46" i="3"/>
  <c r="Z48" i="3" s="1"/>
  <c r="Z50" i="3" s="1"/>
  <c r="Z18" i="1"/>
  <c r="Z35" i="1" s="1"/>
  <c r="Z37" i="1" s="1"/>
  <c r="Y35" i="1"/>
  <c r="Y37" i="1" s="1"/>
  <c r="AH74" i="5"/>
  <c r="AH75" i="5" s="1"/>
  <c r="AH76" i="5" s="1"/>
  <c r="AH77" i="5" s="1"/>
  <c r="AK48" i="6"/>
  <c r="AK54" i="6" s="1"/>
  <c r="AK55" i="6" s="1"/>
  <c r="AL47" i="6"/>
  <c r="AL81" i="6"/>
  <c r="AF11" i="4"/>
  <c r="AL80" i="5"/>
  <c r="AK82" i="5"/>
  <c r="AK84" i="5" s="1"/>
  <c r="AL30" i="3"/>
  <c r="AL26" i="3"/>
  <c r="AL107" i="1"/>
  <c r="AN66" i="5"/>
  <c r="AM68" i="5"/>
  <c r="AM67" i="5"/>
  <c r="AA47" i="3"/>
  <c r="AA23" i="1"/>
  <c r="AA36" i="1" s="1"/>
  <c r="AL95" i="5"/>
  <c r="AK96" i="5"/>
  <c r="AK97" i="5" s="1"/>
  <c r="AK101" i="5"/>
  <c r="AK102" i="5" s="1"/>
  <c r="AK103" i="5" s="1"/>
  <c r="AL103" i="6"/>
  <c r="AM78" i="6"/>
  <c r="AP84" i="6"/>
  <c r="AO85" i="6"/>
  <c r="AJ61" i="6"/>
  <c r="BN112" i="5"/>
  <c r="BP87" i="5"/>
  <c r="AG1" i="4"/>
  <c r="AJ5" i="3"/>
  <c r="AI2" i="3"/>
  <c r="AM43" i="6"/>
  <c r="AM44" i="6" s="1"/>
  <c r="AM45" i="6" s="1"/>
  <c r="AN42" i="6"/>
  <c r="AL92" i="6"/>
  <c r="AL93" i="6" s="1"/>
  <c r="AL94" i="6" s="1"/>
  <c r="AL143" i="6" s="1"/>
  <c r="AL87" i="6"/>
  <c r="AL88" i="6" s="1"/>
  <c r="AM86" i="6"/>
  <c r="AO30" i="5"/>
  <c r="BO112" i="5"/>
  <c r="BQ87" i="5"/>
  <c r="AO105" i="5"/>
  <c r="AN107" i="5"/>
  <c r="AN109" i="5" s="1"/>
  <c r="AJ70" i="5"/>
  <c r="AI71" i="5"/>
  <c r="AI72" i="5" s="1"/>
  <c r="AI73" i="5" s="1"/>
  <c r="AJ113" i="5"/>
  <c r="AJ114" i="5" s="1"/>
  <c r="AK88" i="5"/>
  <c r="AM98" i="6"/>
  <c r="AM100" i="6" s="1"/>
  <c r="AN96" i="6"/>
  <c r="AI62" i="6"/>
  <c r="AI63" i="6" s="1"/>
  <c r="AI64" i="6" s="1"/>
  <c r="AN109" i="6"/>
  <c r="AM110" i="6"/>
  <c r="AM111" i="6" s="1"/>
  <c r="AM112" i="6" s="1"/>
  <c r="AO99" i="5"/>
  <c r="AS11" i="7"/>
  <c r="AM31" i="1" s="1"/>
  <c r="AK6" i="4"/>
  <c r="AM38" i="3"/>
  <c r="AM19" i="3"/>
  <c r="AM21" i="3" s="1"/>
  <c r="AI104" i="6"/>
  <c r="AI105" i="6" s="1"/>
  <c r="AI108" i="6" s="1"/>
  <c r="AJ79" i="6"/>
  <c r="AI80" i="6"/>
  <c r="AI95" i="6" s="1"/>
  <c r="AK106" i="6"/>
  <c r="AK107" i="6" s="1"/>
  <c r="AK82" i="6"/>
  <c r="AL110" i="5"/>
  <c r="AL111" i="5" s="1"/>
  <c r="AL26" i="5"/>
  <c r="AL85" i="5"/>
  <c r="AL86" i="5" s="1"/>
  <c r="AL18" i="5"/>
  <c r="AL23" i="5" s="1"/>
  <c r="AL24" i="5" s="1"/>
  <c r="AM71" i="6"/>
  <c r="AL73" i="6"/>
  <c r="AL75" i="6" s="1"/>
  <c r="AN15" i="5"/>
  <c r="AM16" i="5"/>
  <c r="AA10" i="4"/>
  <c r="Z12" i="4"/>
  <c r="Z22" i="4"/>
  <c r="Z25" i="4" s="1"/>
  <c r="Z26" i="4" s="1"/>
  <c r="AL69" i="5"/>
  <c r="AL118" i="5"/>
  <c r="AK119" i="5"/>
  <c r="AK120" i="5" s="1"/>
  <c r="AK121" i="5" s="1"/>
  <c r="AO93" i="5"/>
  <c r="AN94" i="5"/>
  <c r="AH65" i="6"/>
  <c r="AH66" i="6" s="1"/>
  <c r="AH67" i="6" s="1"/>
  <c r="AB22" i="1" s="1"/>
  <c r="AN17" i="3"/>
  <c r="AN16" i="3"/>
  <c r="AO4" i="3"/>
  <c r="AM32" i="6"/>
  <c r="AL134" i="6" l="1"/>
  <c r="AL126" i="6"/>
  <c r="AM120" i="6"/>
  <c r="AM119" i="6"/>
  <c r="AM127" i="6" s="1"/>
  <c r="AM129" i="6" s="1"/>
  <c r="AM130" i="6" s="1"/>
  <c r="AO132" i="6"/>
  <c r="AO133" i="6" s="1"/>
  <c r="AP131" i="6"/>
  <c r="AM122" i="6"/>
  <c r="AM123" i="6" s="1"/>
  <c r="AM124" i="6" s="1"/>
  <c r="AN121" i="6"/>
  <c r="AO136" i="6"/>
  <c r="AN137" i="6"/>
  <c r="AN118" i="6"/>
  <c r="AO116" i="6"/>
  <c r="AQ113" i="6"/>
  <c r="AP115" i="6"/>
  <c r="AL101" i="6"/>
  <c r="AL76" i="6"/>
  <c r="AL77" i="6" s="1"/>
  <c r="AL19" i="6"/>
  <c r="AL22" i="6" s="1"/>
  <c r="AL23" i="6" s="1"/>
  <c r="AN31" i="6"/>
  <c r="AN37" i="6" s="1"/>
  <c r="AN30" i="6"/>
  <c r="AN38" i="6" s="1"/>
  <c r="AN40" i="6" s="1"/>
  <c r="AN41" i="6" s="1"/>
  <c r="AN8" i="6"/>
  <c r="AM9" i="6"/>
  <c r="AM33" i="6" s="1"/>
  <c r="AM34" i="6" s="1"/>
  <c r="AM35" i="6" s="1"/>
  <c r="AP27" i="6"/>
  <c r="AO29" i="6"/>
  <c r="AG154" i="5"/>
  <c r="AI13" i="1"/>
  <c r="AH14" i="1"/>
  <c r="AM54" i="5"/>
  <c r="AL59" i="5"/>
  <c r="AL56" i="5"/>
  <c r="AK63" i="5"/>
  <c r="AK64" i="5" s="1"/>
  <c r="AN34" i="5"/>
  <c r="AN38" i="5" s="1"/>
  <c r="AO33" i="5"/>
  <c r="AL42" i="5"/>
  <c r="AL43" i="5" s="1"/>
  <c r="AL45" i="5" s="1"/>
  <c r="AN35" i="5"/>
  <c r="AM36" i="5"/>
  <c r="AM39" i="5" s="1"/>
  <c r="AO51" i="5"/>
  <c r="AO52" i="5" s="1"/>
  <c r="AP50" i="5"/>
  <c r="AM130" i="5"/>
  <c r="AM41" i="5"/>
  <c r="AL58" i="5"/>
  <c r="AL60" i="5" s="1"/>
  <c r="AL46" i="5" s="1"/>
  <c r="AL48" i="5" s="1"/>
  <c r="AL49" i="5" s="1"/>
  <c r="AL53" i="5" s="1"/>
  <c r="AL90" i="5" s="1"/>
  <c r="AM57" i="5"/>
  <c r="AL61" i="5"/>
  <c r="AL62" i="5" s="1"/>
  <c r="AL63" i="5" s="1"/>
  <c r="AS40" i="5"/>
  <c r="Z58" i="3"/>
  <c r="AL29" i="5"/>
  <c r="AL31" i="5" s="1"/>
  <c r="AL32" i="5" s="1"/>
  <c r="AM146" i="5"/>
  <c r="AL150" i="5"/>
  <c r="AL151" i="5" s="1"/>
  <c r="AL147" i="5"/>
  <c r="AL149" i="5" s="1"/>
  <c r="AL135" i="5" s="1"/>
  <c r="AL137" i="5" s="1"/>
  <c r="AL138" i="5" s="1"/>
  <c r="AL142" i="5" s="1"/>
  <c r="AL91" i="5" s="1"/>
  <c r="AK152" i="5"/>
  <c r="AK153" i="5" s="1"/>
  <c r="AC47" i="3"/>
  <c r="Z59" i="3"/>
  <c r="AO122" i="5"/>
  <c r="AN123" i="5"/>
  <c r="AN127" i="5" s="1"/>
  <c r="AL148" i="5"/>
  <c r="AL145" i="5"/>
  <c r="AL152" i="5" s="1"/>
  <c r="AM143" i="5"/>
  <c r="AO129" i="5"/>
  <c r="AN124" i="5"/>
  <c r="AM125" i="5"/>
  <c r="AM128" i="5" s="1"/>
  <c r="AM140" i="5"/>
  <c r="AM141" i="5" s="1"/>
  <c r="AN139" i="5"/>
  <c r="AL131" i="5"/>
  <c r="AL132" i="5" s="1"/>
  <c r="T23" i="4"/>
  <c r="T24" i="4" s="1"/>
  <c r="U9" i="4"/>
  <c r="X106" i="1"/>
  <c r="X29" i="3"/>
  <c r="X31" i="3"/>
  <c r="X32" i="3" s="1"/>
  <c r="X57" i="3"/>
  <c r="X25" i="3"/>
  <c r="V2" i="4" s="1"/>
  <c r="AH115" i="5"/>
  <c r="AH116" i="5" s="1"/>
  <c r="AH117" i="5" s="1"/>
  <c r="AH104" i="5"/>
  <c r="AN22" i="5"/>
  <c r="AO19" i="5"/>
  <c r="W37" i="3"/>
  <c r="W27" i="3"/>
  <c r="X24" i="3" s="1"/>
  <c r="Y106" i="1"/>
  <c r="Y29" i="3"/>
  <c r="Y57" i="3"/>
  <c r="Y31" i="3"/>
  <c r="Y25" i="3"/>
  <c r="W2" i="4" s="1"/>
  <c r="U40" i="3"/>
  <c r="V36" i="3" s="1"/>
  <c r="V39" i="3" s="1"/>
  <c r="AB17" i="1"/>
  <c r="AI65" i="6"/>
  <c r="AI66" i="6" s="1"/>
  <c r="AI67" i="6" s="1"/>
  <c r="AC22" i="1" s="1"/>
  <c r="AI74" i="5"/>
  <c r="AI75" i="5" s="1"/>
  <c r="AI76" i="5" s="1"/>
  <c r="AI77" i="5" s="1"/>
  <c r="AO15" i="5"/>
  <c r="AN16" i="5"/>
  <c r="AN41" i="5" s="1"/>
  <c r="AK61" i="6"/>
  <c r="AK62" i="6" s="1"/>
  <c r="AK63" i="6" s="1"/>
  <c r="AK113" i="5"/>
  <c r="AK114" i="5" s="1"/>
  <c r="AL88" i="5"/>
  <c r="AL89" i="5" s="1"/>
  <c r="AP30" i="5"/>
  <c r="AP105" i="5"/>
  <c r="AO107" i="5"/>
  <c r="AO109" i="5" s="1"/>
  <c r="AH1" i="4"/>
  <c r="AK5" i="3"/>
  <c r="AJ2" i="3"/>
  <c r="AJ62" i="6"/>
  <c r="AJ63" i="6" s="1"/>
  <c r="AJ64" i="6" s="1"/>
  <c r="AM103" i="6"/>
  <c r="AN78" i="6"/>
  <c r="AN32" i="6"/>
  <c r="AB10" i="4"/>
  <c r="AA12" i="4"/>
  <c r="AA22" i="4"/>
  <c r="AA25" i="4" s="1"/>
  <c r="AA26" i="4" s="1"/>
  <c r="BR87" i="5"/>
  <c r="BP112" i="5"/>
  <c r="AL82" i="5"/>
  <c r="AL84" i="5" s="1"/>
  <c r="AM80" i="5"/>
  <c r="AM81" i="6"/>
  <c r="AM87" i="6"/>
  <c r="AM88" i="6" s="1"/>
  <c r="AN86" i="6"/>
  <c r="AM92" i="6"/>
  <c r="AM93" i="6" s="1"/>
  <c r="AM94" i="6" s="1"/>
  <c r="AM143" i="6" s="1"/>
  <c r="AM118" i="5"/>
  <c r="AL119" i="5"/>
  <c r="AL120" i="5" s="1"/>
  <c r="AL121" i="5" s="1"/>
  <c r="AM73" i="6"/>
  <c r="AM75" i="6" s="1"/>
  <c r="AN71" i="6"/>
  <c r="AP99" i="5"/>
  <c r="AQ84" i="6"/>
  <c r="AP85" i="6"/>
  <c r="AM30" i="3"/>
  <c r="AM107" i="1"/>
  <c r="AM26" i="3"/>
  <c r="AN98" i="6"/>
  <c r="AN100" i="6" s="1"/>
  <c r="AO96" i="6"/>
  <c r="AK89" i="5"/>
  <c r="AL101" i="5"/>
  <c r="AL102" i="5" s="1"/>
  <c r="AL103" i="5" s="1"/>
  <c r="AM95" i="5"/>
  <c r="AL96" i="5"/>
  <c r="AL97" i="5" s="1"/>
  <c r="AM69" i="5"/>
  <c r="AL106" i="6"/>
  <c r="AL107" i="6" s="1"/>
  <c r="AL82" i="6"/>
  <c r="AT11" i="7"/>
  <c r="AN31" i="1" s="1"/>
  <c r="AN38" i="3"/>
  <c r="AL6" i="4"/>
  <c r="AN19" i="3"/>
  <c r="AN21" i="3" s="1"/>
  <c r="AK70" i="5"/>
  <c r="AK71" i="5" s="1"/>
  <c r="AK72" i="5" s="1"/>
  <c r="AB47" i="3"/>
  <c r="AB23" i="1"/>
  <c r="AB36" i="1" s="1"/>
  <c r="AJ104" i="6"/>
  <c r="AJ105" i="6" s="1"/>
  <c r="AJ108" i="6" s="1"/>
  <c r="AK79" i="6"/>
  <c r="AJ80" i="6"/>
  <c r="AJ95" i="6" s="1"/>
  <c r="BQ112" i="5"/>
  <c r="BS87" i="5"/>
  <c r="AP93" i="5"/>
  <c r="AO94" i="5"/>
  <c r="AO17" i="3"/>
  <c r="AO16" i="3"/>
  <c r="AP4" i="3"/>
  <c r="Z31" i="3"/>
  <c r="Z25" i="3"/>
  <c r="X2" i="4" s="1"/>
  <c r="Z29" i="3"/>
  <c r="Z57" i="3"/>
  <c r="Z106" i="1"/>
  <c r="AM110" i="5"/>
  <c r="AM111" i="5" s="1"/>
  <c r="AM26" i="5"/>
  <c r="AM85" i="5"/>
  <c r="AM86" i="5" s="1"/>
  <c r="AM18" i="5"/>
  <c r="AM23" i="5" s="1"/>
  <c r="AM24" i="5" s="1"/>
  <c r="AO109" i="6"/>
  <c r="AN110" i="6"/>
  <c r="AN111" i="6" s="1"/>
  <c r="AN112" i="6" s="1"/>
  <c r="AJ71" i="5"/>
  <c r="AJ72" i="5" s="1"/>
  <c r="AJ73" i="5" s="1"/>
  <c r="AJ74" i="5" s="1"/>
  <c r="AJ75" i="5" s="1"/>
  <c r="AJ76" i="5" s="1"/>
  <c r="AJ77" i="5" s="1"/>
  <c r="AO42" i="6"/>
  <c r="AN43" i="6"/>
  <c r="AN44" i="6" s="1"/>
  <c r="AO66" i="5"/>
  <c r="AN68" i="5"/>
  <c r="AN67" i="5"/>
  <c r="AG11" i="4"/>
  <c r="AL48" i="6"/>
  <c r="AL54" i="6" s="1"/>
  <c r="AL55" i="6" s="1"/>
  <c r="AM47" i="6"/>
  <c r="AM126" i="6" l="1"/>
  <c r="AM134" i="6"/>
  <c r="AM144" i="6" s="1"/>
  <c r="AL144" i="6"/>
  <c r="AO137" i="6"/>
  <c r="AP136" i="6"/>
  <c r="AQ115" i="6"/>
  <c r="AR113" i="6"/>
  <c r="AN120" i="6"/>
  <c r="AN119" i="6"/>
  <c r="AN127" i="6" s="1"/>
  <c r="AN129" i="6" s="1"/>
  <c r="AN130" i="6" s="1"/>
  <c r="AN122" i="6"/>
  <c r="AN123" i="6" s="1"/>
  <c r="AN124" i="6" s="1"/>
  <c r="AO121" i="6"/>
  <c r="AP132" i="6"/>
  <c r="AP133" i="6" s="1"/>
  <c r="AQ131" i="6"/>
  <c r="AO118" i="6"/>
  <c r="AP116" i="6"/>
  <c r="AN45" i="6"/>
  <c r="AP29" i="6"/>
  <c r="AQ27" i="6"/>
  <c r="AM76" i="6"/>
  <c r="AM77" i="6" s="1"/>
  <c r="AM19" i="6"/>
  <c r="AM22" i="6" s="1"/>
  <c r="AM23" i="6" s="1"/>
  <c r="AM101" i="6"/>
  <c r="AN9" i="6"/>
  <c r="AN33" i="6" s="1"/>
  <c r="AN34" i="6" s="1"/>
  <c r="AN35" i="6" s="1"/>
  <c r="AO8" i="6"/>
  <c r="AO31" i="6"/>
  <c r="AO37" i="6" s="1"/>
  <c r="AO30" i="6"/>
  <c r="AO38" i="6" s="1"/>
  <c r="AO40" i="6" s="1"/>
  <c r="AO41" i="6" s="1"/>
  <c r="AH154" i="5"/>
  <c r="AL64" i="5"/>
  <c r="AJ13" i="1"/>
  <c r="AI14" i="1"/>
  <c r="AP33" i="5"/>
  <c r="AO34" i="5"/>
  <c r="AO38" i="5" s="1"/>
  <c r="AM42" i="5"/>
  <c r="AM43" i="5" s="1"/>
  <c r="AM45" i="5" s="1"/>
  <c r="AN54" i="5"/>
  <c r="AM59" i="5"/>
  <c r="AM56" i="5"/>
  <c r="AB46" i="3"/>
  <c r="AB48" i="3" s="1"/>
  <c r="AB50" i="3" s="1"/>
  <c r="AT40" i="5"/>
  <c r="AP51" i="5"/>
  <c r="AP52" i="5" s="1"/>
  <c r="AQ50" i="5"/>
  <c r="AN36" i="5"/>
  <c r="AN39" i="5" s="1"/>
  <c r="AO35" i="5"/>
  <c r="AM58" i="5"/>
  <c r="AM60" i="5" s="1"/>
  <c r="AM46" i="5" s="1"/>
  <c r="AM48" i="5" s="1"/>
  <c r="AM49" i="5" s="1"/>
  <c r="AM53" i="5" s="1"/>
  <c r="AM90" i="5" s="1"/>
  <c r="AN57" i="5"/>
  <c r="AM61" i="5"/>
  <c r="AM62" i="5" s="1"/>
  <c r="AM29" i="5"/>
  <c r="AM31" i="5" s="1"/>
  <c r="AM32" i="5" s="1"/>
  <c r="AM150" i="5"/>
  <c r="AM151" i="5" s="1"/>
  <c r="AN146" i="5"/>
  <c r="AM147" i="5"/>
  <c r="AM149" i="5" s="1"/>
  <c r="AM135" i="5" s="1"/>
  <c r="AM137" i="5" s="1"/>
  <c r="AM138" i="5" s="1"/>
  <c r="AM142" i="5" s="1"/>
  <c r="AM91" i="5" s="1"/>
  <c r="AC23" i="1"/>
  <c r="AC36" i="1" s="1"/>
  <c r="AN130" i="5"/>
  <c r="AP122" i="5"/>
  <c r="AO123" i="5"/>
  <c r="AO127" i="5" s="1"/>
  <c r="AL134" i="5"/>
  <c r="AL153" i="5" s="1"/>
  <c r="AP129" i="5"/>
  <c r="AM148" i="5"/>
  <c r="AM145" i="5"/>
  <c r="AN143" i="5"/>
  <c r="AO139" i="5"/>
  <c r="AN140" i="5"/>
  <c r="AN141" i="5" s="1"/>
  <c r="AO124" i="5"/>
  <c r="AN125" i="5"/>
  <c r="AN128" i="5" s="1"/>
  <c r="AM131" i="5"/>
  <c r="AM132" i="5" s="1"/>
  <c r="V40" i="3"/>
  <c r="W36" i="3" s="1"/>
  <c r="W39" i="3" s="1"/>
  <c r="W40" i="3" s="1"/>
  <c r="X36" i="3" s="1"/>
  <c r="X27" i="3"/>
  <c r="Y24" i="3" s="1"/>
  <c r="X37" i="3"/>
  <c r="AD17" i="1"/>
  <c r="U23" i="4"/>
  <c r="U24" i="4" s="1"/>
  <c r="V9" i="4"/>
  <c r="AC17" i="1"/>
  <c r="AA18" i="1"/>
  <c r="AA35" i="1" s="1"/>
  <c r="AA37" i="1" s="1"/>
  <c r="AA46" i="3"/>
  <c r="AA48" i="3" s="1"/>
  <c r="AB18" i="1"/>
  <c r="Y32" i="3"/>
  <c r="Z32" i="3" s="1"/>
  <c r="AI115" i="5"/>
  <c r="AI116" i="5" s="1"/>
  <c r="AI117" i="5" s="1"/>
  <c r="AI104" i="5"/>
  <c r="Y71" i="3"/>
  <c r="Y77" i="3" s="1"/>
  <c r="Y69" i="3"/>
  <c r="Y75" i="3" s="1"/>
  <c r="Y73" i="3"/>
  <c r="Y79" i="3" s="1"/>
  <c r="Y70" i="3"/>
  <c r="Y76" i="3" s="1"/>
  <c r="Y72" i="3"/>
  <c r="Y78" i="3" s="1"/>
  <c r="AO22" i="5"/>
  <c r="AP19" i="5"/>
  <c r="X72" i="3"/>
  <c r="X78" i="3" s="1"/>
  <c r="X70" i="3"/>
  <c r="X76" i="3" s="1"/>
  <c r="X69" i="3"/>
  <c r="X75" i="3" s="1"/>
  <c r="X73" i="3"/>
  <c r="X79" i="3" s="1"/>
  <c r="X71" i="3"/>
  <c r="X77" i="3" s="1"/>
  <c r="AK64" i="6"/>
  <c r="AK65" i="6" s="1"/>
  <c r="AK66" i="6" s="1"/>
  <c r="AK67" i="6" s="1"/>
  <c r="AE22" i="1" s="1"/>
  <c r="AJ65" i="6"/>
  <c r="AJ66" i="6" s="1"/>
  <c r="AJ67" i="6" s="1"/>
  <c r="AD22" i="1" s="1"/>
  <c r="AU11" i="7"/>
  <c r="AO31" i="1" s="1"/>
  <c r="AO38" i="3"/>
  <c r="AM6" i="4"/>
  <c r="AO19" i="3"/>
  <c r="AO21" i="3" s="1"/>
  <c r="AK104" i="6"/>
  <c r="AK105" i="6" s="1"/>
  <c r="AK108" i="6" s="1"/>
  <c r="AL79" i="6"/>
  <c r="AK80" i="6"/>
  <c r="AK95" i="6" s="1"/>
  <c r="AN73" i="6"/>
  <c r="AN75" i="6" s="1"/>
  <c r="AO71" i="6"/>
  <c r="AN103" i="6"/>
  <c r="AO78" i="6"/>
  <c r="AQ105" i="5"/>
  <c r="AP107" i="5"/>
  <c r="AP109" i="5" s="1"/>
  <c r="AB12" i="4"/>
  <c r="AC10" i="4"/>
  <c r="AB22" i="4"/>
  <c r="AB25" i="4" s="1"/>
  <c r="AB26" i="4" s="1"/>
  <c r="AO67" i="5"/>
  <c r="AP66" i="5"/>
  <c r="AO68" i="5"/>
  <c r="AM48" i="6"/>
  <c r="AM54" i="6" s="1"/>
  <c r="AM55" i="6" s="1"/>
  <c r="AN47" i="6"/>
  <c r="AO110" i="6"/>
  <c r="AO111" i="6" s="1"/>
  <c r="AO112" i="6" s="1"/>
  <c r="AP109" i="6"/>
  <c r="AQ93" i="5"/>
  <c r="AP94" i="5"/>
  <c r="AM119" i="5"/>
  <c r="AM120" i="5" s="1"/>
  <c r="AM121" i="5" s="1"/>
  <c r="AN118" i="5"/>
  <c r="AL61" i="6"/>
  <c r="AL62" i="6" s="1"/>
  <c r="AL63" i="6" s="1"/>
  <c r="AM82" i="5"/>
  <c r="AM84" i="5" s="1"/>
  <c r="AN80" i="5"/>
  <c r="AQ30" i="5"/>
  <c r="BS112" i="5"/>
  <c r="BU87" i="5"/>
  <c r="AM101" i="5"/>
  <c r="AM102" i="5" s="1"/>
  <c r="AM103" i="5" s="1"/>
  <c r="AM96" i="5"/>
  <c r="AM97" i="5" s="1"/>
  <c r="AN95" i="5"/>
  <c r="AO98" i="6"/>
  <c r="AO100" i="6" s="1"/>
  <c r="AP96" i="6"/>
  <c r="AO86" i="6"/>
  <c r="AN87" i="6"/>
  <c r="AN88" i="6" s="1"/>
  <c r="AN92" i="6"/>
  <c r="AN93" i="6" s="1"/>
  <c r="AN94" i="6" s="1"/>
  <c r="AN143" i="6" s="1"/>
  <c r="AI1" i="4"/>
  <c r="AL5" i="3"/>
  <c r="AK2" i="3"/>
  <c r="AN110" i="5"/>
  <c r="AN111" i="5" s="1"/>
  <c r="AN85" i="5"/>
  <c r="AN86" i="5" s="1"/>
  <c r="AN26" i="5"/>
  <c r="AN18" i="5"/>
  <c r="AN23" i="5" s="1"/>
  <c r="AN24" i="5" s="1"/>
  <c r="AO32" i="6"/>
  <c r="AR84" i="6"/>
  <c r="AQ85" i="6"/>
  <c r="BR112" i="5"/>
  <c r="BT87" i="5"/>
  <c r="AL113" i="5"/>
  <c r="AL114" i="5" s="1"/>
  <c r="AM88" i="5"/>
  <c r="AM89" i="5" s="1"/>
  <c r="AP15" i="5"/>
  <c r="AO16" i="5"/>
  <c r="AO41" i="5" s="1"/>
  <c r="AM106" i="6"/>
  <c r="AM107" i="6" s="1"/>
  <c r="AM82" i="6"/>
  <c r="Z69" i="3"/>
  <c r="Z75" i="3" s="1"/>
  <c r="Z73" i="3"/>
  <c r="Z79" i="3" s="1"/>
  <c r="Z70" i="3"/>
  <c r="Z76" i="3" s="1"/>
  <c r="Z71" i="3"/>
  <c r="Z77" i="3" s="1"/>
  <c r="Z72" i="3"/>
  <c r="Z78" i="3" s="1"/>
  <c r="AH11" i="4"/>
  <c r="AN81" i="6"/>
  <c r="AL70" i="5"/>
  <c r="AL71" i="5" s="1"/>
  <c r="AL72" i="5" s="1"/>
  <c r="AK73" i="5"/>
  <c r="AK74" i="5" s="1"/>
  <c r="AK75" i="5" s="1"/>
  <c r="AK76" i="5" s="1"/>
  <c r="AK77" i="5" s="1"/>
  <c r="AO43" i="6"/>
  <c r="AO44" i="6" s="1"/>
  <c r="AO45" i="6" s="1"/>
  <c r="AP42" i="6"/>
  <c r="AN30" i="3"/>
  <c r="AN26" i="3"/>
  <c r="AN107" i="1"/>
  <c r="AN69" i="5"/>
  <c r="AP17" i="3"/>
  <c r="AQ4" i="3"/>
  <c r="AP16" i="3"/>
  <c r="AQ99" i="5"/>
  <c r="AN134" i="6" l="1"/>
  <c r="AN126" i="6"/>
  <c r="AP121" i="6"/>
  <c r="AO122" i="6"/>
  <c r="AO123" i="6" s="1"/>
  <c r="AO124" i="6" s="1"/>
  <c r="AP118" i="6"/>
  <c r="AQ116" i="6"/>
  <c r="AR115" i="6"/>
  <c r="AS113" i="6"/>
  <c r="AO119" i="6"/>
  <c r="AO127" i="6" s="1"/>
  <c r="AO129" i="6" s="1"/>
  <c r="AO130" i="6" s="1"/>
  <c r="AO120" i="6"/>
  <c r="AR131" i="6"/>
  <c r="AQ132" i="6"/>
  <c r="AQ133" i="6" s="1"/>
  <c r="AP137" i="6"/>
  <c r="AQ136" i="6"/>
  <c r="AN19" i="6"/>
  <c r="AN22" i="6" s="1"/>
  <c r="AN23" i="6" s="1"/>
  <c r="AN76" i="6"/>
  <c r="AN77" i="6" s="1"/>
  <c r="AN101" i="6"/>
  <c r="AO9" i="6"/>
  <c r="AP8" i="6"/>
  <c r="AQ29" i="6"/>
  <c r="AR27" i="6"/>
  <c r="AP30" i="6"/>
  <c r="AP38" i="6" s="1"/>
  <c r="AP40" i="6" s="1"/>
  <c r="AP41" i="6" s="1"/>
  <c r="AP31" i="6"/>
  <c r="AP37" i="6" s="1"/>
  <c r="AI154" i="5"/>
  <c r="AK13" i="1"/>
  <c r="AJ14" i="1"/>
  <c r="AM63" i="5"/>
  <c r="AM64" i="5" s="1"/>
  <c r="AN59" i="5"/>
  <c r="AO54" i="5"/>
  <c r="AN56" i="5"/>
  <c r="AP34" i="5"/>
  <c r="AP38" i="5" s="1"/>
  <c r="AQ33" i="5"/>
  <c r="AO36" i="5"/>
  <c r="AO39" i="5" s="1"/>
  <c r="AP35" i="5"/>
  <c r="AU40" i="5"/>
  <c r="AQ51" i="5"/>
  <c r="AQ52" i="5" s="1"/>
  <c r="AR50" i="5"/>
  <c r="AN58" i="5"/>
  <c r="AN60" i="5" s="1"/>
  <c r="AN46" i="5" s="1"/>
  <c r="AN48" i="5" s="1"/>
  <c r="AN49" i="5" s="1"/>
  <c r="AN53" i="5" s="1"/>
  <c r="AN90" i="5" s="1"/>
  <c r="AN61" i="5"/>
  <c r="AN62" i="5" s="1"/>
  <c r="AO57" i="5"/>
  <c r="AN42" i="5"/>
  <c r="AN43" i="5" s="1"/>
  <c r="AN45" i="5" s="1"/>
  <c r="AO69" i="5"/>
  <c r="AB35" i="1"/>
  <c r="AB37" i="1" s="1"/>
  <c r="AE23" i="1"/>
  <c r="AN131" i="5"/>
  <c r="AN132" i="5" s="1"/>
  <c r="AN134" i="5" s="1"/>
  <c r="AM152" i="5"/>
  <c r="AN29" i="5"/>
  <c r="AN31" i="5" s="1"/>
  <c r="AN32" i="5" s="1"/>
  <c r="AN150" i="5"/>
  <c r="AN151" i="5" s="1"/>
  <c r="AN147" i="5"/>
  <c r="AN149" i="5" s="1"/>
  <c r="AN135" i="5" s="1"/>
  <c r="AN137" i="5" s="1"/>
  <c r="AN138" i="5" s="1"/>
  <c r="AN142" i="5" s="1"/>
  <c r="AN91" i="5" s="1"/>
  <c r="AO146" i="5"/>
  <c r="AO130" i="5"/>
  <c r="AP123" i="5"/>
  <c r="AP127" i="5" s="1"/>
  <c r="AQ122" i="5"/>
  <c r="AM134" i="5"/>
  <c r="AP124" i="5"/>
  <c r="AO125" i="5"/>
  <c r="AO128" i="5" s="1"/>
  <c r="AQ129" i="5"/>
  <c r="AN148" i="5"/>
  <c r="AO143" i="5"/>
  <c r="AN145" i="5"/>
  <c r="AP139" i="5"/>
  <c r="AO140" i="5"/>
  <c r="AO141" i="5" s="1"/>
  <c r="AJ115" i="5"/>
  <c r="AJ116" i="5" s="1"/>
  <c r="AJ117" i="5" s="1"/>
  <c r="AJ104" i="5"/>
  <c r="X39" i="3"/>
  <c r="X40" i="3" s="1"/>
  <c r="Y36" i="3" s="1"/>
  <c r="AB58" i="3"/>
  <c r="AQ19" i="5"/>
  <c r="AP22" i="5"/>
  <c r="V23" i="4"/>
  <c r="V24" i="4" s="1"/>
  <c r="W9" i="4"/>
  <c r="AA59" i="3"/>
  <c r="AA58" i="3"/>
  <c r="AA50" i="3"/>
  <c r="Y27" i="3"/>
  <c r="Z24" i="3" s="1"/>
  <c r="Y37" i="3"/>
  <c r="AB59" i="3"/>
  <c r="AN101" i="5"/>
  <c r="AN102" i="5" s="1"/>
  <c r="AN103" i="5" s="1"/>
  <c r="AO95" i="5"/>
  <c r="AN96" i="5"/>
  <c r="AN97" i="5" s="1"/>
  <c r="AO73" i="6"/>
  <c r="AO75" i="6" s="1"/>
  <c r="AP71" i="6"/>
  <c r="AB29" i="3"/>
  <c r="AB57" i="3"/>
  <c r="AB106" i="1"/>
  <c r="AB25" i="3"/>
  <c r="Z2" i="4" s="1"/>
  <c r="AB31" i="3"/>
  <c r="AD23" i="1"/>
  <c r="AD36" i="1" s="1"/>
  <c r="AD47" i="3"/>
  <c r="AP32" i="6"/>
  <c r="AO33" i="6"/>
  <c r="AO34" i="6" s="1"/>
  <c r="AO35" i="6" s="1"/>
  <c r="AV11" i="7"/>
  <c r="AP31" i="1" s="1"/>
  <c r="AP19" i="3"/>
  <c r="AP21" i="3" s="1"/>
  <c r="AN6" i="4"/>
  <c r="AP38" i="3"/>
  <c r="AO81" i="6"/>
  <c r="AM70" i="5"/>
  <c r="AM71" i="5" s="1"/>
  <c r="AM72" i="5" s="1"/>
  <c r="AR93" i="5"/>
  <c r="AQ94" i="5"/>
  <c r="AP110" i="6"/>
  <c r="AP111" i="6" s="1"/>
  <c r="AP112" i="6" s="1"/>
  <c r="AQ109" i="6"/>
  <c r="AQ107" i="5"/>
  <c r="AQ109" i="5" s="1"/>
  <c r="AR105" i="5"/>
  <c r="AO26" i="3"/>
  <c r="AO30" i="3"/>
  <c r="AO107" i="1"/>
  <c r="BT112" i="5"/>
  <c r="BV87" i="5"/>
  <c r="AR30" i="5"/>
  <c r="AC12" i="4"/>
  <c r="AC22" i="4"/>
  <c r="AC25" i="4" s="1"/>
  <c r="AC26" i="4" s="1"/>
  <c r="AD10" i="4"/>
  <c r="AN82" i="5"/>
  <c r="AN84" i="5" s="1"/>
  <c r="AO80" i="5"/>
  <c r="AQ42" i="6"/>
  <c r="AP43" i="6"/>
  <c r="AP44" i="6" s="1"/>
  <c r="AR99" i="5"/>
  <c r="AR4" i="3"/>
  <c r="AQ17" i="3"/>
  <c r="AQ16" i="3"/>
  <c r="AO110" i="5"/>
  <c r="AO111" i="5" s="1"/>
  <c r="AO85" i="5"/>
  <c r="AO86" i="5" s="1"/>
  <c r="AO26" i="5"/>
  <c r="AO18" i="5"/>
  <c r="AO23" i="5" s="1"/>
  <c r="AO24" i="5" s="1"/>
  <c r="AS84" i="6"/>
  <c r="AR85" i="6"/>
  <c r="AP68" i="5"/>
  <c r="AQ66" i="5"/>
  <c r="AP67" i="5"/>
  <c r="AN106" i="6"/>
  <c r="AN107" i="6" s="1"/>
  <c r="AN82" i="6"/>
  <c r="AI11" i="4"/>
  <c r="AP86" i="6"/>
  <c r="AO92" i="6"/>
  <c r="AO93" i="6" s="1"/>
  <c r="AO94" i="6" s="1"/>
  <c r="AO143" i="6" s="1"/>
  <c r="AO87" i="6"/>
  <c r="AO88" i="6" s="1"/>
  <c r="AM61" i="6"/>
  <c r="AM62" i="6" s="1"/>
  <c r="AM63" i="6" s="1"/>
  <c r="AO103" i="6"/>
  <c r="AP78" i="6"/>
  <c r="AJ1" i="4"/>
  <c r="AL2" i="3"/>
  <c r="AM5" i="3"/>
  <c r="AL104" i="6"/>
  <c r="AL105" i="6" s="1"/>
  <c r="AL108" i="6" s="1"/>
  <c r="AM79" i="6"/>
  <c r="AL80" i="6"/>
  <c r="AL95" i="6" s="1"/>
  <c r="BU112" i="5"/>
  <c r="BW87" i="5"/>
  <c r="AL73" i="5"/>
  <c r="AP16" i="5"/>
  <c r="AP41" i="5" s="1"/>
  <c r="AQ15" i="5"/>
  <c r="AM113" i="5"/>
  <c r="AM114" i="5" s="1"/>
  <c r="AN88" i="5"/>
  <c r="AN89" i="5" s="1"/>
  <c r="AQ96" i="6"/>
  <c r="AP98" i="6"/>
  <c r="AP100" i="6" s="1"/>
  <c r="AN119" i="5"/>
  <c r="AN120" i="5" s="1"/>
  <c r="AN121" i="5" s="1"/>
  <c r="AO118" i="5"/>
  <c r="AN48" i="6"/>
  <c r="AN54" i="6" s="1"/>
  <c r="AN55" i="6" s="1"/>
  <c r="AO47" i="6"/>
  <c r="AL64" i="6"/>
  <c r="AL65" i="6" s="1"/>
  <c r="AL66" i="6" s="1"/>
  <c r="AL67" i="6" s="1"/>
  <c r="AF22" i="1" s="1"/>
  <c r="AO134" i="6" l="1"/>
  <c r="AO144" i="6" s="1"/>
  <c r="AN144" i="6"/>
  <c r="AO126" i="6"/>
  <c r="AR116" i="6"/>
  <c r="AQ118" i="6"/>
  <c r="AS115" i="6"/>
  <c r="AT113" i="6"/>
  <c r="AQ137" i="6"/>
  <c r="AR136" i="6"/>
  <c r="AP119" i="6"/>
  <c r="AP127" i="6" s="1"/>
  <c r="AP129" i="6" s="1"/>
  <c r="AP130" i="6" s="1"/>
  <c r="AP120" i="6"/>
  <c r="AS131" i="6"/>
  <c r="AR132" i="6"/>
  <c r="AR133" i="6" s="1"/>
  <c r="AQ121" i="6"/>
  <c r="AP122" i="6"/>
  <c r="AP123" i="6" s="1"/>
  <c r="AP124" i="6" s="1"/>
  <c r="AO101" i="6"/>
  <c r="AO19" i="6"/>
  <c r="AO22" i="6" s="1"/>
  <c r="AO23" i="6" s="1"/>
  <c r="AO76" i="6"/>
  <c r="AO77" i="6" s="1"/>
  <c r="AP45" i="6"/>
  <c r="AP81" i="6" s="1"/>
  <c r="AQ30" i="6"/>
  <c r="AQ38" i="6" s="1"/>
  <c r="AQ40" i="6" s="1"/>
  <c r="AQ41" i="6" s="1"/>
  <c r="AQ31" i="6"/>
  <c r="AQ37" i="6" s="1"/>
  <c r="AP9" i="6"/>
  <c r="AQ8" i="6"/>
  <c r="AS27" i="6"/>
  <c r="AR29" i="6"/>
  <c r="AM153" i="5"/>
  <c r="AJ154" i="5"/>
  <c r="AL13" i="1"/>
  <c r="AK14" i="1"/>
  <c r="AQ34" i="5"/>
  <c r="AQ38" i="5" s="1"/>
  <c r="AR33" i="5"/>
  <c r="AN63" i="5"/>
  <c r="AN64" i="5" s="1"/>
  <c r="AO42" i="5"/>
  <c r="AO43" i="5" s="1"/>
  <c r="AO45" i="5" s="1"/>
  <c r="AO56" i="5"/>
  <c r="AO59" i="5"/>
  <c r="AP54" i="5"/>
  <c r="AS50" i="5"/>
  <c r="AR51" i="5"/>
  <c r="AR52" i="5" s="1"/>
  <c r="AV40" i="5"/>
  <c r="AE47" i="3"/>
  <c r="AQ35" i="5"/>
  <c r="AP36" i="5"/>
  <c r="AP39" i="5" s="1"/>
  <c r="AO61" i="5"/>
  <c r="AO62" i="5" s="1"/>
  <c r="AO58" i="5"/>
  <c r="AO60" i="5" s="1"/>
  <c r="AO46" i="5" s="1"/>
  <c r="AO48" i="5" s="1"/>
  <c r="AO49" i="5" s="1"/>
  <c r="AO53" i="5" s="1"/>
  <c r="AO90" i="5" s="1"/>
  <c r="AP57" i="5"/>
  <c r="AN152" i="5"/>
  <c r="AN153" i="5" s="1"/>
  <c r="AO29" i="5"/>
  <c r="AO31" i="5" s="1"/>
  <c r="AO32" i="5" s="1"/>
  <c r="AO150" i="5"/>
  <c r="AO151" i="5" s="1"/>
  <c r="AO147" i="5"/>
  <c r="AO149" i="5" s="1"/>
  <c r="AO135" i="5" s="1"/>
  <c r="AO137" i="5" s="1"/>
  <c r="AO138" i="5" s="1"/>
  <c r="AO142" i="5" s="1"/>
  <c r="AO91" i="5" s="1"/>
  <c r="AP146" i="5"/>
  <c r="AD18" i="1"/>
  <c r="AP130" i="5"/>
  <c r="AQ123" i="5"/>
  <c r="AQ127" i="5" s="1"/>
  <c r="AR122" i="5"/>
  <c r="AO131" i="5"/>
  <c r="AO132" i="5" s="1"/>
  <c r="AO134" i="5" s="1"/>
  <c r="Y39" i="3"/>
  <c r="Y40" i="3" s="1"/>
  <c r="Z36" i="3" s="1"/>
  <c r="AR129" i="5"/>
  <c r="AO148" i="5"/>
  <c r="AP143" i="5"/>
  <c r="AO145" i="5"/>
  <c r="AQ139" i="5"/>
  <c r="AP140" i="5"/>
  <c r="AP141" i="5" s="1"/>
  <c r="AP125" i="5"/>
  <c r="AP128" i="5" s="1"/>
  <c r="AQ124" i="5"/>
  <c r="AF23" i="1"/>
  <c r="AF36" i="1" s="1"/>
  <c r="Z27" i="3"/>
  <c r="AA24" i="3" s="1"/>
  <c r="Z37" i="3"/>
  <c r="AK115" i="5"/>
  <c r="AK116" i="5" s="1"/>
  <c r="AK117" i="5" s="1"/>
  <c r="AK104" i="5"/>
  <c r="AK154" i="5" s="1"/>
  <c r="AC46" i="3"/>
  <c r="AC48" i="3" s="1"/>
  <c r="AC18" i="1"/>
  <c r="AA25" i="3"/>
  <c r="Y2" i="4" s="1"/>
  <c r="AA106" i="1"/>
  <c r="AA29" i="3"/>
  <c r="AA31" i="3"/>
  <c r="AA32" i="3" s="1"/>
  <c r="AB32" i="3" s="1"/>
  <c r="AA57" i="3"/>
  <c r="AR19" i="5"/>
  <c r="AQ22" i="5"/>
  <c r="AE17" i="1"/>
  <c r="X9" i="4"/>
  <c r="W23" i="4"/>
  <c r="W24" i="4" s="1"/>
  <c r="AQ16" i="5"/>
  <c r="AR15" i="5"/>
  <c r="BV112" i="5"/>
  <c r="BX87" i="5"/>
  <c r="AR17" i="3"/>
  <c r="AS4" i="3"/>
  <c r="AR16" i="3"/>
  <c r="AQ43" i="6"/>
  <c r="AQ44" i="6" s="1"/>
  <c r="AR42" i="6"/>
  <c r="AE36" i="1"/>
  <c r="AS99" i="5"/>
  <c r="AM73" i="5"/>
  <c r="AJ11" i="4"/>
  <c r="AO106" i="6"/>
  <c r="AO107" i="6" s="1"/>
  <c r="AO82" i="6"/>
  <c r="AQ32" i="6"/>
  <c r="AR96" i="6"/>
  <c r="AQ98" i="6"/>
  <c r="AQ100" i="6" s="1"/>
  <c r="AP69" i="5"/>
  <c r="AP92" i="6"/>
  <c r="AP93" i="6" s="1"/>
  <c r="AP94" i="6" s="1"/>
  <c r="AP143" i="6" s="1"/>
  <c r="AP87" i="6"/>
  <c r="AP88" i="6" s="1"/>
  <c r="AQ86" i="6"/>
  <c r="AN70" i="5"/>
  <c r="AN71" i="5" s="1"/>
  <c r="AN72" i="5" s="1"/>
  <c r="AO119" i="5"/>
  <c r="AO120" i="5" s="1"/>
  <c r="AO121" i="5" s="1"/>
  <c r="AP118" i="5"/>
  <c r="AP110" i="5"/>
  <c r="AP111" i="5" s="1"/>
  <c r="AP85" i="5"/>
  <c r="AP86" i="5" s="1"/>
  <c r="AP26" i="5"/>
  <c r="AP18" i="5"/>
  <c r="AP23" i="5" s="1"/>
  <c r="AP24" i="5" s="1"/>
  <c r="AM104" i="6"/>
  <c r="AM105" i="6" s="1"/>
  <c r="AM108" i="6" s="1"/>
  <c r="AN79" i="6"/>
  <c r="AM80" i="6"/>
  <c r="AM95" i="6" s="1"/>
  <c r="AL74" i="5"/>
  <c r="AL75" i="5" s="1"/>
  <c r="AL76" i="5" s="1"/>
  <c r="AL77" i="5" s="1"/>
  <c r="AN113" i="5"/>
  <c r="AN114" i="5" s="1"/>
  <c r="AO88" i="5"/>
  <c r="AO89" i="5" s="1"/>
  <c r="AM64" i="6"/>
  <c r="AM65" i="6" s="1"/>
  <c r="AM66" i="6" s="1"/>
  <c r="AM67" i="6" s="1"/>
  <c r="AG22" i="1" s="1"/>
  <c r="AK1" i="4"/>
  <c r="AM2" i="3"/>
  <c r="AN5" i="3"/>
  <c r="AN61" i="6"/>
  <c r="AN62" i="6" s="1"/>
  <c r="AN63" i="6" s="1"/>
  <c r="AW11" i="7"/>
  <c r="AQ31" i="1" s="1"/>
  <c r="AQ19" i="3"/>
  <c r="AQ21" i="3" s="1"/>
  <c r="AQ38" i="3"/>
  <c r="AO6" i="4"/>
  <c r="AQ110" i="6"/>
  <c r="AQ111" i="6" s="1"/>
  <c r="AQ112" i="6" s="1"/>
  <c r="AR109" i="6"/>
  <c r="AO48" i="6"/>
  <c r="AO54" i="6" s="1"/>
  <c r="AO55" i="6" s="1"/>
  <c r="AP47" i="6"/>
  <c r="BW112" i="5"/>
  <c r="BY87" i="5"/>
  <c r="AT84" i="6"/>
  <c r="AS85" i="6"/>
  <c r="AR107" i="5"/>
  <c r="AR109" i="5" s="1"/>
  <c r="AS105" i="5"/>
  <c r="AQ71" i="6"/>
  <c r="AP73" i="6"/>
  <c r="AP75" i="6" s="1"/>
  <c r="AP26" i="3"/>
  <c r="AP30" i="3"/>
  <c r="AP107" i="1"/>
  <c r="AP80" i="5"/>
  <c r="AO82" i="5"/>
  <c r="AO84" i="5" s="1"/>
  <c r="AS93" i="5"/>
  <c r="AR94" i="5"/>
  <c r="AP103" i="6"/>
  <c r="AQ78" i="6"/>
  <c r="AO101" i="5"/>
  <c r="AO102" i="5" s="1"/>
  <c r="AO103" i="5" s="1"/>
  <c r="AP95" i="5"/>
  <c r="AO96" i="5"/>
  <c r="AO97" i="5" s="1"/>
  <c r="AQ67" i="5"/>
  <c r="AR66" i="5"/>
  <c r="AQ68" i="5"/>
  <c r="AD22" i="4"/>
  <c r="AD25" i="4" s="1"/>
  <c r="AD26" i="4" s="1"/>
  <c r="AD12" i="4"/>
  <c r="AE10" i="4"/>
  <c r="AB71" i="3"/>
  <c r="AB77" i="3" s="1"/>
  <c r="AB73" i="3"/>
  <c r="AB79" i="3" s="1"/>
  <c r="AB69" i="3"/>
  <c r="AB75" i="3" s="1"/>
  <c r="AB72" i="3"/>
  <c r="AB78" i="3" s="1"/>
  <c r="AB70" i="3"/>
  <c r="AB76" i="3" s="1"/>
  <c r="AS30" i="5"/>
  <c r="AP126" i="6" l="1"/>
  <c r="AP134" i="6"/>
  <c r="AP144" i="6" s="1"/>
  <c r="AS136" i="6"/>
  <c r="AR137" i="6"/>
  <c r="AR121" i="6"/>
  <c r="AQ122" i="6"/>
  <c r="AQ123" i="6" s="1"/>
  <c r="AQ124" i="6" s="1"/>
  <c r="AU113" i="6"/>
  <c r="AT115" i="6"/>
  <c r="AS132" i="6"/>
  <c r="AS133" i="6" s="1"/>
  <c r="AT131" i="6"/>
  <c r="AQ120" i="6"/>
  <c r="AQ119" i="6"/>
  <c r="AQ127" i="6" s="1"/>
  <c r="AQ129" i="6" s="1"/>
  <c r="AQ130" i="6" s="1"/>
  <c r="AS116" i="6"/>
  <c r="AR118" i="6"/>
  <c r="AQ9" i="6"/>
  <c r="AQ33" i="6" s="1"/>
  <c r="AQ34" i="6" s="1"/>
  <c r="AQ35" i="6" s="1"/>
  <c r="AR8" i="6"/>
  <c r="AP19" i="6"/>
  <c r="AP22" i="6" s="1"/>
  <c r="AP23" i="6" s="1"/>
  <c r="AP76" i="6"/>
  <c r="AP77" i="6" s="1"/>
  <c r="AP101" i="6"/>
  <c r="AP33" i="6"/>
  <c r="AP34" i="6" s="1"/>
  <c r="AP35" i="6" s="1"/>
  <c r="AQ45" i="6"/>
  <c r="AQ81" i="6" s="1"/>
  <c r="AR31" i="6"/>
  <c r="AR37" i="6" s="1"/>
  <c r="AR30" i="6"/>
  <c r="AR38" i="6" s="1"/>
  <c r="AR40" i="6" s="1"/>
  <c r="AR41" i="6" s="1"/>
  <c r="AS29" i="6"/>
  <c r="AT27" i="6"/>
  <c r="AL14" i="1"/>
  <c r="AM13" i="1"/>
  <c r="AP59" i="5"/>
  <c r="AQ54" i="5"/>
  <c r="AP56" i="5"/>
  <c r="AO63" i="5"/>
  <c r="AO64" i="5" s="1"/>
  <c r="AR34" i="5"/>
  <c r="AR38" i="5" s="1"/>
  <c r="AS33" i="5"/>
  <c r="AP61" i="5"/>
  <c r="AP62" i="5" s="1"/>
  <c r="AP63" i="5" s="1"/>
  <c r="AP58" i="5"/>
  <c r="AP60" i="5" s="1"/>
  <c r="AP46" i="5" s="1"/>
  <c r="AP48" i="5" s="1"/>
  <c r="AP49" i="5" s="1"/>
  <c r="AP53" i="5" s="1"/>
  <c r="AP90" i="5" s="1"/>
  <c r="AQ57" i="5"/>
  <c r="AW40" i="5"/>
  <c r="AQ130" i="5"/>
  <c r="AQ41" i="5"/>
  <c r="AQ42" i="5" s="1"/>
  <c r="AQ43" i="5" s="1"/>
  <c r="AT50" i="5"/>
  <c r="AS51" i="5"/>
  <c r="AS52" i="5" s="1"/>
  <c r="AR35" i="5"/>
  <c r="AQ36" i="5"/>
  <c r="AQ39" i="5" s="1"/>
  <c r="AP42" i="5"/>
  <c r="AP43" i="5" s="1"/>
  <c r="AP45" i="5" s="1"/>
  <c r="AP64" i="5" s="1"/>
  <c r="AG47" i="3"/>
  <c r="AE18" i="1"/>
  <c r="AF47" i="3"/>
  <c r="AD46" i="3"/>
  <c r="AD48" i="3" s="1"/>
  <c r="AD50" i="3" s="1"/>
  <c r="AD29" i="3" s="1"/>
  <c r="Z39" i="3"/>
  <c r="Z40" i="3" s="1"/>
  <c r="AA36" i="3" s="1"/>
  <c r="AP29" i="5"/>
  <c r="AP31" i="5" s="1"/>
  <c r="AP32" i="5" s="1"/>
  <c r="AQ146" i="5"/>
  <c r="AP150" i="5"/>
  <c r="AP151" i="5" s="1"/>
  <c r="AP147" i="5"/>
  <c r="AP149" i="5" s="1"/>
  <c r="AP135" i="5" s="1"/>
  <c r="AP137" i="5" s="1"/>
  <c r="AP138" i="5" s="1"/>
  <c r="AP142" i="5" s="1"/>
  <c r="AP91" i="5" s="1"/>
  <c r="AO152" i="5"/>
  <c r="AO153" i="5" s="1"/>
  <c r="AR123" i="5"/>
  <c r="AR127" i="5" s="1"/>
  <c r="AS122" i="5"/>
  <c r="AP131" i="5"/>
  <c r="AP132" i="5" s="1"/>
  <c r="AP134" i="5" s="1"/>
  <c r="AQ125" i="5"/>
  <c r="AQ128" i="5" s="1"/>
  <c r="AR124" i="5"/>
  <c r="AR139" i="5"/>
  <c r="AQ140" i="5"/>
  <c r="AQ141" i="5" s="1"/>
  <c r="AP148" i="5"/>
  <c r="AP145" i="5"/>
  <c r="AQ143" i="5"/>
  <c r="AS129" i="5"/>
  <c r="AQ69" i="5"/>
  <c r="AF17" i="1"/>
  <c r="AA70" i="3"/>
  <c r="AA76" i="3" s="1"/>
  <c r="AA71" i="3"/>
  <c r="AA77" i="3" s="1"/>
  <c r="AA73" i="3"/>
  <c r="AA79" i="3" s="1"/>
  <c r="AA72" i="3"/>
  <c r="AA78" i="3" s="1"/>
  <c r="AA69" i="3"/>
  <c r="AA75" i="3" s="1"/>
  <c r="AC50" i="3"/>
  <c r="AC58" i="3"/>
  <c r="AC59" i="3"/>
  <c r="AS19" i="5"/>
  <c r="AR22" i="5"/>
  <c r="AC35" i="1"/>
  <c r="AC37" i="1" s="1"/>
  <c r="AD35" i="1"/>
  <c r="AD37" i="1" s="1"/>
  <c r="AA37" i="3"/>
  <c r="AA27" i="3"/>
  <c r="AB24" i="3" s="1"/>
  <c r="X23" i="4"/>
  <c r="X24" i="4" s="1"/>
  <c r="Y9" i="4"/>
  <c r="AL115" i="5"/>
  <c r="AL116" i="5" s="1"/>
  <c r="AL117" i="5" s="1"/>
  <c r="AL104" i="5"/>
  <c r="AL154" i="5" s="1"/>
  <c r="AQ80" i="5"/>
  <c r="AP82" i="5"/>
  <c r="AP84" i="5" s="1"/>
  <c r="AT4" i="3"/>
  <c r="AS16" i="3"/>
  <c r="AS17" i="3"/>
  <c r="AR16" i="5"/>
  <c r="AR41" i="5" s="1"/>
  <c r="AS15" i="5"/>
  <c r="AQ110" i="5"/>
  <c r="AQ111" i="5" s="1"/>
  <c r="AQ85" i="5"/>
  <c r="AQ86" i="5" s="1"/>
  <c r="AQ26" i="5"/>
  <c r="AQ18" i="5"/>
  <c r="AQ23" i="5" s="1"/>
  <c r="AQ24" i="5" s="1"/>
  <c r="AR32" i="6"/>
  <c r="AO70" i="5"/>
  <c r="AO71" i="5" s="1"/>
  <c r="AO72" i="5" s="1"/>
  <c r="AN104" i="6"/>
  <c r="AN105" i="6" s="1"/>
  <c r="AN108" i="6" s="1"/>
  <c r="AO79" i="6"/>
  <c r="AN80" i="6"/>
  <c r="AN95" i="6" s="1"/>
  <c r="BY112" i="5"/>
  <c r="CA87" i="5"/>
  <c r="AK11" i="4"/>
  <c r="AS42" i="6"/>
  <c r="AR43" i="6"/>
  <c r="AR44" i="6" s="1"/>
  <c r="AP106" i="6"/>
  <c r="AP107" i="6" s="1"/>
  <c r="AP82" i="6"/>
  <c r="AT30" i="5"/>
  <c r="AP96" i="5"/>
  <c r="AP97" i="5" s="1"/>
  <c r="AQ95" i="5"/>
  <c r="AP101" i="5"/>
  <c r="AP102" i="5" s="1"/>
  <c r="AP103" i="5" s="1"/>
  <c r="AT93" i="5"/>
  <c r="AS94" i="5"/>
  <c r="AS107" i="5"/>
  <c r="AS109" i="5" s="1"/>
  <c r="AT105" i="5"/>
  <c r="AN64" i="6"/>
  <c r="AN65" i="6" s="1"/>
  <c r="AN66" i="6" s="1"/>
  <c r="AN67" i="6" s="1"/>
  <c r="AH22" i="1" s="1"/>
  <c r="AQ92" i="6"/>
  <c r="AQ93" i="6" s="1"/>
  <c r="AQ94" i="6" s="1"/>
  <c r="AQ143" i="6" s="1"/>
  <c r="AQ87" i="6"/>
  <c r="AQ88" i="6" s="1"/>
  <c r="AR86" i="6"/>
  <c r="AN73" i="5"/>
  <c r="AN74" i="5" s="1"/>
  <c r="AN75" i="5" s="1"/>
  <c r="AN76" i="5" s="1"/>
  <c r="AN77" i="5" s="1"/>
  <c r="AR110" i="6"/>
  <c r="AR111" i="6" s="1"/>
  <c r="AR112" i="6" s="1"/>
  <c r="AS109" i="6"/>
  <c r="AS96" i="6"/>
  <c r="AR98" i="6"/>
  <c r="AR100" i="6" s="1"/>
  <c r="AQ103" i="6"/>
  <c r="AR78" i="6"/>
  <c r="AU84" i="6"/>
  <c r="AT85" i="6"/>
  <c r="AQ47" i="6"/>
  <c r="AP48" i="6"/>
  <c r="AP54" i="6" s="1"/>
  <c r="AP55" i="6" s="1"/>
  <c r="AL1" i="4"/>
  <c r="AO5" i="3"/>
  <c r="AN2" i="3"/>
  <c r="AT99" i="5"/>
  <c r="AR68" i="5"/>
  <c r="AR67" i="5"/>
  <c r="AS66" i="5"/>
  <c r="AQ73" i="6"/>
  <c r="AQ75" i="6" s="1"/>
  <c r="AR71" i="6"/>
  <c r="AQ26" i="3"/>
  <c r="AQ30" i="3"/>
  <c r="AQ107" i="1"/>
  <c r="AE22" i="4"/>
  <c r="AE25" i="4" s="1"/>
  <c r="AE26" i="4" s="1"/>
  <c r="AE12" i="4"/>
  <c r="AF10" i="4"/>
  <c r="AO61" i="6"/>
  <c r="AO62" i="6" s="1"/>
  <c r="AO63" i="6" s="1"/>
  <c r="AP88" i="5"/>
  <c r="AP89" i="5" s="1"/>
  <c r="AO113" i="5"/>
  <c r="AO114" i="5" s="1"/>
  <c r="AP119" i="5"/>
  <c r="AP120" i="5" s="1"/>
  <c r="AP121" i="5" s="1"/>
  <c r="AQ118" i="5"/>
  <c r="AM74" i="5"/>
  <c r="AM75" i="5" s="1"/>
  <c r="AM76" i="5" s="1"/>
  <c r="AM77" i="5" s="1"/>
  <c r="AX11" i="7"/>
  <c r="AR31" i="1" s="1"/>
  <c r="AP6" i="4"/>
  <c r="AR19" i="3"/>
  <c r="AR21" i="3" s="1"/>
  <c r="AR38" i="3"/>
  <c r="BX112" i="5"/>
  <c r="BZ87" i="5"/>
  <c r="AR45" i="6" l="1"/>
  <c r="AQ126" i="6"/>
  <c r="AQ134" i="6"/>
  <c r="AQ144" i="6" s="1"/>
  <c r="AR120" i="6"/>
  <c r="AR119" i="6"/>
  <c r="AR127" i="6" s="1"/>
  <c r="AR129" i="6" s="1"/>
  <c r="AR130" i="6" s="1"/>
  <c r="AT116" i="6"/>
  <c r="AS118" i="6"/>
  <c r="AV113" i="6"/>
  <c r="AU115" i="6"/>
  <c r="AS121" i="6"/>
  <c r="AR122" i="6"/>
  <c r="AR123" i="6" s="1"/>
  <c r="AR124" i="6" s="1"/>
  <c r="AT132" i="6"/>
  <c r="AT133" i="6" s="1"/>
  <c r="AU131" i="6"/>
  <c r="AS137" i="6"/>
  <c r="AT136" i="6"/>
  <c r="AT29" i="6"/>
  <c r="AU27" i="6"/>
  <c r="AS30" i="6"/>
  <c r="AS38" i="6" s="1"/>
  <c r="AS40" i="6" s="1"/>
  <c r="AS41" i="6" s="1"/>
  <c r="AS31" i="6"/>
  <c r="AS37" i="6" s="1"/>
  <c r="AR9" i="6"/>
  <c r="AR33" i="6" s="1"/>
  <c r="AR34" i="6" s="1"/>
  <c r="AR35" i="6" s="1"/>
  <c r="AS8" i="6"/>
  <c r="AQ101" i="6"/>
  <c r="AQ19" i="6"/>
  <c r="AQ22" i="6" s="1"/>
  <c r="AQ23" i="6" s="1"/>
  <c r="AQ76" i="6"/>
  <c r="AQ77" i="6" s="1"/>
  <c r="AM14" i="1"/>
  <c r="AN13" i="1"/>
  <c r="AT33" i="5"/>
  <c r="AS34" i="5"/>
  <c r="AS38" i="5" s="1"/>
  <c r="AQ59" i="5"/>
  <c r="AQ56" i="5"/>
  <c r="AR54" i="5"/>
  <c r="AG23" i="1"/>
  <c r="AG36" i="1" s="1"/>
  <c r="AE46" i="3"/>
  <c r="AE48" i="3" s="1"/>
  <c r="AE58" i="3" s="1"/>
  <c r="AR57" i="5"/>
  <c r="AQ61" i="5"/>
  <c r="AQ62" i="5" s="1"/>
  <c r="AQ63" i="5" s="1"/>
  <c r="AQ58" i="5"/>
  <c r="AQ60" i="5" s="1"/>
  <c r="AQ46" i="5" s="1"/>
  <c r="AQ48" i="5" s="1"/>
  <c r="AQ49" i="5" s="1"/>
  <c r="AQ53" i="5" s="1"/>
  <c r="AQ90" i="5" s="1"/>
  <c r="AS35" i="5"/>
  <c r="AR36" i="5"/>
  <c r="AR39" i="5" s="1"/>
  <c r="AU50" i="5"/>
  <c r="AT51" i="5"/>
  <c r="AT52" i="5" s="1"/>
  <c r="AX40" i="5"/>
  <c r="AQ45" i="5"/>
  <c r="AD59" i="3"/>
  <c r="AD106" i="1"/>
  <c r="AD25" i="3"/>
  <c r="AB2" i="4" s="1"/>
  <c r="AD31" i="3"/>
  <c r="AD57" i="3"/>
  <c r="AD72" i="3" s="1"/>
  <c r="AD78" i="3" s="1"/>
  <c r="AA39" i="3"/>
  <c r="AA40" i="3" s="1"/>
  <c r="AB36" i="3" s="1"/>
  <c r="AD58" i="3"/>
  <c r="AQ29" i="5"/>
  <c r="AQ31" i="5" s="1"/>
  <c r="AQ32" i="5" s="1"/>
  <c r="AQ147" i="5"/>
  <c r="AQ149" i="5" s="1"/>
  <c r="AQ135" i="5" s="1"/>
  <c r="AQ137" i="5" s="1"/>
  <c r="AQ138" i="5" s="1"/>
  <c r="AQ142" i="5" s="1"/>
  <c r="AQ91" i="5" s="1"/>
  <c r="AR146" i="5"/>
  <c r="AQ150" i="5"/>
  <c r="AQ151" i="5" s="1"/>
  <c r="AP152" i="5"/>
  <c r="AP153" i="5" s="1"/>
  <c r="AR130" i="5"/>
  <c r="AT122" i="5"/>
  <c r="AS123" i="5"/>
  <c r="AS127" i="5" s="1"/>
  <c r="AR140" i="5"/>
  <c r="AR141" i="5" s="1"/>
  <c r="AS139" i="5"/>
  <c r="AQ148" i="5"/>
  <c r="AQ145" i="5"/>
  <c r="AR143" i="5"/>
  <c r="AR125" i="5"/>
  <c r="AR128" i="5" s="1"/>
  <c r="AS124" i="5"/>
  <c r="AT129" i="5"/>
  <c r="AQ131" i="5"/>
  <c r="AQ132" i="5" s="1"/>
  <c r="AQ134" i="5" s="1"/>
  <c r="AG17" i="1"/>
  <c r="AE35" i="1"/>
  <c r="AE37" i="1" s="1"/>
  <c r="AS22" i="5"/>
  <c r="AT19" i="5"/>
  <c r="AM115" i="5"/>
  <c r="AM116" i="5" s="1"/>
  <c r="AM117" i="5" s="1"/>
  <c r="AM104" i="5"/>
  <c r="AM154" i="5" s="1"/>
  <c r="AB27" i="3"/>
  <c r="AC24" i="3" s="1"/>
  <c r="AB37" i="3"/>
  <c r="AC57" i="3"/>
  <c r="AC106" i="1"/>
  <c r="AC31" i="3"/>
  <c r="AC32" i="3" s="1"/>
  <c r="AC25" i="3"/>
  <c r="AA2" i="4" s="1"/>
  <c r="AC29" i="3"/>
  <c r="AH47" i="3"/>
  <c r="Y23" i="4"/>
  <c r="Y24" i="4" s="1"/>
  <c r="Z9" i="4"/>
  <c r="AQ96" i="5"/>
  <c r="AQ97" i="5" s="1"/>
  <c r="AQ101" i="5"/>
  <c r="AQ102" i="5" s="1"/>
  <c r="AQ103" i="5" s="1"/>
  <c r="AR95" i="5"/>
  <c r="AS86" i="6"/>
  <c r="AR92" i="6"/>
  <c r="AR93" i="6" s="1"/>
  <c r="AR94" i="6" s="1"/>
  <c r="AR143" i="6" s="1"/>
  <c r="AR87" i="6"/>
  <c r="AR88" i="6" s="1"/>
  <c r="AU105" i="5"/>
  <c r="AT107" i="5"/>
  <c r="AT109" i="5" s="1"/>
  <c r="AR69" i="5"/>
  <c r="AS43" i="6"/>
  <c r="AS44" i="6" s="1"/>
  <c r="AS45" i="6" s="1"/>
  <c r="AT42" i="6"/>
  <c r="AO104" i="6"/>
  <c r="AO105" i="6" s="1"/>
  <c r="AO108" i="6" s="1"/>
  <c r="AP79" i="6"/>
  <c r="AO80" i="6"/>
  <c r="AO95" i="6" s="1"/>
  <c r="AS32" i="6"/>
  <c r="AR110" i="5"/>
  <c r="AR111" i="5" s="1"/>
  <c r="AR85" i="5"/>
  <c r="AR86" i="5" s="1"/>
  <c r="AR26" i="5"/>
  <c r="AR18" i="5"/>
  <c r="AR23" i="5" s="1"/>
  <c r="AR24" i="5" s="1"/>
  <c r="AQ106" i="6"/>
  <c r="AQ107" i="6" s="1"/>
  <c r="AQ82" i="6"/>
  <c r="AU30" i="5"/>
  <c r="AR30" i="3"/>
  <c r="AR26" i="3"/>
  <c r="AR107" i="1"/>
  <c r="AP113" i="5"/>
  <c r="AP114" i="5" s="1"/>
  <c r="AQ88" i="5"/>
  <c r="AQ89" i="5" s="1"/>
  <c r="AV84" i="6"/>
  <c r="AU85" i="6"/>
  <c r="AS110" i="6"/>
  <c r="AS111" i="6" s="1"/>
  <c r="AS112" i="6" s="1"/>
  <c r="AT109" i="6"/>
  <c r="AT17" i="3"/>
  <c r="AT16" i="3"/>
  <c r="AU4" i="3"/>
  <c r="AR73" i="6"/>
  <c r="AR75" i="6" s="1"/>
  <c r="AS71" i="6"/>
  <c r="AP5" i="3"/>
  <c r="AM1" i="4"/>
  <c r="AO2" i="3"/>
  <c r="AO73" i="5"/>
  <c r="AO74" i="5" s="1"/>
  <c r="AO75" i="5" s="1"/>
  <c r="AO76" i="5" s="1"/>
  <c r="AO77" i="5" s="1"/>
  <c r="AO64" i="6"/>
  <c r="AO65" i="6" s="1"/>
  <c r="AO66" i="6" s="1"/>
  <c r="AO67" i="6" s="1"/>
  <c r="AI22" i="1" s="1"/>
  <c r="AR80" i="5"/>
  <c r="AQ82" i="5"/>
  <c r="AQ84" i="5" s="1"/>
  <c r="BZ112" i="5"/>
  <c r="CB87" i="5"/>
  <c r="AR118" i="5"/>
  <c r="AQ119" i="5"/>
  <c r="AQ120" i="5" s="1"/>
  <c r="AQ121" i="5" s="1"/>
  <c r="AF22" i="4"/>
  <c r="AF25" i="4" s="1"/>
  <c r="AF26" i="4" s="1"/>
  <c r="AF12" i="4"/>
  <c r="AG10" i="4"/>
  <c r="AT66" i="5"/>
  <c r="AS68" i="5"/>
  <c r="AS67" i="5"/>
  <c r="AS98" i="6"/>
  <c r="AS100" i="6" s="1"/>
  <c r="AT96" i="6"/>
  <c r="AR47" i="6"/>
  <c r="AQ48" i="6"/>
  <c r="AQ54" i="6" s="1"/>
  <c r="AQ55" i="6" s="1"/>
  <c r="AR81" i="6"/>
  <c r="AS16" i="5"/>
  <c r="AS41" i="5" s="1"/>
  <c r="AT15" i="5"/>
  <c r="AP61" i="6"/>
  <c r="AU99" i="5"/>
  <c r="AR103" i="6"/>
  <c r="AS78" i="6"/>
  <c r="AU93" i="5"/>
  <c r="AT94" i="5"/>
  <c r="AL11" i="4"/>
  <c r="CA112" i="5"/>
  <c r="CC87" i="5"/>
  <c r="AP70" i="5"/>
  <c r="AY11" i="7"/>
  <c r="AS31" i="1" s="1"/>
  <c r="AQ6" i="4"/>
  <c r="AS19" i="3"/>
  <c r="AS21" i="3" s="1"/>
  <c r="AS38" i="3"/>
  <c r="AR134" i="6" l="1"/>
  <c r="AR126" i="6"/>
  <c r="AT121" i="6"/>
  <c r="AS122" i="6"/>
  <c r="AS123" i="6" s="1"/>
  <c r="AS124" i="6" s="1"/>
  <c r="AW113" i="6"/>
  <c r="AV115" i="6"/>
  <c r="AT137" i="6"/>
  <c r="AU136" i="6"/>
  <c r="AS120" i="6"/>
  <c r="AS119" i="6"/>
  <c r="AS127" i="6" s="1"/>
  <c r="AS129" i="6" s="1"/>
  <c r="AS130" i="6" s="1"/>
  <c r="AU116" i="6"/>
  <c r="AT118" i="6"/>
  <c r="AU132" i="6"/>
  <c r="AU133" i="6" s="1"/>
  <c r="AV131" i="6"/>
  <c r="AT8" i="6"/>
  <c r="AS9" i="6"/>
  <c r="AR19" i="6"/>
  <c r="AR22" i="6" s="1"/>
  <c r="AR23" i="6" s="1"/>
  <c r="AR101" i="6"/>
  <c r="AR76" i="6"/>
  <c r="AR77" i="6" s="1"/>
  <c r="AU29" i="6"/>
  <c r="AV27" i="6"/>
  <c r="AT30" i="6"/>
  <c r="AT38" i="6" s="1"/>
  <c r="AT40" i="6" s="1"/>
  <c r="AT41" i="6" s="1"/>
  <c r="AT31" i="6"/>
  <c r="AT37" i="6" s="1"/>
  <c r="AN14" i="1"/>
  <c r="AO13" i="1"/>
  <c r="AD73" i="3"/>
  <c r="AD79" i="3" s="1"/>
  <c r="AS54" i="5"/>
  <c r="AR59" i="5"/>
  <c r="AR56" i="5"/>
  <c r="AR42" i="5"/>
  <c r="AR43" i="5" s="1"/>
  <c r="AR45" i="5" s="1"/>
  <c r="AR64" i="5" s="1"/>
  <c r="AT34" i="5"/>
  <c r="AT38" i="5" s="1"/>
  <c r="AU33" i="5"/>
  <c r="AS57" i="5"/>
  <c r="AR61" i="5"/>
  <c r="AR62" i="5" s="1"/>
  <c r="AR63" i="5" s="1"/>
  <c r="AR58" i="5"/>
  <c r="AR60" i="5" s="1"/>
  <c r="AR46" i="5" s="1"/>
  <c r="AR48" i="5" s="1"/>
  <c r="AR49" i="5" s="1"/>
  <c r="AR53" i="5" s="1"/>
  <c r="AR90" i="5" s="1"/>
  <c r="AE59" i="3"/>
  <c r="AT35" i="5"/>
  <c r="AS36" i="5"/>
  <c r="AS39" i="5" s="1"/>
  <c r="AY40" i="5"/>
  <c r="AV50" i="5"/>
  <c r="AU51" i="5"/>
  <c r="AU52" i="5" s="1"/>
  <c r="AD32" i="3"/>
  <c r="AE50" i="3"/>
  <c r="AE29" i="3" s="1"/>
  <c r="AQ64" i="5"/>
  <c r="AD70" i="3"/>
  <c r="AD76" i="3" s="1"/>
  <c r="AD69" i="3"/>
  <c r="AD75" i="3" s="1"/>
  <c r="AD71" i="3"/>
  <c r="AD77" i="3" s="1"/>
  <c r="AB39" i="3"/>
  <c r="AB40" i="3" s="1"/>
  <c r="AC36" i="3" s="1"/>
  <c r="AR29" i="5"/>
  <c r="AR31" i="5" s="1"/>
  <c r="AR150" i="5"/>
  <c r="AR151" i="5" s="1"/>
  <c r="AS146" i="5"/>
  <c r="AR147" i="5"/>
  <c r="AR149" i="5" s="1"/>
  <c r="AR135" i="5" s="1"/>
  <c r="AR137" i="5" s="1"/>
  <c r="AR138" i="5" s="1"/>
  <c r="AR142" i="5" s="1"/>
  <c r="AR91" i="5" s="1"/>
  <c r="AQ152" i="5"/>
  <c r="AQ153" i="5" s="1"/>
  <c r="AS130" i="5"/>
  <c r="AG18" i="1"/>
  <c r="AU122" i="5"/>
  <c r="AT123" i="5"/>
  <c r="AT127" i="5" s="1"/>
  <c r="AR131" i="5"/>
  <c r="AR132" i="5" s="1"/>
  <c r="AR134" i="5" s="1"/>
  <c r="AS140" i="5"/>
  <c r="AS141" i="5" s="1"/>
  <c r="AT139" i="5"/>
  <c r="AU129" i="5"/>
  <c r="AS125" i="5"/>
  <c r="AS128" i="5" s="1"/>
  <c r="AT124" i="5"/>
  <c r="AR148" i="5"/>
  <c r="AR145" i="5"/>
  <c r="AS143" i="5"/>
  <c r="AR32" i="5"/>
  <c r="AH23" i="1"/>
  <c r="AH36" i="1" s="1"/>
  <c r="AH17" i="1"/>
  <c r="AT22" i="5"/>
  <c r="AU19" i="5"/>
  <c r="AC69" i="3"/>
  <c r="AC75" i="3" s="1"/>
  <c r="AC70" i="3"/>
  <c r="AC76" i="3" s="1"/>
  <c r="AC71" i="3"/>
  <c r="AC77" i="3" s="1"/>
  <c r="AC73" i="3"/>
  <c r="AC79" i="3" s="1"/>
  <c r="AC72" i="3"/>
  <c r="AC78" i="3" s="1"/>
  <c r="AF18" i="1"/>
  <c r="AF46" i="3"/>
  <c r="AF48" i="3" s="1"/>
  <c r="AC37" i="3"/>
  <c r="AC27" i="3"/>
  <c r="AD24" i="3" s="1"/>
  <c r="Z23" i="4"/>
  <c r="Z24" i="4" s="1"/>
  <c r="AA9" i="4"/>
  <c r="AI47" i="3"/>
  <c r="AN115" i="5"/>
  <c r="AN116" i="5" s="1"/>
  <c r="AN117" i="5" s="1"/>
  <c r="AN104" i="5"/>
  <c r="AR101" i="5"/>
  <c r="AR102" i="5" s="1"/>
  <c r="AR103" i="5" s="1"/>
  <c r="AR96" i="5"/>
  <c r="AR97" i="5" s="1"/>
  <c r="AS95" i="5"/>
  <c r="AQ61" i="6"/>
  <c r="AU109" i="6"/>
  <c r="AT110" i="6"/>
  <c r="AT111" i="6" s="1"/>
  <c r="AT112" i="6" s="1"/>
  <c r="AT43" i="6"/>
  <c r="AT44" i="6" s="1"/>
  <c r="AU42" i="6"/>
  <c r="AS81" i="6"/>
  <c r="AM11" i="4"/>
  <c r="AP104" i="6"/>
  <c r="AP105" i="6" s="1"/>
  <c r="AP108" i="6" s="1"/>
  <c r="AQ79" i="6"/>
  <c r="AP80" i="6"/>
  <c r="AP95" i="6" s="1"/>
  <c r="AQ70" i="5"/>
  <c r="AU96" i="6"/>
  <c r="AT98" i="6"/>
  <c r="AT100" i="6" s="1"/>
  <c r="AT16" i="5"/>
  <c r="AT41" i="5" s="1"/>
  <c r="AU15" i="5"/>
  <c r="AS103" i="6"/>
  <c r="AT78" i="6"/>
  <c r="AV30" i="5"/>
  <c r="AS92" i="6"/>
  <c r="AS93" i="6" s="1"/>
  <c r="AS94" i="6" s="1"/>
  <c r="AS143" i="6" s="1"/>
  <c r="AS87" i="6"/>
  <c r="AS88" i="6" s="1"/>
  <c r="AT86" i="6"/>
  <c r="AU107" i="5"/>
  <c r="AU109" i="5" s="1"/>
  <c r="AV105" i="5"/>
  <c r="AU17" i="3"/>
  <c r="AU16" i="3"/>
  <c r="AV4" i="3"/>
  <c r="AV93" i="5"/>
  <c r="AU94" i="5"/>
  <c r="AS110" i="5"/>
  <c r="AS111" i="5" s="1"/>
  <c r="AS85" i="5"/>
  <c r="AS86" i="5" s="1"/>
  <c r="AS26" i="5"/>
  <c r="AS18" i="5"/>
  <c r="AS23" i="5" s="1"/>
  <c r="AS24" i="5" s="1"/>
  <c r="AT68" i="5"/>
  <c r="AT67" i="5"/>
  <c r="AU66" i="5"/>
  <c r="AN1" i="4"/>
  <c r="AP2" i="3"/>
  <c r="AQ5" i="3"/>
  <c r="AS33" i="6"/>
  <c r="AS34" i="6" s="1"/>
  <c r="AS35" i="6" s="1"/>
  <c r="AT32" i="6"/>
  <c r="AV99" i="5"/>
  <c r="AS47" i="6"/>
  <c r="AR48" i="6"/>
  <c r="AR54" i="6" s="1"/>
  <c r="AR55" i="6" s="1"/>
  <c r="AP62" i="6"/>
  <c r="AP63" i="6" s="1"/>
  <c r="AP64" i="6" s="1"/>
  <c r="AZ11" i="7"/>
  <c r="AT31" i="1" s="1"/>
  <c r="AR6" i="4"/>
  <c r="AT38" i="3"/>
  <c r="AT19" i="3"/>
  <c r="AT21" i="3" s="1"/>
  <c r="AP71" i="5"/>
  <c r="AP72" i="5" s="1"/>
  <c r="AP73" i="5" s="1"/>
  <c r="AS118" i="5"/>
  <c r="AR119" i="5"/>
  <c r="AR120" i="5" s="1"/>
  <c r="AR121" i="5" s="1"/>
  <c r="CB112" i="5"/>
  <c r="CD87" i="5"/>
  <c r="AW84" i="6"/>
  <c r="AV85" i="6"/>
  <c r="AS69" i="5"/>
  <c r="AS26" i="3"/>
  <c r="AS30" i="3"/>
  <c r="AS107" i="1"/>
  <c r="CC112" i="5"/>
  <c r="CE87" i="5"/>
  <c r="AR106" i="6"/>
  <c r="AR107" i="6" s="1"/>
  <c r="AR82" i="6"/>
  <c r="AG22" i="4"/>
  <c r="AG25" i="4" s="1"/>
  <c r="AG26" i="4" s="1"/>
  <c r="AH10" i="4"/>
  <c r="AG12" i="4"/>
  <c r="AS80" i="5"/>
  <c r="AR82" i="5"/>
  <c r="AR84" i="5" s="1"/>
  <c r="AT71" i="6"/>
  <c r="AS73" i="6"/>
  <c r="AS75" i="6" s="1"/>
  <c r="AQ113" i="5"/>
  <c r="AQ114" i="5" s="1"/>
  <c r="AR88" i="5"/>
  <c r="AS126" i="6" l="1"/>
  <c r="AS134" i="6"/>
  <c r="AS144" i="6" s="1"/>
  <c r="AR144" i="6"/>
  <c r="AU137" i="6"/>
  <c r="AV136" i="6"/>
  <c r="AT120" i="6"/>
  <c r="AT119" i="6"/>
  <c r="AT127" i="6" s="1"/>
  <c r="AT129" i="6" s="1"/>
  <c r="AT130" i="6" s="1"/>
  <c r="AT134" i="6" s="1"/>
  <c r="AV132" i="6"/>
  <c r="AV133" i="6" s="1"/>
  <c r="AW131" i="6"/>
  <c r="AW115" i="6"/>
  <c r="AX113" i="6"/>
  <c r="AU118" i="6"/>
  <c r="AV116" i="6"/>
  <c r="AT122" i="6"/>
  <c r="AT123" i="6" s="1"/>
  <c r="AT124" i="6" s="1"/>
  <c r="AU121" i="6"/>
  <c r="AS19" i="6"/>
  <c r="AS22" i="6" s="1"/>
  <c r="AS23" i="6" s="1"/>
  <c r="AS101" i="6"/>
  <c r="AS76" i="6"/>
  <c r="AS77" i="6" s="1"/>
  <c r="AV29" i="6"/>
  <c r="AW27" i="6"/>
  <c r="AT45" i="6"/>
  <c r="AT81" i="6" s="1"/>
  <c r="AU30" i="6"/>
  <c r="AU38" i="6" s="1"/>
  <c r="AU40" i="6" s="1"/>
  <c r="AU41" i="6" s="1"/>
  <c r="AU31" i="6"/>
  <c r="AU37" i="6" s="1"/>
  <c r="AU8" i="6"/>
  <c r="AT9" i="6"/>
  <c r="AN154" i="5"/>
  <c r="AE106" i="1"/>
  <c r="AE31" i="3"/>
  <c r="AO14" i="1"/>
  <c r="AP13" i="1"/>
  <c r="AE25" i="3"/>
  <c r="AC2" i="4" s="1"/>
  <c r="AE57" i="3"/>
  <c r="AE69" i="3" s="1"/>
  <c r="AE75" i="3" s="1"/>
  <c r="AU34" i="5"/>
  <c r="AU38" i="5" s="1"/>
  <c r="AV33" i="5"/>
  <c r="AT54" i="5"/>
  <c r="AS59" i="5"/>
  <c r="AS56" i="5"/>
  <c r="AE32" i="3"/>
  <c r="AZ40" i="5"/>
  <c r="AT57" i="5"/>
  <c r="AS58" i="5"/>
  <c r="AS60" i="5" s="1"/>
  <c r="AS46" i="5" s="1"/>
  <c r="AS48" i="5" s="1"/>
  <c r="AS49" i="5" s="1"/>
  <c r="AS53" i="5" s="1"/>
  <c r="AS90" i="5" s="1"/>
  <c r="AS61" i="5"/>
  <c r="AS62" i="5" s="1"/>
  <c r="AW50" i="5"/>
  <c r="AV51" i="5"/>
  <c r="AV52" i="5" s="1"/>
  <c r="AU35" i="5"/>
  <c r="AT36" i="5"/>
  <c r="AT39" i="5" s="1"/>
  <c r="AS42" i="5"/>
  <c r="AS43" i="5" s="1"/>
  <c r="AS45" i="5" s="1"/>
  <c r="AR152" i="5"/>
  <c r="AR153" i="5" s="1"/>
  <c r="AS29" i="5"/>
  <c r="AS31" i="5" s="1"/>
  <c r="AS32" i="5" s="1"/>
  <c r="AS147" i="5"/>
  <c r="AS149" i="5" s="1"/>
  <c r="AS135" i="5" s="1"/>
  <c r="AS137" i="5" s="1"/>
  <c r="AS138" i="5" s="1"/>
  <c r="AS142" i="5" s="1"/>
  <c r="AS91" i="5" s="1"/>
  <c r="AS150" i="5"/>
  <c r="AS151" i="5" s="1"/>
  <c r="AT146" i="5"/>
  <c r="AG46" i="3"/>
  <c r="AG48" i="3" s="1"/>
  <c r="AG50" i="3" s="1"/>
  <c r="AT130" i="5"/>
  <c r="AU123" i="5"/>
  <c r="AU127" i="5" s="1"/>
  <c r="AV122" i="5"/>
  <c r="AU124" i="5"/>
  <c r="AT125" i="5"/>
  <c r="AT128" i="5" s="1"/>
  <c r="AV129" i="5"/>
  <c r="AS131" i="5"/>
  <c r="AS132" i="5" s="1"/>
  <c r="AS148" i="5"/>
  <c r="AS145" i="5"/>
  <c r="AT143" i="5"/>
  <c r="AT140" i="5"/>
  <c r="AT141" i="5" s="1"/>
  <c r="AU139" i="5"/>
  <c r="AI17" i="1"/>
  <c r="AI23" i="1"/>
  <c r="AI36" i="1" s="1"/>
  <c r="AH18" i="1"/>
  <c r="AH35" i="1" s="1"/>
  <c r="AH37" i="1" s="1"/>
  <c r="AA23" i="4"/>
  <c r="AA24" i="4" s="1"/>
  <c r="AB9" i="4"/>
  <c r="AF35" i="1"/>
  <c r="AF37" i="1" s="1"/>
  <c r="AG35" i="1"/>
  <c r="AG37" i="1" s="1"/>
  <c r="AO115" i="5"/>
  <c r="AO116" i="5" s="1"/>
  <c r="AO117" i="5" s="1"/>
  <c r="AO104" i="5"/>
  <c r="AC39" i="3"/>
  <c r="AU22" i="5"/>
  <c r="AV19" i="5"/>
  <c r="AD27" i="3"/>
  <c r="AE24" i="3" s="1"/>
  <c r="AD37" i="3"/>
  <c r="AF58" i="3"/>
  <c r="AF59" i="3"/>
  <c r="AF50" i="3"/>
  <c r="AP74" i="5"/>
  <c r="AP75" i="5" s="1"/>
  <c r="AP76" i="5" s="1"/>
  <c r="AP77" i="5" s="1"/>
  <c r="AV66" i="5"/>
  <c r="AU68" i="5"/>
  <c r="AU67" i="5"/>
  <c r="AW30" i="5"/>
  <c r="AU32" i="6"/>
  <c r="AT33" i="6"/>
  <c r="AT34" i="6" s="1"/>
  <c r="AT35" i="6" s="1"/>
  <c r="AW105" i="5"/>
  <c r="AV107" i="5"/>
  <c r="AV109" i="5" s="1"/>
  <c r="AT69" i="5"/>
  <c r="AR70" i="5"/>
  <c r="AU71" i="6"/>
  <c r="AT73" i="6"/>
  <c r="AT75" i="6" s="1"/>
  <c r="AS48" i="6"/>
  <c r="AS54" i="6" s="1"/>
  <c r="AS55" i="6" s="1"/>
  <c r="AT47" i="6"/>
  <c r="AX84" i="6"/>
  <c r="AW85" i="6"/>
  <c r="AT118" i="5"/>
  <c r="AS119" i="5"/>
  <c r="AS120" i="5" s="1"/>
  <c r="AS121" i="5" s="1"/>
  <c r="AW93" i="5"/>
  <c r="AV94" i="5"/>
  <c r="AW99" i="5"/>
  <c r="AO1" i="4"/>
  <c r="AQ2" i="3"/>
  <c r="AR5" i="3"/>
  <c r="AT103" i="6"/>
  <c r="AU78" i="6"/>
  <c r="AT110" i="5"/>
  <c r="AT111" i="5" s="1"/>
  <c r="AT85" i="5"/>
  <c r="AT86" i="5" s="1"/>
  <c r="AT26" i="5"/>
  <c r="AT18" i="5"/>
  <c r="AT23" i="5" s="1"/>
  <c r="AT24" i="5" s="1"/>
  <c r="AN11" i="4"/>
  <c r="AR61" i="6"/>
  <c r="AS106" i="6"/>
  <c r="AS107" i="6" s="1"/>
  <c r="AS82" i="6"/>
  <c r="AU98" i="6"/>
  <c r="AU100" i="6" s="1"/>
  <c r="AV96" i="6"/>
  <c r="AU43" i="6"/>
  <c r="AU44" i="6" s="1"/>
  <c r="AV42" i="6"/>
  <c r="CE112" i="5"/>
  <c r="CG87" i="5"/>
  <c r="AV15" i="5"/>
  <c r="AU16" i="5"/>
  <c r="AU41" i="5" s="1"/>
  <c r="AV17" i="3"/>
  <c r="AV16" i="3"/>
  <c r="AW4" i="3"/>
  <c r="AQ62" i="6"/>
  <c r="AQ63" i="6" s="1"/>
  <c r="AQ64" i="6" s="1"/>
  <c r="AQ65" i="6" s="1"/>
  <c r="AQ66" i="6" s="1"/>
  <c r="AQ67" i="6" s="1"/>
  <c r="AK22" i="1" s="1"/>
  <c r="AR113" i="5"/>
  <c r="AR114" i="5" s="1"/>
  <c r="AS88" i="5"/>
  <c r="AS89" i="5" s="1"/>
  <c r="AP65" i="6"/>
  <c r="AP66" i="6" s="1"/>
  <c r="AP67" i="6" s="1"/>
  <c r="AJ22" i="1" s="1"/>
  <c r="AT92" i="6"/>
  <c r="AT93" i="6" s="1"/>
  <c r="AT94" i="6" s="1"/>
  <c r="AT143" i="6" s="1"/>
  <c r="AT87" i="6"/>
  <c r="AT88" i="6" s="1"/>
  <c r="AU86" i="6"/>
  <c r="AQ71" i="5"/>
  <c r="AQ72" i="5" s="1"/>
  <c r="AQ73" i="5" s="1"/>
  <c r="AV109" i="6"/>
  <c r="AU110" i="6"/>
  <c r="AU111" i="6" s="1"/>
  <c r="AU112" i="6" s="1"/>
  <c r="AT80" i="5"/>
  <c r="AS82" i="5"/>
  <c r="AS84" i="5" s="1"/>
  <c r="AT30" i="3"/>
  <c r="AT107" i="1"/>
  <c r="AT26" i="3"/>
  <c r="AI10" i="4"/>
  <c r="AH12" i="4"/>
  <c r="AH22" i="4"/>
  <c r="AH25" i="4" s="1"/>
  <c r="AH26" i="4" s="1"/>
  <c r="CD112" i="5"/>
  <c r="CF87" i="5"/>
  <c r="BA11" i="7"/>
  <c r="AU31" i="1" s="1"/>
  <c r="AS6" i="4"/>
  <c r="AU38" i="3"/>
  <c r="AU19" i="3"/>
  <c r="AU21" i="3" s="1"/>
  <c r="AR89" i="5"/>
  <c r="AQ104" i="6"/>
  <c r="AQ105" i="6" s="1"/>
  <c r="AQ108" i="6" s="1"/>
  <c r="AR79" i="6"/>
  <c r="AQ80" i="6"/>
  <c r="AQ95" i="6" s="1"/>
  <c r="AS101" i="5"/>
  <c r="AS102" i="5" s="1"/>
  <c r="AS103" i="5" s="1"/>
  <c r="AS96" i="5"/>
  <c r="AS97" i="5" s="1"/>
  <c r="AT95" i="5"/>
  <c r="AT126" i="6" l="1"/>
  <c r="AT144" i="6"/>
  <c r="AU143" i="6"/>
  <c r="AW132" i="6"/>
  <c r="AW133" i="6" s="1"/>
  <c r="AX131" i="6"/>
  <c r="AU122" i="6"/>
  <c r="AU123" i="6" s="1"/>
  <c r="AU124" i="6" s="1"/>
  <c r="AV121" i="6"/>
  <c r="AV118" i="6"/>
  <c r="AW116" i="6"/>
  <c r="AU120" i="6"/>
  <c r="AU126" i="6" s="1"/>
  <c r="AU119" i="6"/>
  <c r="AU127" i="6" s="1"/>
  <c r="AU129" i="6" s="1"/>
  <c r="AU130" i="6" s="1"/>
  <c r="AU134" i="6" s="1"/>
  <c r="AV137" i="6"/>
  <c r="AW136" i="6"/>
  <c r="AY113" i="6"/>
  <c r="AX115" i="6"/>
  <c r="AU45" i="6"/>
  <c r="AU81" i="6" s="1"/>
  <c r="AW29" i="6"/>
  <c r="AX27" i="6"/>
  <c r="AV30" i="6"/>
  <c r="AV38" i="6" s="1"/>
  <c r="AV40" i="6" s="1"/>
  <c r="AV41" i="6" s="1"/>
  <c r="AV31" i="6"/>
  <c r="AV37" i="6" s="1"/>
  <c r="AT76" i="6"/>
  <c r="AT77" i="6" s="1"/>
  <c r="AT101" i="6"/>
  <c r="AT19" i="6"/>
  <c r="AT22" i="6" s="1"/>
  <c r="AT23" i="6" s="1"/>
  <c r="AV8" i="6"/>
  <c r="AU9" i="6"/>
  <c r="AO154" i="5"/>
  <c r="AE72" i="3"/>
  <c r="AE78" i="3" s="1"/>
  <c r="AE71" i="3"/>
  <c r="AE77" i="3" s="1"/>
  <c r="AQ13" i="1"/>
  <c r="AP14" i="1"/>
  <c r="AE70" i="3"/>
  <c r="AE76" i="3" s="1"/>
  <c r="AE73" i="3"/>
  <c r="AE79" i="3" s="1"/>
  <c r="AT42" i="5"/>
  <c r="AT43" i="5" s="1"/>
  <c r="AT45" i="5" s="1"/>
  <c r="AT59" i="5"/>
  <c r="AU54" i="5"/>
  <c r="AT56" i="5"/>
  <c r="AW33" i="5"/>
  <c r="AV34" i="5"/>
  <c r="AV38" i="5" s="1"/>
  <c r="AS63" i="5"/>
  <c r="AS64" i="5" s="1"/>
  <c r="AW51" i="5"/>
  <c r="AW52" i="5" s="1"/>
  <c r="AX50" i="5"/>
  <c r="AU42" i="5"/>
  <c r="AU43" i="5" s="1"/>
  <c r="AT58" i="5"/>
  <c r="AT60" i="5" s="1"/>
  <c r="AT46" i="5" s="1"/>
  <c r="AT48" i="5" s="1"/>
  <c r="AT49" i="5" s="1"/>
  <c r="AT53" i="5" s="1"/>
  <c r="AT90" i="5" s="1"/>
  <c r="AU57" i="5"/>
  <c r="AT61" i="5"/>
  <c r="AT62" i="5" s="1"/>
  <c r="BA40" i="5"/>
  <c r="AU36" i="5"/>
  <c r="AU39" i="5" s="1"/>
  <c r="AV35" i="5"/>
  <c r="AG59" i="3"/>
  <c r="AS152" i="5"/>
  <c r="AT29" i="5"/>
  <c r="AT31" i="5" s="1"/>
  <c r="AT32" i="5" s="1"/>
  <c r="AU146" i="5"/>
  <c r="AT150" i="5"/>
  <c r="AT151" i="5" s="1"/>
  <c r="AT147" i="5"/>
  <c r="AT149" i="5" s="1"/>
  <c r="AT135" i="5" s="1"/>
  <c r="AT137" i="5" s="1"/>
  <c r="AT138" i="5" s="1"/>
  <c r="AT142" i="5" s="1"/>
  <c r="AT91" i="5" s="1"/>
  <c r="AG58" i="3"/>
  <c r="AU130" i="5"/>
  <c r="AK23" i="1"/>
  <c r="AH46" i="3"/>
  <c r="AH48" i="3" s="1"/>
  <c r="AH58" i="3" s="1"/>
  <c r="AW122" i="5"/>
  <c r="AV123" i="5"/>
  <c r="AV127" i="5" s="1"/>
  <c r="AS134" i="5"/>
  <c r="AV139" i="5"/>
  <c r="AU140" i="5"/>
  <c r="AU141" i="5" s="1"/>
  <c r="AT148" i="5"/>
  <c r="AU143" i="5"/>
  <c r="AT145" i="5"/>
  <c r="AW129" i="5"/>
  <c r="AT131" i="5"/>
  <c r="AT132" i="5" s="1"/>
  <c r="AT134" i="5" s="1"/>
  <c r="AV124" i="5"/>
  <c r="AU125" i="5"/>
  <c r="AU128" i="5" s="1"/>
  <c r="AI18" i="1"/>
  <c r="AI35" i="1" s="1"/>
  <c r="AI37" i="1" s="1"/>
  <c r="AF25" i="3"/>
  <c r="AD2" i="4" s="1"/>
  <c r="AF29" i="3"/>
  <c r="AF106" i="1"/>
  <c r="AF31" i="3"/>
  <c r="AF32" i="3" s="1"/>
  <c r="AF57" i="3"/>
  <c r="AE27" i="3"/>
  <c r="AF24" i="3" s="1"/>
  <c r="AE37" i="3"/>
  <c r="AC9" i="4"/>
  <c r="AB23" i="4"/>
  <c r="AB24" i="4" s="1"/>
  <c r="AC40" i="3"/>
  <c r="AD36" i="3" s="1"/>
  <c r="AD39" i="3" s="1"/>
  <c r="AJ17" i="1"/>
  <c r="AG106" i="1"/>
  <c r="AG31" i="3"/>
  <c r="AG25" i="3"/>
  <c r="AE2" i="4" s="1"/>
  <c r="AG29" i="3"/>
  <c r="AG57" i="3"/>
  <c r="AP115" i="5"/>
  <c r="AP116" i="5" s="1"/>
  <c r="AP117" i="5" s="1"/>
  <c r="AP104" i="5"/>
  <c r="AW19" i="5"/>
  <c r="AV22" i="5"/>
  <c r="AQ74" i="5"/>
  <c r="AQ75" i="5" s="1"/>
  <c r="AQ76" i="5" s="1"/>
  <c r="AQ77" i="5" s="1"/>
  <c r="AT101" i="5"/>
  <c r="AT102" i="5" s="1"/>
  <c r="AT103" i="5" s="1"/>
  <c r="AU95" i="5"/>
  <c r="AT96" i="5"/>
  <c r="AT97" i="5" s="1"/>
  <c r="AJ23" i="1"/>
  <c r="AJ47" i="3"/>
  <c r="AX99" i="5"/>
  <c r="AU30" i="3"/>
  <c r="AU107" i="1"/>
  <c r="AU26" i="3"/>
  <c r="AT82" i="5"/>
  <c r="AT84" i="5" s="1"/>
  <c r="AU80" i="5"/>
  <c r="AV98" i="6"/>
  <c r="AV100" i="6" s="1"/>
  <c r="AW96" i="6"/>
  <c r="AW15" i="5"/>
  <c r="AV16" i="5"/>
  <c r="AV41" i="5" s="1"/>
  <c r="AX30" i="5"/>
  <c r="AR104" i="6"/>
  <c r="AR105" i="6" s="1"/>
  <c r="AR108" i="6" s="1"/>
  <c r="AS79" i="6"/>
  <c r="AR80" i="6"/>
  <c r="AR95" i="6" s="1"/>
  <c r="AU92" i="6"/>
  <c r="AU93" i="6" s="1"/>
  <c r="AU94" i="6" s="1"/>
  <c r="AU87" i="6"/>
  <c r="AU88" i="6" s="1"/>
  <c r="AV86" i="6"/>
  <c r="AS113" i="5"/>
  <c r="AS114" i="5" s="1"/>
  <c r="AT88" i="5"/>
  <c r="AT106" i="6"/>
  <c r="AT107" i="6" s="1"/>
  <c r="AT82" i="6"/>
  <c r="AS70" i="5"/>
  <c r="AS71" i="5" s="1"/>
  <c r="AS72" i="5" s="1"/>
  <c r="AX105" i="5"/>
  <c r="AW107" i="5"/>
  <c r="AW109" i="5" s="1"/>
  <c r="AU69" i="5"/>
  <c r="AW42" i="6"/>
  <c r="AV43" i="6"/>
  <c r="AV44" i="6" s="1"/>
  <c r="AV45" i="6" s="1"/>
  <c r="AU118" i="5"/>
  <c r="AT119" i="5"/>
  <c r="AT120" i="5" s="1"/>
  <c r="AT121" i="5" s="1"/>
  <c r="AJ10" i="4"/>
  <c r="AI12" i="4"/>
  <c r="AI22" i="4"/>
  <c r="AI25" i="4" s="1"/>
  <c r="AI26" i="4" s="1"/>
  <c r="AU110" i="5"/>
  <c r="AU111" i="5" s="1"/>
  <c r="AU26" i="5"/>
  <c r="AU85" i="5"/>
  <c r="AU86" i="5" s="1"/>
  <c r="AU18" i="5"/>
  <c r="AU23" i="5" s="1"/>
  <c r="AU24" i="5" s="1"/>
  <c r="AW109" i="6"/>
  <c r="AV110" i="6"/>
  <c r="AV111" i="6" s="1"/>
  <c r="AV112" i="6" s="1"/>
  <c r="CI87" i="5"/>
  <c r="CG112" i="5"/>
  <c r="AP1" i="4"/>
  <c r="AS5" i="3"/>
  <c r="AR2" i="3"/>
  <c r="AV71" i="6"/>
  <c r="AU73" i="6"/>
  <c r="AU75" i="6" s="1"/>
  <c r="CH87" i="5"/>
  <c r="CF112" i="5"/>
  <c r="AW17" i="3"/>
  <c r="AW16" i="3"/>
  <c r="AX4" i="3"/>
  <c r="AS61" i="6"/>
  <c r="AU103" i="6"/>
  <c r="AV78" i="6"/>
  <c r="AU47" i="6"/>
  <c r="AT48" i="6"/>
  <c r="AT54" i="6" s="1"/>
  <c r="AT55" i="6" s="1"/>
  <c r="AR71" i="5"/>
  <c r="AR72" i="5" s="1"/>
  <c r="AR73" i="5" s="1"/>
  <c r="AW66" i="5"/>
  <c r="AV68" i="5"/>
  <c r="AV67" i="5"/>
  <c r="AO11" i="4"/>
  <c r="AY84" i="6"/>
  <c r="AX85" i="6"/>
  <c r="AX93" i="5"/>
  <c r="AW94" i="5"/>
  <c r="BB11" i="7"/>
  <c r="AV31" i="1" s="1"/>
  <c r="AV38" i="3"/>
  <c r="AT6" i="4"/>
  <c r="AV19" i="3"/>
  <c r="AV21" i="3" s="1"/>
  <c r="AR62" i="6"/>
  <c r="AR63" i="6" s="1"/>
  <c r="AR64" i="6" s="1"/>
  <c r="AU33" i="6"/>
  <c r="AU34" i="6" s="1"/>
  <c r="AU35" i="6" s="1"/>
  <c r="AV32" i="6"/>
  <c r="AW118" i="6" l="1"/>
  <c r="AX116" i="6"/>
  <c r="AV122" i="6"/>
  <c r="AV123" i="6" s="1"/>
  <c r="AV124" i="6" s="1"/>
  <c r="AW121" i="6"/>
  <c r="AX132" i="6"/>
  <c r="AX133" i="6" s="1"/>
  <c r="AY131" i="6"/>
  <c r="AV119" i="6"/>
  <c r="AV127" i="6" s="1"/>
  <c r="AV129" i="6" s="1"/>
  <c r="AV130" i="6" s="1"/>
  <c r="AV134" i="6" s="1"/>
  <c r="AV120" i="6"/>
  <c r="AY115" i="6"/>
  <c r="AZ113" i="6"/>
  <c r="AW137" i="6"/>
  <c r="AX136" i="6"/>
  <c r="AU144" i="6"/>
  <c r="AV9" i="6"/>
  <c r="AV33" i="6" s="1"/>
  <c r="AV34" i="6" s="1"/>
  <c r="AV35" i="6" s="1"/>
  <c r="AW8" i="6"/>
  <c r="AY27" i="6"/>
  <c r="AX29" i="6"/>
  <c r="AU101" i="6"/>
  <c r="AU76" i="6"/>
  <c r="AU77" i="6" s="1"/>
  <c r="AU19" i="6"/>
  <c r="AU22" i="6" s="1"/>
  <c r="AU23" i="6" s="1"/>
  <c r="AW30" i="6"/>
  <c r="AW38" i="6" s="1"/>
  <c r="AW40" i="6" s="1"/>
  <c r="AW41" i="6" s="1"/>
  <c r="AW31" i="6"/>
  <c r="AW37" i="6" s="1"/>
  <c r="AP154" i="5"/>
  <c r="AR13" i="1"/>
  <c r="AQ14" i="1"/>
  <c r="AT63" i="5"/>
  <c r="AT64" i="5" s="1"/>
  <c r="AX33" i="5"/>
  <c r="AW34" i="5"/>
  <c r="AW38" i="5" s="1"/>
  <c r="AV54" i="5"/>
  <c r="AU56" i="5"/>
  <c r="AU59" i="5"/>
  <c r="BB40" i="5"/>
  <c r="AV36" i="5"/>
  <c r="AV39" i="5" s="1"/>
  <c r="AW35" i="5"/>
  <c r="AV42" i="5"/>
  <c r="AV43" i="5" s="1"/>
  <c r="AU45" i="5"/>
  <c r="AX51" i="5"/>
  <c r="AX52" i="5" s="1"/>
  <c r="AY50" i="5"/>
  <c r="AU58" i="5"/>
  <c r="AU60" i="5" s="1"/>
  <c r="AU46" i="5" s="1"/>
  <c r="AU48" i="5" s="1"/>
  <c r="AU49" i="5" s="1"/>
  <c r="AU53" i="5" s="1"/>
  <c r="AU90" i="5" s="1"/>
  <c r="AV57" i="5"/>
  <c r="AU61" i="5"/>
  <c r="AU62" i="5" s="1"/>
  <c r="AU63" i="5" s="1"/>
  <c r="AS153" i="5"/>
  <c r="AK47" i="3"/>
  <c r="AU29" i="5"/>
  <c r="AU31" i="5" s="1"/>
  <c r="AU32" i="5" s="1"/>
  <c r="AU150" i="5"/>
  <c r="AU151" i="5" s="1"/>
  <c r="AV146" i="5"/>
  <c r="AU147" i="5"/>
  <c r="AU149" i="5" s="1"/>
  <c r="AU135" i="5" s="1"/>
  <c r="AU137" i="5" s="1"/>
  <c r="AU138" i="5" s="1"/>
  <c r="AU142" i="5" s="1"/>
  <c r="AU91" i="5" s="1"/>
  <c r="AT152" i="5"/>
  <c r="AT153" i="5" s="1"/>
  <c r="AH50" i="3"/>
  <c r="AH31" i="3" s="1"/>
  <c r="AH59" i="3"/>
  <c r="AV130" i="5"/>
  <c r="AU131" i="5"/>
  <c r="AU132" i="5" s="1"/>
  <c r="AU134" i="5" s="1"/>
  <c r="AX122" i="5"/>
  <c r="AW123" i="5"/>
  <c r="AW127" i="5" s="1"/>
  <c r="AI46" i="3"/>
  <c r="AI48" i="3" s="1"/>
  <c r="AI50" i="3" s="1"/>
  <c r="AW124" i="5"/>
  <c r="AV125" i="5"/>
  <c r="AV128" i="5" s="1"/>
  <c r="AX129" i="5"/>
  <c r="AU148" i="5"/>
  <c r="AV143" i="5"/>
  <c r="AU145" i="5"/>
  <c r="AW139" i="5"/>
  <c r="AV140" i="5"/>
  <c r="AV141" i="5" s="1"/>
  <c r="AK36" i="1"/>
  <c r="AD40" i="3"/>
  <c r="AE36" i="3" s="1"/>
  <c r="AE39" i="3" s="1"/>
  <c r="AE40" i="3" s="1"/>
  <c r="AF36" i="3" s="1"/>
  <c r="AQ115" i="5"/>
  <c r="AQ116" i="5" s="1"/>
  <c r="AQ117" i="5" s="1"/>
  <c r="AQ104" i="5"/>
  <c r="AQ154" i="5" s="1"/>
  <c r="AK17" i="1"/>
  <c r="AX19" i="5"/>
  <c r="AW22" i="5"/>
  <c r="AL23" i="1"/>
  <c r="AJ18" i="1"/>
  <c r="AJ35" i="1" s="1"/>
  <c r="AJ46" i="3"/>
  <c r="AJ48" i="3" s="1"/>
  <c r="AJ58" i="3" s="1"/>
  <c r="AC23" i="4"/>
  <c r="AC24" i="4" s="1"/>
  <c r="AD9" i="4"/>
  <c r="AF37" i="3"/>
  <c r="AF27" i="3"/>
  <c r="AG24" i="3" s="1"/>
  <c r="AF71" i="3"/>
  <c r="AF77" i="3" s="1"/>
  <c r="AF69" i="3"/>
  <c r="AF75" i="3" s="1"/>
  <c r="AF72" i="3"/>
  <c r="AF78" i="3" s="1"/>
  <c r="AF70" i="3"/>
  <c r="AF76" i="3" s="1"/>
  <c r="AF73" i="3"/>
  <c r="AF79" i="3" s="1"/>
  <c r="AG72" i="3"/>
  <c r="AG78" i="3" s="1"/>
  <c r="AG73" i="3"/>
  <c r="AG79" i="3" s="1"/>
  <c r="AG71" i="3"/>
  <c r="AG77" i="3" s="1"/>
  <c r="AG70" i="3"/>
  <c r="AG76" i="3" s="1"/>
  <c r="AG69" i="3"/>
  <c r="AG75" i="3" s="1"/>
  <c r="AG32" i="3"/>
  <c r="AR65" i="6"/>
  <c r="AR66" i="6" s="1"/>
  <c r="AR67" i="6" s="1"/>
  <c r="AL22" i="1" s="1"/>
  <c r="AS73" i="5"/>
  <c r="AS74" i="5" s="1"/>
  <c r="AS75" i="5" s="1"/>
  <c r="AS76" i="5" s="1"/>
  <c r="AS77" i="5" s="1"/>
  <c r="AR74" i="5"/>
  <c r="AR75" i="5" s="1"/>
  <c r="AR76" i="5" s="1"/>
  <c r="AR77" i="5" s="1"/>
  <c r="AU106" i="6"/>
  <c r="AU107" i="6" s="1"/>
  <c r="AU82" i="6"/>
  <c r="AX16" i="3"/>
  <c r="AY4" i="3"/>
  <c r="AX17" i="3"/>
  <c r="AT113" i="5"/>
  <c r="AT114" i="5" s="1"/>
  <c r="AU88" i="5"/>
  <c r="AU89" i="5" s="1"/>
  <c r="AV92" i="6"/>
  <c r="AV93" i="6" s="1"/>
  <c r="AV94" i="6" s="1"/>
  <c r="AV143" i="6" s="1"/>
  <c r="AV87" i="6"/>
  <c r="AV88" i="6" s="1"/>
  <c r="AW86" i="6"/>
  <c r="AW67" i="5"/>
  <c r="AW68" i="5"/>
  <c r="AX66" i="5"/>
  <c r="AY93" i="5"/>
  <c r="AX94" i="5"/>
  <c r="AY105" i="5"/>
  <c r="AX107" i="5"/>
  <c r="AX109" i="5" s="1"/>
  <c r="AS104" i="6"/>
  <c r="AS105" i="6" s="1"/>
  <c r="AS108" i="6" s="1"/>
  <c r="AT79" i="6"/>
  <c r="AS80" i="6"/>
  <c r="AS95" i="6" s="1"/>
  <c r="AU119" i="5"/>
  <c r="AU120" i="5" s="1"/>
  <c r="AU121" i="5" s="1"/>
  <c r="AV118" i="5"/>
  <c r="AW98" i="6"/>
  <c r="AW100" i="6" s="1"/>
  <c r="AX96" i="6"/>
  <c r="AV30" i="3"/>
  <c r="AV26" i="3"/>
  <c r="AV107" i="1"/>
  <c r="AZ84" i="6"/>
  <c r="AY85" i="6"/>
  <c r="AY30" i="5"/>
  <c r="AJ36" i="1"/>
  <c r="AV103" i="6"/>
  <c r="AW78" i="6"/>
  <c r="CH112" i="5"/>
  <c r="CJ87" i="5"/>
  <c r="AX42" i="6"/>
  <c r="AW43" i="6"/>
  <c r="AW44" i="6" s="1"/>
  <c r="AU82" i="5"/>
  <c r="AU84" i="5" s="1"/>
  <c r="AV80" i="5"/>
  <c r="AT61" i="6"/>
  <c r="AT62" i="6" s="1"/>
  <c r="AT63" i="6" s="1"/>
  <c r="CI112" i="5"/>
  <c r="CK87" i="5"/>
  <c r="AU48" i="6"/>
  <c r="AU54" i="6" s="1"/>
  <c r="AU55" i="6" s="1"/>
  <c r="AV47" i="6"/>
  <c r="AX109" i="6"/>
  <c r="AW110" i="6"/>
  <c r="AW111" i="6" s="1"/>
  <c r="AW112" i="6" s="1"/>
  <c r="AV81" i="6"/>
  <c r="AQ1" i="4"/>
  <c r="AT5" i="3"/>
  <c r="AS2" i="3"/>
  <c r="AV110" i="5"/>
  <c r="AV111" i="5" s="1"/>
  <c r="AV26" i="5"/>
  <c r="AV85" i="5"/>
  <c r="AV86" i="5" s="1"/>
  <c r="AV18" i="5"/>
  <c r="AV23" i="5" s="1"/>
  <c r="AV24" i="5" s="1"/>
  <c r="AU101" i="5"/>
  <c r="AU102" i="5" s="1"/>
  <c r="AU103" i="5" s="1"/>
  <c r="AV95" i="5"/>
  <c r="AU96" i="5"/>
  <c r="AU97" i="5" s="1"/>
  <c r="AY99" i="5"/>
  <c r="BC11" i="7"/>
  <c r="AW31" i="1" s="1"/>
  <c r="AU6" i="4"/>
  <c r="AW38" i="3"/>
  <c r="AW19" i="3"/>
  <c r="AW21" i="3" s="1"/>
  <c r="AT70" i="5"/>
  <c r="AT71" i="5" s="1"/>
  <c r="AT72" i="5" s="1"/>
  <c r="AW32" i="6"/>
  <c r="AP11" i="4"/>
  <c r="AV69" i="5"/>
  <c r="AS62" i="6"/>
  <c r="AS63" i="6" s="1"/>
  <c r="AS64" i="6" s="1"/>
  <c r="AW71" i="6"/>
  <c r="AV73" i="6"/>
  <c r="AV75" i="6" s="1"/>
  <c r="AJ12" i="4"/>
  <c r="AK10" i="4"/>
  <c r="AJ22" i="4"/>
  <c r="AJ25" i="4" s="1"/>
  <c r="AJ26" i="4" s="1"/>
  <c r="AT89" i="5"/>
  <c r="AX15" i="5"/>
  <c r="AW16" i="5"/>
  <c r="AW41" i="5" s="1"/>
  <c r="AV126" i="6" l="1"/>
  <c r="AX137" i="6"/>
  <c r="AY136" i="6"/>
  <c r="AX121" i="6"/>
  <c r="AW122" i="6"/>
  <c r="AW123" i="6" s="1"/>
  <c r="AW124" i="6" s="1"/>
  <c r="AV144" i="6"/>
  <c r="AZ131" i="6"/>
  <c r="AY132" i="6"/>
  <c r="AY133" i="6" s="1"/>
  <c r="AZ115" i="6"/>
  <c r="BA113" i="6"/>
  <c r="AY116" i="6"/>
  <c r="AX118" i="6"/>
  <c r="AW120" i="6"/>
  <c r="AW126" i="6" s="1"/>
  <c r="AW119" i="6"/>
  <c r="AW127" i="6" s="1"/>
  <c r="AW129" i="6" s="1"/>
  <c r="AW130" i="6" s="1"/>
  <c r="AW134" i="6" s="1"/>
  <c r="AY29" i="6"/>
  <c r="AZ27" i="6"/>
  <c r="AW9" i="6"/>
  <c r="AX8" i="6"/>
  <c r="AX31" i="6"/>
  <c r="AX37" i="6" s="1"/>
  <c r="AX30" i="6"/>
  <c r="AX38" i="6" s="1"/>
  <c r="AX40" i="6" s="1"/>
  <c r="AX41" i="6" s="1"/>
  <c r="AW45" i="6"/>
  <c r="AW81" i="6" s="1"/>
  <c r="AV19" i="6"/>
  <c r="AV22" i="6" s="1"/>
  <c r="AV23" i="6" s="1"/>
  <c r="AV101" i="6"/>
  <c r="AV76" i="6"/>
  <c r="AV77" i="6" s="1"/>
  <c r="AS13" i="1"/>
  <c r="AR14" i="1"/>
  <c r="AW54" i="5"/>
  <c r="AV59" i="5"/>
  <c r="AV56" i="5"/>
  <c r="AX34" i="5"/>
  <c r="AX38" i="5" s="1"/>
  <c r="AY33" i="5"/>
  <c r="AV58" i="5"/>
  <c r="AV60" i="5" s="1"/>
  <c r="AV46" i="5" s="1"/>
  <c r="AV48" i="5" s="1"/>
  <c r="AV49" i="5" s="1"/>
  <c r="AV53" i="5" s="1"/>
  <c r="AV90" i="5" s="1"/>
  <c r="AW57" i="5"/>
  <c r="AV61" i="5"/>
  <c r="AV62" i="5" s="1"/>
  <c r="AV63" i="5" s="1"/>
  <c r="AW36" i="5"/>
  <c r="AW39" i="5" s="1"/>
  <c r="AX35" i="5"/>
  <c r="AV45" i="5"/>
  <c r="AU64" i="5"/>
  <c r="AY51" i="5"/>
  <c r="AY52" i="5" s="1"/>
  <c r="AZ50" i="5"/>
  <c r="BC40" i="5"/>
  <c r="AI58" i="3"/>
  <c r="AH106" i="1"/>
  <c r="AH29" i="3"/>
  <c r="AH57" i="3"/>
  <c r="AH70" i="3" s="1"/>
  <c r="AH76" i="3" s="1"/>
  <c r="AV29" i="5"/>
  <c r="AV31" i="5" s="1"/>
  <c r="AV32" i="5" s="1"/>
  <c r="AV147" i="5"/>
  <c r="AV149" i="5" s="1"/>
  <c r="AV135" i="5" s="1"/>
  <c r="AV137" i="5" s="1"/>
  <c r="AV138" i="5" s="1"/>
  <c r="AV142" i="5" s="1"/>
  <c r="AV91" i="5" s="1"/>
  <c r="AW146" i="5"/>
  <c r="AV150" i="5"/>
  <c r="AV151" i="5" s="1"/>
  <c r="AI59" i="3"/>
  <c r="AH25" i="3"/>
  <c r="AF2" i="4" s="1"/>
  <c r="AV131" i="5"/>
  <c r="AV132" i="5" s="1"/>
  <c r="AV134" i="5" s="1"/>
  <c r="AW130" i="5"/>
  <c r="AW69" i="5"/>
  <c r="AU152" i="5"/>
  <c r="AU153" i="5" s="1"/>
  <c r="AY122" i="5"/>
  <c r="AX123" i="5"/>
  <c r="AX127" i="5" s="1"/>
  <c r="AM23" i="1"/>
  <c r="AY129" i="5"/>
  <c r="AX139" i="5"/>
  <c r="AW140" i="5"/>
  <c r="AW141" i="5" s="1"/>
  <c r="AV148" i="5"/>
  <c r="AV145" i="5"/>
  <c r="AW143" i="5"/>
  <c r="AW125" i="5"/>
  <c r="AW128" i="5" s="1"/>
  <c r="AX124" i="5"/>
  <c r="AK18" i="1"/>
  <c r="AK35" i="1" s="1"/>
  <c r="AK37" i="1" s="1"/>
  <c r="AJ37" i="1"/>
  <c r="AL47" i="3"/>
  <c r="AX22" i="5"/>
  <c r="AY19" i="5"/>
  <c r="AJ59" i="3"/>
  <c r="AG27" i="3"/>
  <c r="AH24" i="3" s="1"/>
  <c r="AG37" i="3"/>
  <c r="AR115" i="5"/>
  <c r="AR116" i="5" s="1"/>
  <c r="AR117" i="5" s="1"/>
  <c r="AR104" i="5"/>
  <c r="AE9" i="4"/>
  <c r="AD23" i="4"/>
  <c r="AD24" i="4" s="1"/>
  <c r="AJ50" i="3"/>
  <c r="AJ29" i="3" s="1"/>
  <c r="AI29" i="3"/>
  <c r="AI31" i="3"/>
  <c r="AI25" i="3"/>
  <c r="AG2" i="4" s="1"/>
  <c r="AI106" i="1"/>
  <c r="AI57" i="3"/>
  <c r="AH32" i="3"/>
  <c r="AF39" i="3"/>
  <c r="AF40" i="3" s="1"/>
  <c r="AG36" i="3" s="1"/>
  <c r="AL17" i="1"/>
  <c r="AT64" i="6"/>
  <c r="AT65" i="6"/>
  <c r="AT66" i="6" s="1"/>
  <c r="AT67" i="6" s="1"/>
  <c r="AN22" i="1" s="1"/>
  <c r="AS65" i="6"/>
  <c r="AS66" i="6" s="1"/>
  <c r="AS67" i="6" s="1"/>
  <c r="AM22" i="1" s="1"/>
  <c r="AV48" i="6"/>
  <c r="AV54" i="6" s="1"/>
  <c r="AV55" i="6" s="1"/>
  <c r="AW47" i="6"/>
  <c r="AT104" i="6"/>
  <c r="AT105" i="6" s="1"/>
  <c r="AT108" i="6" s="1"/>
  <c r="AU79" i="6"/>
  <c r="AT80" i="6"/>
  <c r="AT95" i="6" s="1"/>
  <c r="AK12" i="4"/>
  <c r="AK22" i="4"/>
  <c r="AK25" i="4" s="1"/>
  <c r="AK26" i="4" s="1"/>
  <c r="AL10" i="4"/>
  <c r="AY94" i="5"/>
  <c r="AZ93" i="5"/>
  <c r="AW103" i="6"/>
  <c r="AX78" i="6"/>
  <c r="AX86" i="6"/>
  <c r="AW92" i="6"/>
  <c r="AW93" i="6" s="1"/>
  <c r="AW94" i="6" s="1"/>
  <c r="AW143" i="6" s="1"/>
  <c r="AW87" i="6"/>
  <c r="AW88" i="6" s="1"/>
  <c r="AZ4" i="3"/>
  <c r="AY16" i="3"/>
  <c r="AY17" i="3"/>
  <c r="AT73" i="5"/>
  <c r="AT74" i="5" s="1"/>
  <c r="AT75" i="5" s="1"/>
  <c r="AT76" i="5" s="1"/>
  <c r="AT77" i="5" s="1"/>
  <c r="AZ99" i="5"/>
  <c r="AU70" i="5"/>
  <c r="AU71" i="5" s="1"/>
  <c r="AU72" i="5" s="1"/>
  <c r="AV119" i="5"/>
  <c r="AV120" i="5" s="1"/>
  <c r="AV121" i="5" s="1"/>
  <c r="AW118" i="5"/>
  <c r="AL36" i="1"/>
  <c r="AR1" i="4"/>
  <c r="AU5" i="3"/>
  <c r="AT2" i="3"/>
  <c r="AV101" i="5"/>
  <c r="AV102" i="5" s="1"/>
  <c r="AV103" i="5" s="1"/>
  <c r="AW95" i="5"/>
  <c r="AV96" i="5"/>
  <c r="AV97" i="5" s="1"/>
  <c r="AX68" i="5"/>
  <c r="AX67" i="5"/>
  <c r="AY66" i="5"/>
  <c r="AW85" i="5"/>
  <c r="AW86" i="5" s="1"/>
  <c r="AW110" i="5"/>
  <c r="AW111" i="5" s="1"/>
  <c r="AW26" i="5"/>
  <c r="AW18" i="5"/>
  <c r="AW23" i="5" s="1"/>
  <c r="AW24" i="5" s="1"/>
  <c r="AW73" i="6"/>
  <c r="AW75" i="6" s="1"/>
  <c r="AX71" i="6"/>
  <c r="AV82" i="5"/>
  <c r="AV84" i="5" s="1"/>
  <c r="AW80" i="5"/>
  <c r="AX98" i="6"/>
  <c r="AX100" i="6" s="1"/>
  <c r="AY96" i="6"/>
  <c r="BD11" i="7"/>
  <c r="AX31" i="1" s="1"/>
  <c r="AV6" i="4"/>
  <c r="AX19" i="3"/>
  <c r="AX21" i="3" s="1"/>
  <c r="AX38" i="3"/>
  <c r="AQ11" i="4"/>
  <c r="AV106" i="6"/>
  <c r="AV107" i="6" s="1"/>
  <c r="AV82" i="6"/>
  <c r="AU61" i="6"/>
  <c r="AU62" i="6" s="1"/>
  <c r="AU63" i="6" s="1"/>
  <c r="AZ30" i="5"/>
  <c r="AW26" i="3"/>
  <c r="AW30" i="3"/>
  <c r="AW107" i="1"/>
  <c r="AX43" i="6"/>
  <c r="AX44" i="6" s="1"/>
  <c r="AY42" i="6"/>
  <c r="AY107" i="5"/>
  <c r="AY109" i="5" s="1"/>
  <c r="AZ105" i="5"/>
  <c r="AX16" i="5"/>
  <c r="AY15" i="5"/>
  <c r="AX32" i="6"/>
  <c r="AW33" i="6"/>
  <c r="AW34" i="6" s="1"/>
  <c r="AW35" i="6" s="1"/>
  <c r="AX110" i="6"/>
  <c r="AX111" i="6" s="1"/>
  <c r="AX112" i="6" s="1"/>
  <c r="AY109" i="6"/>
  <c r="CK112" i="5"/>
  <c r="CM87" i="5"/>
  <c r="CJ112" i="5"/>
  <c r="CL87" i="5"/>
  <c r="AZ85" i="6"/>
  <c r="BA84" i="6"/>
  <c r="AU113" i="5"/>
  <c r="AU114" i="5" s="1"/>
  <c r="AV88" i="5"/>
  <c r="AW144" i="6" l="1"/>
  <c r="AX120" i="6"/>
  <c r="AX119" i="6"/>
  <c r="AX127" i="6" s="1"/>
  <c r="AX129" i="6" s="1"/>
  <c r="AX130" i="6" s="1"/>
  <c r="AY137" i="6"/>
  <c r="AZ136" i="6"/>
  <c r="BA131" i="6"/>
  <c r="AZ132" i="6"/>
  <c r="AZ133" i="6" s="1"/>
  <c r="AZ116" i="6"/>
  <c r="AY118" i="6"/>
  <c r="AX122" i="6"/>
  <c r="AX123" i="6" s="1"/>
  <c r="AX124" i="6" s="1"/>
  <c r="AY121" i="6"/>
  <c r="BB113" i="6"/>
  <c r="BA115" i="6"/>
  <c r="AW19" i="6"/>
  <c r="AW22" i="6" s="1"/>
  <c r="AW23" i="6" s="1"/>
  <c r="AW76" i="6"/>
  <c r="AW77" i="6" s="1"/>
  <c r="AW101" i="6"/>
  <c r="BA27" i="6"/>
  <c r="AZ29" i="6"/>
  <c r="AX45" i="6"/>
  <c r="AX81" i="6" s="1"/>
  <c r="AY8" i="6"/>
  <c r="AX9" i="6"/>
  <c r="AX33" i="6" s="1"/>
  <c r="AX34" i="6" s="1"/>
  <c r="AX35" i="6" s="1"/>
  <c r="AY31" i="6"/>
  <c r="AY37" i="6" s="1"/>
  <c r="AY30" i="6"/>
  <c r="AY38" i="6" s="1"/>
  <c r="AY40" i="6" s="1"/>
  <c r="AY41" i="6" s="1"/>
  <c r="AR154" i="5"/>
  <c r="AT13" i="1"/>
  <c r="AS14" i="1"/>
  <c r="AY34" i="5"/>
  <c r="AY38" i="5" s="1"/>
  <c r="AZ33" i="5"/>
  <c r="AV64" i="5"/>
  <c r="AW56" i="5"/>
  <c r="AW59" i="5"/>
  <c r="AX54" i="5"/>
  <c r="AW42" i="5"/>
  <c r="AW43" i="5" s="1"/>
  <c r="AW45" i="5" s="1"/>
  <c r="BD40" i="5"/>
  <c r="AX36" i="5"/>
  <c r="AX39" i="5" s="1"/>
  <c r="AY35" i="5"/>
  <c r="AX130" i="5"/>
  <c r="AX41" i="5"/>
  <c r="AH69" i="3"/>
  <c r="AH75" i="3" s="1"/>
  <c r="AW61" i="5"/>
  <c r="AW62" i="5" s="1"/>
  <c r="AX57" i="5"/>
  <c r="AW58" i="5"/>
  <c r="AW60" i="5" s="1"/>
  <c r="AW46" i="5" s="1"/>
  <c r="AW48" i="5" s="1"/>
  <c r="AW49" i="5" s="1"/>
  <c r="AW53" i="5" s="1"/>
  <c r="AW90" i="5" s="1"/>
  <c r="AZ51" i="5"/>
  <c r="AZ52" i="5" s="1"/>
  <c r="BA50" i="5"/>
  <c r="AH72" i="3"/>
  <c r="AH78" i="3" s="1"/>
  <c r="AH71" i="3"/>
  <c r="AH77" i="3" s="1"/>
  <c r="AL18" i="1"/>
  <c r="AL35" i="1" s="1"/>
  <c r="AL37" i="1" s="1"/>
  <c r="AV152" i="5"/>
  <c r="AV153" i="5" s="1"/>
  <c r="AH73" i="3"/>
  <c r="AH79" i="3" s="1"/>
  <c r="AW29" i="5"/>
  <c r="AW31" i="5" s="1"/>
  <c r="AW32" i="5" s="1"/>
  <c r="AW150" i="5"/>
  <c r="AW151" i="5" s="1"/>
  <c r="AW147" i="5"/>
  <c r="AW149" i="5" s="1"/>
  <c r="AW135" i="5" s="1"/>
  <c r="AW137" i="5" s="1"/>
  <c r="AW138" i="5" s="1"/>
  <c r="AW142" i="5" s="1"/>
  <c r="AW91" i="5" s="1"/>
  <c r="AX146" i="5"/>
  <c r="AG39" i="3"/>
  <c r="AG40" i="3" s="1"/>
  <c r="AH36" i="3" s="1"/>
  <c r="AM47" i="3"/>
  <c r="AY123" i="5"/>
  <c r="AY127" i="5" s="1"/>
  <c r="AZ122" i="5"/>
  <c r="AK46" i="3"/>
  <c r="AK48" i="3" s="1"/>
  <c r="AK50" i="3" s="1"/>
  <c r="AK57" i="3" s="1"/>
  <c r="AJ106" i="1"/>
  <c r="AJ31" i="3"/>
  <c r="AY139" i="5"/>
  <c r="AX140" i="5"/>
  <c r="AX141" i="5" s="1"/>
  <c r="AZ129" i="5"/>
  <c r="AX125" i="5"/>
  <c r="AX128" i="5" s="1"/>
  <c r="AY124" i="5"/>
  <c r="AW148" i="5"/>
  <c r="AW145" i="5"/>
  <c r="AX143" i="5"/>
  <c r="AW131" i="5"/>
  <c r="AW132" i="5" s="1"/>
  <c r="AJ57" i="3"/>
  <c r="AJ71" i="3" s="1"/>
  <c r="AJ77" i="3" s="1"/>
  <c r="AJ25" i="3"/>
  <c r="AH2" i="4" s="1"/>
  <c r="AM36" i="1"/>
  <c r="AS115" i="5"/>
  <c r="AS116" i="5" s="1"/>
  <c r="AS117" i="5" s="1"/>
  <c r="AS104" i="5"/>
  <c r="AS154" i="5" s="1"/>
  <c r="AX69" i="5"/>
  <c r="AI71" i="3"/>
  <c r="AI77" i="3" s="1"/>
  <c r="AI70" i="3"/>
  <c r="AI76" i="3" s="1"/>
  <c r="AI69" i="3"/>
  <c r="AI75" i="3" s="1"/>
  <c r="AI72" i="3"/>
  <c r="AI78" i="3" s="1"/>
  <c r="AI73" i="3"/>
  <c r="AI79" i="3" s="1"/>
  <c r="AY22" i="5"/>
  <c r="AZ19" i="5"/>
  <c r="AN47" i="3"/>
  <c r="AM17" i="1"/>
  <c r="AF9" i="4"/>
  <c r="AE23" i="4"/>
  <c r="AE24" i="4" s="1"/>
  <c r="AL46" i="3"/>
  <c r="AL48" i="3" s="1"/>
  <c r="AI32" i="3"/>
  <c r="AH27" i="3"/>
  <c r="AI24" i="3" s="1"/>
  <c r="AH37" i="3"/>
  <c r="AX110" i="5"/>
  <c r="AX111" i="5" s="1"/>
  <c r="AX85" i="5"/>
  <c r="AX86" i="5" s="1"/>
  <c r="AX26" i="5"/>
  <c r="AX18" i="5"/>
  <c r="AX23" i="5" s="1"/>
  <c r="AX24" i="5" s="1"/>
  <c r="AX26" i="3"/>
  <c r="AX30" i="3"/>
  <c r="AX107" i="1"/>
  <c r="AY71" i="6"/>
  <c r="AX73" i="6"/>
  <c r="AX75" i="6" s="1"/>
  <c r="BA99" i="5"/>
  <c r="AW119" i="5"/>
  <c r="AW120" i="5" s="1"/>
  <c r="AW121" i="5" s="1"/>
  <c r="AX118" i="5"/>
  <c r="BA4" i="3"/>
  <c r="AZ17" i="3"/>
  <c r="AZ16" i="3"/>
  <c r="CM112" i="5"/>
  <c r="CO87" i="5"/>
  <c r="AW106" i="6"/>
  <c r="AW107" i="6" s="1"/>
  <c r="AW82" i="6"/>
  <c r="AV113" i="5"/>
  <c r="AV114" i="5" s="1"/>
  <c r="AW88" i="5"/>
  <c r="AW89" i="5" s="1"/>
  <c r="AY16" i="5"/>
  <c r="AY41" i="5" s="1"/>
  <c r="AZ15" i="5"/>
  <c r="AU104" i="6"/>
  <c r="AU105" i="6" s="1"/>
  <c r="AU108" i="6" s="1"/>
  <c r="AV79" i="6"/>
  <c r="AU80" i="6"/>
  <c r="AU95" i="6" s="1"/>
  <c r="AY110" i="6"/>
  <c r="AY111" i="6" s="1"/>
  <c r="AY112" i="6" s="1"/>
  <c r="AZ109" i="6"/>
  <c r="AZ96" i="6"/>
  <c r="AY98" i="6"/>
  <c r="AY100" i="6" s="1"/>
  <c r="AU64" i="6"/>
  <c r="AV89" i="5"/>
  <c r="BA93" i="5"/>
  <c r="AZ94" i="5"/>
  <c r="BB84" i="6"/>
  <c r="BA85" i="6"/>
  <c r="AZ107" i="5"/>
  <c r="AZ109" i="5" s="1"/>
  <c r="BA105" i="5"/>
  <c r="AR11" i="4"/>
  <c r="AX80" i="5"/>
  <c r="AW82" i="5"/>
  <c r="AW84" i="5" s="1"/>
  <c r="AW101" i="5"/>
  <c r="AW102" i="5" s="1"/>
  <c r="AW103" i="5" s="1"/>
  <c r="AX95" i="5"/>
  <c r="AW96" i="5"/>
  <c r="AW97" i="5" s="1"/>
  <c r="AS1" i="4"/>
  <c r="AV5" i="3"/>
  <c r="AU2" i="3"/>
  <c r="AV70" i="5"/>
  <c r="AV71" i="5" s="1"/>
  <c r="AV72" i="5" s="1"/>
  <c r="AW48" i="6"/>
  <c r="AW54" i="6" s="1"/>
  <c r="AW55" i="6" s="1"/>
  <c r="AX47" i="6"/>
  <c r="AY32" i="6"/>
  <c r="AV61" i="6"/>
  <c r="AY67" i="5"/>
  <c r="AY68" i="5"/>
  <c r="AZ66" i="5"/>
  <c r="AY86" i="6"/>
  <c r="AX92" i="6"/>
  <c r="AX93" i="6" s="1"/>
  <c r="AX94" i="6" s="1"/>
  <c r="AX143" i="6" s="1"/>
  <c r="AX87" i="6"/>
  <c r="AX88" i="6" s="1"/>
  <c r="AM10" i="4"/>
  <c r="AL12" i="4"/>
  <c r="AL22" i="4"/>
  <c r="AL25" i="4" s="1"/>
  <c r="AL26" i="4" s="1"/>
  <c r="AU73" i="5"/>
  <c r="AU74" i="5" s="1"/>
  <c r="AU75" i="5" s="1"/>
  <c r="AU76" i="5" s="1"/>
  <c r="AU77" i="5" s="1"/>
  <c r="CL112" i="5"/>
  <c r="CN87" i="5"/>
  <c r="AY43" i="6"/>
  <c r="AY44" i="6" s="1"/>
  <c r="AZ42" i="6"/>
  <c r="BA30" i="5"/>
  <c r="BE11" i="7"/>
  <c r="AY31" i="1" s="1"/>
  <c r="AW6" i="4"/>
  <c r="AY19" i="3"/>
  <c r="AY21" i="3" s="1"/>
  <c r="AY38" i="3"/>
  <c r="AX103" i="6"/>
  <c r="AY78" i="6"/>
  <c r="AX134" i="6" l="1"/>
  <c r="AY45" i="6"/>
  <c r="AX126" i="6"/>
  <c r="BA116" i="6"/>
  <c r="AZ118" i="6"/>
  <c r="BB115" i="6"/>
  <c r="BC113" i="6"/>
  <c r="BA132" i="6"/>
  <c r="BA133" i="6" s="1"/>
  <c r="BB131" i="6"/>
  <c r="BA136" i="6"/>
  <c r="AZ137" i="6"/>
  <c r="AZ121" i="6"/>
  <c r="AY122" i="6"/>
  <c r="AY123" i="6" s="1"/>
  <c r="AY124" i="6" s="1"/>
  <c r="AY120" i="6"/>
  <c r="AY126" i="6" s="1"/>
  <c r="AY119" i="6"/>
  <c r="AY127" i="6" s="1"/>
  <c r="AY129" i="6" s="1"/>
  <c r="AY130" i="6" s="1"/>
  <c r="AY134" i="6" s="1"/>
  <c r="AX101" i="6"/>
  <c r="AX19" i="6"/>
  <c r="AX22" i="6" s="1"/>
  <c r="AX23" i="6" s="1"/>
  <c r="AX76" i="6"/>
  <c r="AX77" i="6" s="1"/>
  <c r="AY9" i="6"/>
  <c r="AZ8" i="6"/>
  <c r="AZ31" i="6"/>
  <c r="AZ37" i="6" s="1"/>
  <c r="AZ30" i="6"/>
  <c r="AZ38" i="6" s="1"/>
  <c r="AZ40" i="6" s="1"/>
  <c r="AZ41" i="6" s="1"/>
  <c r="BA29" i="6"/>
  <c r="BB27" i="6"/>
  <c r="AU13" i="1"/>
  <c r="AT14" i="1"/>
  <c r="AX56" i="5"/>
  <c r="AY54" i="5"/>
  <c r="AX59" i="5"/>
  <c r="AW63" i="5"/>
  <c r="AW64" i="5" s="1"/>
  <c r="BA33" i="5"/>
  <c r="AZ34" i="5"/>
  <c r="AZ38" i="5" s="1"/>
  <c r="AX42" i="5"/>
  <c r="AX43" i="5" s="1"/>
  <c r="AX58" i="5"/>
  <c r="AX60" i="5" s="1"/>
  <c r="AX46" i="5" s="1"/>
  <c r="AX48" i="5" s="1"/>
  <c r="AX49" i="5" s="1"/>
  <c r="AX53" i="5" s="1"/>
  <c r="AX90" i="5" s="1"/>
  <c r="AX61" i="5"/>
  <c r="AX62" i="5" s="1"/>
  <c r="AX63" i="5" s="1"/>
  <c r="AY57" i="5"/>
  <c r="BA51" i="5"/>
  <c r="BA52" i="5" s="1"/>
  <c r="BB50" i="5"/>
  <c r="BE40" i="5"/>
  <c r="AY69" i="5"/>
  <c r="AX45" i="5"/>
  <c r="AZ35" i="5"/>
  <c r="AY36" i="5"/>
  <c r="AY39" i="5" s="1"/>
  <c r="AW152" i="5"/>
  <c r="AJ69" i="3"/>
  <c r="AJ75" i="3" s="1"/>
  <c r="AK25" i="3"/>
  <c r="AI2" i="4" s="1"/>
  <c r="AJ70" i="3"/>
  <c r="AJ76" i="3" s="1"/>
  <c r="AX29" i="5"/>
  <c r="AX31" i="5" s="1"/>
  <c r="AX32" i="5" s="1"/>
  <c r="AX150" i="5"/>
  <c r="AX151" i="5" s="1"/>
  <c r="AX147" i="5"/>
  <c r="AX149" i="5" s="1"/>
  <c r="AX135" i="5" s="1"/>
  <c r="AX137" i="5" s="1"/>
  <c r="AX138" i="5" s="1"/>
  <c r="AX142" i="5" s="1"/>
  <c r="AX91" i="5" s="1"/>
  <c r="AY146" i="5"/>
  <c r="AH39" i="3"/>
  <c r="AH40" i="3" s="1"/>
  <c r="AI36" i="3" s="1"/>
  <c r="AY130" i="5"/>
  <c r="AJ32" i="3"/>
  <c r="AJ72" i="3"/>
  <c r="AJ78" i="3" s="1"/>
  <c r="AK29" i="3"/>
  <c r="AK59" i="3"/>
  <c r="AK106" i="1"/>
  <c r="AK31" i="3"/>
  <c r="AW134" i="5"/>
  <c r="AW153" i="5" s="1"/>
  <c r="AZ123" i="5"/>
  <c r="AZ127" i="5" s="1"/>
  <c r="BA122" i="5"/>
  <c r="AK58" i="3"/>
  <c r="AJ73" i="3"/>
  <c r="AJ79" i="3" s="1"/>
  <c r="AY125" i="5"/>
  <c r="AY128" i="5" s="1"/>
  <c r="AZ124" i="5"/>
  <c r="AZ139" i="5"/>
  <c r="AY140" i="5"/>
  <c r="AY141" i="5" s="1"/>
  <c r="AY143" i="5"/>
  <c r="AX148" i="5"/>
  <c r="AX145" i="5"/>
  <c r="AX131" i="5"/>
  <c r="AX132" i="5" s="1"/>
  <c r="AX134" i="5" s="1"/>
  <c r="BA129" i="5"/>
  <c r="AN17" i="1"/>
  <c r="AM18" i="1"/>
  <c r="AM35" i="1" s="1"/>
  <c r="AM37" i="1" s="1"/>
  <c r="AI37" i="3"/>
  <c r="AI27" i="3"/>
  <c r="AJ24" i="3" s="1"/>
  <c r="AL50" i="3"/>
  <c r="AL59" i="3"/>
  <c r="AL58" i="3"/>
  <c r="AN23" i="1"/>
  <c r="AN36" i="1" s="1"/>
  <c r="AG9" i="4"/>
  <c r="AF23" i="4"/>
  <c r="AF24" i="4" s="1"/>
  <c r="AT115" i="5"/>
  <c r="AT116" i="5" s="1"/>
  <c r="AT117" i="5" s="1"/>
  <c r="AT104" i="5"/>
  <c r="AT154" i="5" s="1"/>
  <c r="AZ22" i="5"/>
  <c r="BA19" i="5"/>
  <c r="BA42" i="6"/>
  <c r="AZ43" i="6"/>
  <c r="AZ44" i="6" s="1"/>
  <c r="AY81" i="6"/>
  <c r="BA17" i="3"/>
  <c r="BB4" i="3"/>
  <c r="BA16" i="3"/>
  <c r="CN112" i="5"/>
  <c r="CP87" i="5"/>
  <c r="AM22" i="4"/>
  <c r="AM25" i="4" s="1"/>
  <c r="AM26" i="4" s="1"/>
  <c r="AN10" i="4"/>
  <c r="AM12" i="4"/>
  <c r="AW61" i="6"/>
  <c r="AY73" i="6"/>
  <c r="AY75" i="6" s="1"/>
  <c r="AZ71" i="6"/>
  <c r="AS11" i="4"/>
  <c r="BA96" i="6"/>
  <c r="AZ98" i="6"/>
  <c r="AZ100" i="6" s="1"/>
  <c r="AY92" i="6"/>
  <c r="AY93" i="6" s="1"/>
  <c r="AY94" i="6" s="1"/>
  <c r="AY143" i="6" s="1"/>
  <c r="AZ86" i="6"/>
  <c r="AY87" i="6"/>
  <c r="AY88" i="6" s="1"/>
  <c r="BB93" i="5"/>
  <c r="BA94" i="5"/>
  <c r="AZ110" i="6"/>
  <c r="AZ111" i="6" s="1"/>
  <c r="AZ112" i="6" s="1"/>
  <c r="BA109" i="6"/>
  <c r="AY85" i="5"/>
  <c r="AY86" i="5" s="1"/>
  <c r="AY110" i="5"/>
  <c r="AY111" i="5" s="1"/>
  <c r="AY26" i="5"/>
  <c r="AY18" i="5"/>
  <c r="AY23" i="5" s="1"/>
  <c r="AY24" i="5" s="1"/>
  <c r="AY103" i="6"/>
  <c r="AZ78" i="6"/>
  <c r="AK72" i="3"/>
  <c r="AK78" i="3" s="1"/>
  <c r="AK69" i="3"/>
  <c r="AK75" i="3" s="1"/>
  <c r="AK73" i="3"/>
  <c r="AK79" i="3" s="1"/>
  <c r="AK70" i="3"/>
  <c r="AK76" i="3" s="1"/>
  <c r="AK71" i="3"/>
  <c r="AK77" i="3" s="1"/>
  <c r="AX82" i="5"/>
  <c r="AX84" i="5" s="1"/>
  <c r="AY80" i="5"/>
  <c r="BC84" i="6"/>
  <c r="BB85" i="6"/>
  <c r="CO112" i="5"/>
  <c r="CQ87" i="5"/>
  <c r="BB30" i="5"/>
  <c r="AX106" i="6"/>
  <c r="AX107" i="6" s="1"/>
  <c r="AX82" i="6"/>
  <c r="BA107" i="5"/>
  <c r="BA109" i="5" s="1"/>
  <c r="BB105" i="5"/>
  <c r="AW113" i="5"/>
  <c r="AW114" i="5" s="1"/>
  <c r="AX88" i="5"/>
  <c r="AX89" i="5" s="1"/>
  <c r="BB99" i="5"/>
  <c r="AV104" i="6"/>
  <c r="AV105" i="6" s="1"/>
  <c r="AV108" i="6" s="1"/>
  <c r="AW79" i="6"/>
  <c r="AV80" i="6"/>
  <c r="AV95" i="6" s="1"/>
  <c r="AW70" i="5"/>
  <c r="AW71" i="5" s="1"/>
  <c r="AW72" i="5" s="1"/>
  <c r="AX119" i="5"/>
  <c r="AX120" i="5" s="1"/>
  <c r="AX121" i="5" s="1"/>
  <c r="AY118" i="5"/>
  <c r="AY26" i="3"/>
  <c r="AY30" i="3"/>
  <c r="AY107" i="1"/>
  <c r="AV73" i="5"/>
  <c r="AV62" i="6"/>
  <c r="AV63" i="6" s="1"/>
  <c r="AV64" i="6" s="1"/>
  <c r="AT1" i="4"/>
  <c r="AW5" i="3"/>
  <c r="AV2" i="3"/>
  <c r="AZ16" i="5"/>
  <c r="BA15" i="5"/>
  <c r="AZ68" i="5"/>
  <c r="AZ67" i="5"/>
  <c r="BA66" i="5"/>
  <c r="AY33" i="6"/>
  <c r="AY34" i="6" s="1"/>
  <c r="AY35" i="6" s="1"/>
  <c r="AZ32" i="6"/>
  <c r="AY47" i="6"/>
  <c r="AX48" i="6"/>
  <c r="AX54" i="6" s="1"/>
  <c r="AX55" i="6" s="1"/>
  <c r="AX96" i="5"/>
  <c r="AX97" i="5" s="1"/>
  <c r="AX101" i="5"/>
  <c r="AX102" i="5" s="1"/>
  <c r="AX103" i="5" s="1"/>
  <c r="AY95" i="5"/>
  <c r="AU65" i="6"/>
  <c r="AU66" i="6" s="1"/>
  <c r="AU67" i="6" s="1"/>
  <c r="AO22" i="1" s="1"/>
  <c r="BF11" i="7"/>
  <c r="AZ31" i="1" s="1"/>
  <c r="AX6" i="4"/>
  <c r="AZ19" i="3"/>
  <c r="AZ21" i="3" s="1"/>
  <c r="AZ38" i="3"/>
  <c r="AY144" i="6" l="1"/>
  <c r="AX144" i="6"/>
  <c r="BD113" i="6"/>
  <c r="BC115" i="6"/>
  <c r="BA137" i="6"/>
  <c r="BB136" i="6"/>
  <c r="BA121" i="6"/>
  <c r="AZ122" i="6"/>
  <c r="AZ123" i="6" s="1"/>
  <c r="AZ124" i="6" s="1"/>
  <c r="AZ120" i="6"/>
  <c r="AZ119" i="6"/>
  <c r="AZ127" i="6" s="1"/>
  <c r="AZ129" i="6" s="1"/>
  <c r="AZ130" i="6" s="1"/>
  <c r="BB132" i="6"/>
  <c r="BB133" i="6" s="1"/>
  <c r="BC131" i="6"/>
  <c r="BB116" i="6"/>
  <c r="BA118" i="6"/>
  <c r="AZ45" i="6"/>
  <c r="AZ81" i="6" s="1"/>
  <c r="BA31" i="6"/>
  <c r="BA37" i="6" s="1"/>
  <c r="BA30" i="6"/>
  <c r="BA38" i="6" s="1"/>
  <c r="BA40" i="6" s="1"/>
  <c r="BA41" i="6" s="1"/>
  <c r="BA8" i="6"/>
  <c r="AZ9" i="6"/>
  <c r="AY19" i="6"/>
  <c r="AY22" i="6" s="1"/>
  <c r="AY23" i="6" s="1"/>
  <c r="AY101" i="6"/>
  <c r="AY76" i="6"/>
  <c r="AY77" i="6" s="1"/>
  <c r="BC27" i="6"/>
  <c r="BB29" i="6"/>
  <c r="AU14" i="1"/>
  <c r="AV13" i="1"/>
  <c r="BB33" i="5"/>
  <c r="BA34" i="5"/>
  <c r="BA38" i="5" s="1"/>
  <c r="AY56" i="5"/>
  <c r="AY59" i="5"/>
  <c r="AZ54" i="5"/>
  <c r="AY42" i="5"/>
  <c r="AY43" i="5" s="1"/>
  <c r="AY45" i="5" s="1"/>
  <c r="AX64" i="5"/>
  <c r="BF40" i="5"/>
  <c r="AZ57" i="5"/>
  <c r="AY58" i="5"/>
  <c r="AY60" i="5" s="1"/>
  <c r="AY46" i="5" s="1"/>
  <c r="AY48" i="5" s="1"/>
  <c r="AY49" i="5" s="1"/>
  <c r="AY53" i="5" s="1"/>
  <c r="AY90" i="5" s="1"/>
  <c r="AY61" i="5"/>
  <c r="AY62" i="5" s="1"/>
  <c r="AZ130" i="5"/>
  <c r="AZ41" i="5"/>
  <c r="BA35" i="5"/>
  <c r="AZ36" i="5"/>
  <c r="AZ39" i="5" s="1"/>
  <c r="BC50" i="5"/>
  <c r="BB51" i="5"/>
  <c r="BB52" i="5" s="1"/>
  <c r="AX152" i="5"/>
  <c r="AX153" i="5" s="1"/>
  <c r="AY131" i="5"/>
  <c r="AY132" i="5" s="1"/>
  <c r="AY134" i="5" s="1"/>
  <c r="AK32" i="3"/>
  <c r="AY29" i="5"/>
  <c r="AY31" i="5" s="1"/>
  <c r="AY32" i="5" s="1"/>
  <c r="AY147" i="5"/>
  <c r="AY149" i="5" s="1"/>
  <c r="AY135" i="5" s="1"/>
  <c r="AY137" i="5" s="1"/>
  <c r="AY138" i="5" s="1"/>
  <c r="AY142" i="5" s="1"/>
  <c r="AY91" i="5" s="1"/>
  <c r="AY150" i="5"/>
  <c r="AY151" i="5" s="1"/>
  <c r="AZ146" i="5"/>
  <c r="AI39" i="3"/>
  <c r="AI40" i="3" s="1"/>
  <c r="AJ36" i="3" s="1"/>
  <c r="AM46" i="3"/>
  <c r="AM48" i="3" s="1"/>
  <c r="AM50" i="3" s="1"/>
  <c r="AM25" i="3" s="1"/>
  <c r="AK2" i="4" s="1"/>
  <c r="BB122" i="5"/>
  <c r="BA123" i="5"/>
  <c r="BA127" i="5" s="1"/>
  <c r="BB129" i="5"/>
  <c r="AZ125" i="5"/>
  <c r="AZ128" i="5" s="1"/>
  <c r="BA124" i="5"/>
  <c r="AZ140" i="5"/>
  <c r="AZ141" i="5" s="1"/>
  <c r="BA139" i="5"/>
  <c r="AY148" i="5"/>
  <c r="AZ143" i="5"/>
  <c r="AY145" i="5"/>
  <c r="AZ69" i="5"/>
  <c r="AP47" i="3"/>
  <c r="AN46" i="3"/>
  <c r="AN48" i="3" s="1"/>
  <c r="AU115" i="5"/>
  <c r="AU116" i="5" s="1"/>
  <c r="AU117" i="5" s="1"/>
  <c r="AU104" i="5"/>
  <c r="AU154" i="5" s="1"/>
  <c r="AH9" i="4"/>
  <c r="AG23" i="4"/>
  <c r="AG24" i="4" s="1"/>
  <c r="AJ27" i="3"/>
  <c r="AK24" i="3" s="1"/>
  <c r="AJ37" i="3"/>
  <c r="BA22" i="5"/>
  <c r="BB19" i="5"/>
  <c r="AO17" i="1"/>
  <c r="AL106" i="1"/>
  <c r="AL31" i="3"/>
  <c r="AL29" i="3"/>
  <c r="AL57" i="3"/>
  <c r="AL25" i="3"/>
  <c r="AJ2" i="4" s="1"/>
  <c r="BA16" i="5"/>
  <c r="BA41" i="5" s="1"/>
  <c r="BB15" i="5"/>
  <c r="AZ85" i="5"/>
  <c r="AZ86" i="5" s="1"/>
  <c r="AZ110" i="5"/>
  <c r="AZ111" i="5" s="1"/>
  <c r="AZ26" i="5"/>
  <c r="AZ18" i="5"/>
  <c r="AZ23" i="5" s="1"/>
  <c r="AZ24" i="5" s="1"/>
  <c r="BA110" i="6"/>
  <c r="BA111" i="6" s="1"/>
  <c r="BA112" i="6" s="1"/>
  <c r="BB109" i="6"/>
  <c r="AZ107" i="1"/>
  <c r="AZ30" i="3"/>
  <c r="AZ26" i="3"/>
  <c r="AW73" i="5"/>
  <c r="AW74" i="5" s="1"/>
  <c r="AW75" i="5" s="1"/>
  <c r="AW76" i="5" s="1"/>
  <c r="AW77" i="5" s="1"/>
  <c r="AW104" i="6"/>
  <c r="AW105" i="6" s="1"/>
  <c r="AW108" i="6" s="1"/>
  <c r="AX79" i="6"/>
  <c r="AW80" i="6"/>
  <c r="AW95" i="6" s="1"/>
  <c r="BB107" i="5"/>
  <c r="BB109" i="5" s="1"/>
  <c r="BC105" i="5"/>
  <c r="AY48" i="6"/>
  <c r="AY54" i="6" s="1"/>
  <c r="AY55" i="6" s="1"/>
  <c r="AZ47" i="6"/>
  <c r="AZ33" i="6"/>
  <c r="AZ34" i="6" s="1"/>
  <c r="AZ35" i="6" s="1"/>
  <c r="BA32" i="6"/>
  <c r="CQ112" i="5"/>
  <c r="CS87" i="5"/>
  <c r="AX61" i="6"/>
  <c r="BB42" i="6"/>
  <c r="BA43" i="6"/>
  <c r="BA44" i="6" s="1"/>
  <c r="BA45" i="6" s="1"/>
  <c r="BB66" i="5"/>
  <c r="BA68" i="5"/>
  <c r="BA67" i="5"/>
  <c r="AZ118" i="5"/>
  <c r="AY119" i="5"/>
  <c r="AY120" i="5" s="1"/>
  <c r="AY121" i="5" s="1"/>
  <c r="AZ80" i="5"/>
  <c r="AY82" i="5"/>
  <c r="AY84" i="5" s="1"/>
  <c r="BC93" i="5"/>
  <c r="BB94" i="5"/>
  <c r="AT11" i="4"/>
  <c r="AW62" i="6"/>
  <c r="AW63" i="6" s="1"/>
  <c r="AW64" i="6" s="1"/>
  <c r="BG11" i="7"/>
  <c r="BA31" i="1" s="1"/>
  <c r="AY6" i="4"/>
  <c r="BA19" i="3"/>
  <c r="BA21" i="3" s="1"/>
  <c r="BA38" i="3"/>
  <c r="CP112" i="5"/>
  <c r="CR87" i="5"/>
  <c r="AV74" i="5"/>
  <c r="AV75" i="5" s="1"/>
  <c r="AV76" i="5" s="1"/>
  <c r="AV77" i="5" s="1"/>
  <c r="AY106" i="6"/>
  <c r="AY107" i="6" s="1"/>
  <c r="AY82" i="6"/>
  <c r="AO47" i="3"/>
  <c r="AO23" i="1"/>
  <c r="AO36" i="1" s="1"/>
  <c r="AU1" i="4"/>
  <c r="AX5" i="3"/>
  <c r="AW2" i="3"/>
  <c r="BB96" i="6"/>
  <c r="BA98" i="6"/>
  <c r="BA100" i="6" s="1"/>
  <c r="AN22" i="4"/>
  <c r="AN25" i="4" s="1"/>
  <c r="AN26" i="4" s="1"/>
  <c r="AO10" i="4"/>
  <c r="AN12" i="4"/>
  <c r="AY96" i="5"/>
  <c r="AY97" i="5" s="1"/>
  <c r="AZ95" i="5"/>
  <c r="AY101" i="5"/>
  <c r="AY102" i="5" s="1"/>
  <c r="AY103" i="5" s="1"/>
  <c r="BC99" i="5"/>
  <c r="BB17" i="3"/>
  <c r="BB16" i="3"/>
  <c r="BC4" i="3"/>
  <c r="AX70" i="5"/>
  <c r="BC30" i="5"/>
  <c r="AV65" i="6"/>
  <c r="AV66" i="6" s="1"/>
  <c r="AV67" i="6" s="1"/>
  <c r="AP22" i="1" s="1"/>
  <c r="AZ103" i="6"/>
  <c r="BA78" i="6"/>
  <c r="AX113" i="5"/>
  <c r="AX114" i="5" s="1"/>
  <c r="AY88" i="5"/>
  <c r="AY89" i="5" s="1"/>
  <c r="BD84" i="6"/>
  <c r="BC85" i="6"/>
  <c r="BA86" i="6"/>
  <c r="AZ92" i="6"/>
  <c r="AZ93" i="6" s="1"/>
  <c r="AZ94" i="6" s="1"/>
  <c r="AZ143" i="6" s="1"/>
  <c r="AZ87" i="6"/>
  <c r="AZ88" i="6" s="1"/>
  <c r="AZ73" i="6"/>
  <c r="AZ75" i="6" s="1"/>
  <c r="BA71" i="6"/>
  <c r="AZ134" i="6" l="1"/>
  <c r="AZ126" i="6"/>
  <c r="BA120" i="6"/>
  <c r="BA126" i="6" s="1"/>
  <c r="BA119" i="6"/>
  <c r="BA127" i="6" s="1"/>
  <c r="BA129" i="6" s="1"/>
  <c r="BA130" i="6" s="1"/>
  <c r="BA134" i="6" s="1"/>
  <c r="BC116" i="6"/>
  <c r="BB118" i="6"/>
  <c r="BC132" i="6"/>
  <c r="BC133" i="6" s="1"/>
  <c r="BD131" i="6"/>
  <c r="BB121" i="6"/>
  <c r="BA122" i="6"/>
  <c r="BA123" i="6" s="1"/>
  <c r="BA124" i="6" s="1"/>
  <c r="BC136" i="6"/>
  <c r="BB137" i="6"/>
  <c r="BE113" i="6"/>
  <c r="BD115" i="6"/>
  <c r="AZ101" i="6"/>
  <c r="AZ19" i="6"/>
  <c r="AZ22" i="6" s="1"/>
  <c r="AZ23" i="6" s="1"/>
  <c r="AZ76" i="6"/>
  <c r="AZ77" i="6" s="1"/>
  <c r="BB8" i="6"/>
  <c r="BA9" i="6"/>
  <c r="BB31" i="6"/>
  <c r="BB37" i="6" s="1"/>
  <c r="BB30" i="6"/>
  <c r="BB38" i="6" s="1"/>
  <c r="BB40" i="6" s="1"/>
  <c r="BB41" i="6" s="1"/>
  <c r="BC29" i="6"/>
  <c r="BD27" i="6"/>
  <c r="AM31" i="3"/>
  <c r="AV14" i="1"/>
  <c r="AW13" i="1"/>
  <c r="BA54" i="5"/>
  <c r="AZ59" i="5"/>
  <c r="AZ56" i="5"/>
  <c r="AY63" i="5"/>
  <c r="AY64" i="5" s="1"/>
  <c r="BC33" i="5"/>
  <c r="BB34" i="5"/>
  <c r="BB38" i="5" s="1"/>
  <c r="BG40" i="5"/>
  <c r="BA57" i="5"/>
  <c r="AZ58" i="5"/>
  <c r="AZ60" i="5" s="1"/>
  <c r="AZ46" i="5" s="1"/>
  <c r="AZ48" i="5" s="1"/>
  <c r="AZ49" i="5" s="1"/>
  <c r="AZ53" i="5" s="1"/>
  <c r="AZ90" i="5" s="1"/>
  <c r="AZ61" i="5"/>
  <c r="AZ62" i="5" s="1"/>
  <c r="BD50" i="5"/>
  <c r="BC51" i="5"/>
  <c r="BC52" i="5" s="1"/>
  <c r="BB35" i="5"/>
  <c r="BA36" i="5"/>
  <c r="BA39" i="5" s="1"/>
  <c r="AZ42" i="5"/>
  <c r="AZ43" i="5" s="1"/>
  <c r="AZ45" i="5" s="1"/>
  <c r="AY152" i="5"/>
  <c r="AM57" i="3"/>
  <c r="AM70" i="3" s="1"/>
  <c r="AM76" i="3" s="1"/>
  <c r="AL32" i="3"/>
  <c r="AM106" i="1"/>
  <c r="AM29" i="3"/>
  <c r="AM59" i="3"/>
  <c r="AZ29" i="5"/>
  <c r="AZ31" i="5" s="1"/>
  <c r="AZ32" i="5" s="1"/>
  <c r="AZ147" i="5"/>
  <c r="AZ149" i="5" s="1"/>
  <c r="AZ135" i="5" s="1"/>
  <c r="AZ137" i="5" s="1"/>
  <c r="AZ138" i="5" s="1"/>
  <c r="AZ142" i="5" s="1"/>
  <c r="AZ91" i="5" s="1"/>
  <c r="BA146" i="5"/>
  <c r="AZ150" i="5"/>
  <c r="AZ151" i="5" s="1"/>
  <c r="AM58" i="3"/>
  <c r="BA130" i="5"/>
  <c r="BC122" i="5"/>
  <c r="BB123" i="5"/>
  <c r="BB127" i="5" s="1"/>
  <c r="AO46" i="3"/>
  <c r="AO48" i="3" s="1"/>
  <c r="BA140" i="5"/>
  <c r="BA141" i="5" s="1"/>
  <c r="BB139" i="5"/>
  <c r="BA125" i="5"/>
  <c r="BA128" i="5" s="1"/>
  <c r="BB124" i="5"/>
  <c r="BC129" i="5"/>
  <c r="AY153" i="5"/>
  <c r="AZ148" i="5"/>
  <c r="AZ145" i="5"/>
  <c r="BA143" i="5"/>
  <c r="AZ131" i="5"/>
  <c r="AZ132" i="5" s="1"/>
  <c r="AP23" i="1"/>
  <c r="AP36" i="1" s="1"/>
  <c r="AN18" i="1"/>
  <c r="AN35" i="1" s="1"/>
  <c r="AN37" i="1" s="1"/>
  <c r="AN59" i="3"/>
  <c r="AN50" i="3"/>
  <c r="AN58" i="3"/>
  <c r="AH23" i="4"/>
  <c r="AH24" i="4" s="1"/>
  <c r="AI9" i="4"/>
  <c r="BB22" i="5"/>
  <c r="BC19" i="5"/>
  <c r="AV104" i="5"/>
  <c r="AV115" i="5"/>
  <c r="AV116" i="5" s="1"/>
  <c r="AV117" i="5" s="1"/>
  <c r="AL73" i="3"/>
  <c r="AL79" i="3" s="1"/>
  <c r="AL72" i="3"/>
  <c r="AL78" i="3" s="1"/>
  <c r="AL69" i="3"/>
  <c r="AL75" i="3" s="1"/>
  <c r="AL71" i="3"/>
  <c r="AL77" i="3" s="1"/>
  <c r="AL70" i="3"/>
  <c r="AL76" i="3" s="1"/>
  <c r="AK27" i="3"/>
  <c r="AL24" i="3" s="1"/>
  <c r="AK37" i="3"/>
  <c r="AJ39" i="3"/>
  <c r="AP17" i="1"/>
  <c r="AW65" i="6"/>
  <c r="AW66" i="6" s="1"/>
  <c r="AW67" i="6" s="1"/>
  <c r="AQ22" i="1" s="1"/>
  <c r="BD30" i="5"/>
  <c r="BA92" i="6"/>
  <c r="BA93" i="6" s="1"/>
  <c r="BA94" i="6" s="1"/>
  <c r="BA143" i="6" s="1"/>
  <c r="BB86" i="6"/>
  <c r="BA87" i="6"/>
  <c r="BA88" i="6" s="1"/>
  <c r="BC17" i="3"/>
  <c r="BC16" i="3"/>
  <c r="BD4" i="3"/>
  <c r="BA69" i="5"/>
  <c r="BE84" i="6"/>
  <c r="BD85" i="6"/>
  <c r="AY70" i="5"/>
  <c r="BA95" i="5"/>
  <c r="AZ96" i="5"/>
  <c r="AZ97" i="5" s="1"/>
  <c r="AZ101" i="5"/>
  <c r="AZ102" i="5" s="1"/>
  <c r="AZ103" i="5" s="1"/>
  <c r="AU11" i="4"/>
  <c r="BA118" i="5"/>
  <c r="AZ119" i="5"/>
  <c r="AZ120" i="5" s="1"/>
  <c r="AZ121" i="5" s="1"/>
  <c r="AV1" i="4"/>
  <c r="AY5" i="3"/>
  <c r="AX2" i="3"/>
  <c r="BB43" i="6"/>
  <c r="BB44" i="6" s="1"/>
  <c r="BC42" i="6"/>
  <c r="BA47" i="6"/>
  <c r="AZ48" i="6"/>
  <c r="AZ54" i="6" s="1"/>
  <c r="AZ55" i="6" s="1"/>
  <c r="BA103" i="6"/>
  <c r="BB78" i="6"/>
  <c r="BH11" i="7"/>
  <c r="BB31" i="1" s="1"/>
  <c r="AZ6" i="4"/>
  <c r="BB38" i="3"/>
  <c r="BB19" i="3"/>
  <c r="BB21" i="3" s="1"/>
  <c r="BC66" i="5"/>
  <c r="BB68" i="5"/>
  <c r="BB67" i="5"/>
  <c r="BA81" i="6"/>
  <c r="BC107" i="5"/>
  <c r="BC109" i="5" s="1"/>
  <c r="BD105" i="5"/>
  <c r="BD93" i="5"/>
  <c r="BC94" i="5"/>
  <c r="AY61" i="6"/>
  <c r="BC15" i="5"/>
  <c r="BB16" i="5"/>
  <c r="BB41" i="5" s="1"/>
  <c r="AZ106" i="6"/>
  <c r="AZ107" i="6" s="1"/>
  <c r="AZ82" i="6"/>
  <c r="BD99" i="5"/>
  <c r="BA80" i="5"/>
  <c r="AZ82" i="5"/>
  <c r="AZ84" i="5" s="1"/>
  <c r="BC96" i="6"/>
  <c r="BB98" i="6"/>
  <c r="BB100" i="6" s="1"/>
  <c r="BC109" i="6"/>
  <c r="BB110" i="6"/>
  <c r="BB111" i="6" s="1"/>
  <c r="BB112" i="6" s="1"/>
  <c r="CS112" i="5"/>
  <c r="CU87" i="5"/>
  <c r="BB35" i="3"/>
  <c r="AT35" i="3"/>
  <c r="AL35" i="3"/>
  <c r="AD35" i="3"/>
  <c r="BA35" i="3"/>
  <c r="AS35" i="3"/>
  <c r="AK35" i="3"/>
  <c r="AZ35" i="3"/>
  <c r="AR35" i="3"/>
  <c r="AJ35" i="3"/>
  <c r="AU35" i="3"/>
  <c r="AM35" i="3"/>
  <c r="AE35" i="3"/>
  <c r="AO35" i="3"/>
  <c r="AN35" i="3"/>
  <c r="AY35" i="3"/>
  <c r="AI35" i="3"/>
  <c r="AX35" i="3"/>
  <c r="AP35" i="3"/>
  <c r="AH35" i="3"/>
  <c r="AQ35" i="3"/>
  <c r="AG35" i="3"/>
  <c r="AW35" i="3"/>
  <c r="AF35" i="3"/>
  <c r="AV35" i="3"/>
  <c r="AX71" i="5"/>
  <c r="AX72" i="5" s="1"/>
  <c r="AX73" i="5" s="1"/>
  <c r="AX74" i="5" s="1"/>
  <c r="AX75" i="5" s="1"/>
  <c r="AX76" i="5" s="1"/>
  <c r="AX77" i="5" s="1"/>
  <c r="BA73" i="6"/>
  <c r="BA75" i="6" s="1"/>
  <c r="BB71" i="6"/>
  <c r="AY113" i="5"/>
  <c r="AY114" i="5" s="1"/>
  <c r="AZ88" i="5"/>
  <c r="AZ89" i="5" s="1"/>
  <c r="AO22" i="4"/>
  <c r="AO25" i="4" s="1"/>
  <c r="AO26" i="4" s="1"/>
  <c r="AP10" i="4"/>
  <c r="AO12" i="4"/>
  <c r="CR112" i="5"/>
  <c r="CT87" i="5"/>
  <c r="BA107" i="1"/>
  <c r="BA26" i="3"/>
  <c r="BA30" i="3"/>
  <c r="AX62" i="6"/>
  <c r="AX63" i="6" s="1"/>
  <c r="AX64" i="6" s="1"/>
  <c r="BA33" i="6"/>
  <c r="BA34" i="6" s="1"/>
  <c r="BA35" i="6" s="1"/>
  <c r="BB32" i="6"/>
  <c r="AX104" i="6"/>
  <c r="AX105" i="6" s="1"/>
  <c r="AX108" i="6" s="1"/>
  <c r="AY79" i="6"/>
  <c r="AX80" i="6"/>
  <c r="AX95" i="6" s="1"/>
  <c r="BA110" i="5"/>
  <c r="BA111" i="5" s="1"/>
  <c r="BA85" i="5"/>
  <c r="BA86" i="5" s="1"/>
  <c r="BA26" i="5"/>
  <c r="BA18" i="5"/>
  <c r="BA23" i="5" s="1"/>
  <c r="BA24" i="5" s="1"/>
  <c r="AM32" i="3" l="1"/>
  <c r="AZ144" i="6"/>
  <c r="BA144" i="6"/>
  <c r="BD132" i="6"/>
  <c r="BD133" i="6" s="1"/>
  <c r="BE131" i="6"/>
  <c r="BB122" i="6"/>
  <c r="BB123" i="6" s="1"/>
  <c r="BB124" i="6" s="1"/>
  <c r="BC121" i="6"/>
  <c r="BF113" i="6"/>
  <c r="BE115" i="6"/>
  <c r="BB120" i="6"/>
  <c r="BB119" i="6"/>
  <c r="BB127" i="6" s="1"/>
  <c r="BB129" i="6" s="1"/>
  <c r="BB130" i="6" s="1"/>
  <c r="BC118" i="6"/>
  <c r="BD116" i="6"/>
  <c r="BC137" i="6"/>
  <c r="BD136" i="6"/>
  <c r="BB45" i="6"/>
  <c r="BB81" i="6" s="1"/>
  <c r="BC30" i="6"/>
  <c r="BC38" i="6" s="1"/>
  <c r="BC40" i="6" s="1"/>
  <c r="BC41" i="6" s="1"/>
  <c r="BC31" i="6"/>
  <c r="BC37" i="6" s="1"/>
  <c r="BA19" i="6"/>
  <c r="BA22" i="6" s="1"/>
  <c r="BA23" i="6" s="1"/>
  <c r="BA101" i="6"/>
  <c r="BA76" i="6"/>
  <c r="BA77" i="6" s="1"/>
  <c r="BC8" i="6"/>
  <c r="BB9" i="6"/>
  <c r="BD29" i="6"/>
  <c r="BE27" i="6"/>
  <c r="AV154" i="5"/>
  <c r="AX13" i="1"/>
  <c r="AW14" i="1"/>
  <c r="BC34" i="5"/>
  <c r="BC38" i="5" s="1"/>
  <c r="BD33" i="5"/>
  <c r="AM72" i="3"/>
  <c r="AM78" i="3" s="1"/>
  <c r="AZ63" i="5"/>
  <c r="AZ64" i="5" s="1"/>
  <c r="BA56" i="5"/>
  <c r="BA59" i="5"/>
  <c r="BB54" i="5"/>
  <c r="AM69" i="3"/>
  <c r="AM75" i="3" s="1"/>
  <c r="BC35" i="5"/>
  <c r="BB36" i="5"/>
  <c r="BB39" i="5" s="1"/>
  <c r="BA42" i="5"/>
  <c r="BA43" i="5" s="1"/>
  <c r="BA45" i="5" s="1"/>
  <c r="BB57" i="5"/>
  <c r="BA58" i="5"/>
  <c r="BA60" i="5" s="1"/>
  <c r="BA46" i="5" s="1"/>
  <c r="BA48" i="5" s="1"/>
  <c r="BA49" i="5" s="1"/>
  <c r="BA53" i="5" s="1"/>
  <c r="BA90" i="5" s="1"/>
  <c r="BA61" i="5"/>
  <c r="BA62" i="5" s="1"/>
  <c r="BA63" i="5" s="1"/>
  <c r="BB42" i="5"/>
  <c r="BB43" i="5" s="1"/>
  <c r="BH40" i="5"/>
  <c r="AM71" i="3"/>
  <c r="AM77" i="3" s="1"/>
  <c r="AM73" i="3"/>
  <c r="AM79" i="3" s="1"/>
  <c r="BE50" i="5"/>
  <c r="BD51" i="5"/>
  <c r="BD52" i="5" s="1"/>
  <c r="AZ152" i="5"/>
  <c r="BA131" i="5"/>
  <c r="BA132" i="5" s="1"/>
  <c r="BA134" i="5" s="1"/>
  <c r="BA29" i="5"/>
  <c r="BA31" i="5" s="1"/>
  <c r="BA32" i="5" s="1"/>
  <c r="BA147" i="5"/>
  <c r="BA149" i="5" s="1"/>
  <c r="BA135" i="5" s="1"/>
  <c r="BA137" i="5" s="1"/>
  <c r="BA138" i="5" s="1"/>
  <c r="BA142" i="5" s="1"/>
  <c r="BA91" i="5" s="1"/>
  <c r="BB146" i="5"/>
  <c r="BA150" i="5"/>
  <c r="BA151" i="5" s="1"/>
  <c r="AO18" i="1"/>
  <c r="AO35" i="1" s="1"/>
  <c r="AO37" i="1" s="1"/>
  <c r="BB130" i="5"/>
  <c r="BC123" i="5"/>
  <c r="BC127" i="5" s="1"/>
  <c r="BD122" i="5"/>
  <c r="AZ134" i="5"/>
  <c r="BD129" i="5"/>
  <c r="BB140" i="5"/>
  <c r="BB141" i="5" s="1"/>
  <c r="BC139" i="5"/>
  <c r="BA148" i="5"/>
  <c r="BA145" i="5"/>
  <c r="BB143" i="5"/>
  <c r="BB125" i="5"/>
  <c r="BB128" i="5" s="1"/>
  <c r="BC124" i="5"/>
  <c r="AO58" i="3"/>
  <c r="AO59" i="3"/>
  <c r="AO50" i="3"/>
  <c r="AO31" i="3" s="1"/>
  <c r="AW115" i="5"/>
  <c r="AW116" i="5" s="1"/>
  <c r="AW117" i="5" s="1"/>
  <c r="AW104" i="5"/>
  <c r="AW154" i="5" s="1"/>
  <c r="AJ40" i="3"/>
  <c r="AK36" i="3" s="1"/>
  <c r="AK39" i="3" s="1"/>
  <c r="AL37" i="3"/>
  <c r="AL27" i="3"/>
  <c r="AM24" i="3" s="1"/>
  <c r="AN29" i="3"/>
  <c r="AN25" i="3"/>
  <c r="AL2" i="4" s="1"/>
  <c r="AN106" i="1"/>
  <c r="AN31" i="3"/>
  <c r="AN32" i="3" s="1"/>
  <c r="AN57" i="3"/>
  <c r="AI23" i="4"/>
  <c r="AI24" i="4" s="1"/>
  <c r="AJ9" i="4"/>
  <c r="BD19" i="5"/>
  <c r="BC22" i="5"/>
  <c r="AQ17" i="1"/>
  <c r="AY64" i="6"/>
  <c r="AY65" i="6" s="1"/>
  <c r="AY66" i="6" s="1"/>
  <c r="AY67" i="6" s="1"/>
  <c r="AS22" i="1" s="1"/>
  <c r="AX65" i="6"/>
  <c r="AX66" i="6" s="1"/>
  <c r="AX67" i="6" s="1"/>
  <c r="AR22" i="1" s="1"/>
  <c r="BA96" i="5"/>
  <c r="BA97" i="5" s="1"/>
  <c r="BB95" i="5"/>
  <c r="BA101" i="5"/>
  <c r="BA102" i="5" s="1"/>
  <c r="BA103" i="5" s="1"/>
  <c r="CU112" i="5"/>
  <c r="CW87" i="5"/>
  <c r="BB110" i="5"/>
  <c r="BB111" i="5" s="1"/>
  <c r="BB26" i="5"/>
  <c r="BB18" i="5"/>
  <c r="BB23" i="5" s="1"/>
  <c r="BB24" i="5" s="1"/>
  <c r="BB85" i="5"/>
  <c r="BB86" i="5" s="1"/>
  <c r="BB103" i="6"/>
  <c r="BC78" i="6"/>
  <c r="AY2" i="3"/>
  <c r="AZ5" i="3"/>
  <c r="AW1" i="4"/>
  <c r="BB118" i="5"/>
  <c r="BA119" i="5"/>
  <c r="BA120" i="5" s="1"/>
  <c r="BA121" i="5" s="1"/>
  <c r="BB30" i="3"/>
  <c r="BB26" i="3"/>
  <c r="BB107" i="1"/>
  <c r="AY104" i="6"/>
  <c r="AY105" i="6" s="1"/>
  <c r="AY108" i="6" s="1"/>
  <c r="AZ79" i="6"/>
  <c r="AY80" i="6"/>
  <c r="AY95" i="6" s="1"/>
  <c r="CT112" i="5"/>
  <c r="CV87" i="5"/>
  <c r="BC98" i="6"/>
  <c r="BC100" i="6" s="1"/>
  <c r="BD96" i="6"/>
  <c r="AZ113" i="5"/>
  <c r="AZ114" i="5" s="1"/>
  <c r="BA88" i="5"/>
  <c r="AZ70" i="5"/>
  <c r="AZ71" i="5"/>
  <c r="AZ72" i="5" s="1"/>
  <c r="BB69" i="5"/>
  <c r="AQ10" i="4"/>
  <c r="AP12" i="4"/>
  <c r="AP22" i="4"/>
  <c r="AP25" i="4" s="1"/>
  <c r="AP26" i="4" s="1"/>
  <c r="BD66" i="5"/>
  <c r="BC68" i="5"/>
  <c r="BC67" i="5"/>
  <c r="BD15" i="5"/>
  <c r="BC16" i="5"/>
  <c r="BC41" i="5" s="1"/>
  <c r="AQ47" i="3"/>
  <c r="AQ23" i="1"/>
  <c r="AQ36" i="1" s="1"/>
  <c r="AV11" i="4"/>
  <c r="BE93" i="5"/>
  <c r="BD94" i="5"/>
  <c r="BD17" i="3"/>
  <c r="BD16" i="3"/>
  <c r="BE4" i="3"/>
  <c r="BE30" i="5"/>
  <c r="BF84" i="6"/>
  <c r="BE85" i="6"/>
  <c r="BA89" i="5"/>
  <c r="BB80" i="5"/>
  <c r="BA82" i="5"/>
  <c r="BA84" i="5" s="1"/>
  <c r="BC110" i="6"/>
  <c r="BC111" i="6" s="1"/>
  <c r="BC112" i="6" s="1"/>
  <c r="BD109" i="6"/>
  <c r="AZ61" i="6"/>
  <c r="BA48" i="6"/>
  <c r="BA54" i="6" s="1"/>
  <c r="BA55" i="6" s="1"/>
  <c r="BB47" i="6"/>
  <c r="BC43" i="6"/>
  <c r="BC44" i="6" s="1"/>
  <c r="BC45" i="6" s="1"/>
  <c r="BD42" i="6"/>
  <c r="BB92" i="6"/>
  <c r="BB93" i="6" s="1"/>
  <c r="BB94" i="6" s="1"/>
  <c r="BB143" i="6" s="1"/>
  <c r="BB87" i="6"/>
  <c r="BB88" i="6" s="1"/>
  <c r="BC86" i="6"/>
  <c r="BC32" i="6"/>
  <c r="AY71" i="5"/>
  <c r="AY72" i="5" s="1"/>
  <c r="AY73" i="5" s="1"/>
  <c r="BB73" i="6"/>
  <c r="BB75" i="6" s="1"/>
  <c r="BC71" i="6"/>
  <c r="BI11" i="7"/>
  <c r="BC31" i="1" s="1"/>
  <c r="BA6" i="4"/>
  <c r="BC19" i="3"/>
  <c r="BC21" i="3" s="1"/>
  <c r="BE105" i="5"/>
  <c r="BD107" i="5"/>
  <c r="BD109" i="5" s="1"/>
  <c r="BE99" i="5"/>
  <c r="AY62" i="6"/>
  <c r="AY63" i="6" s="1"/>
  <c r="BA106" i="6"/>
  <c r="BA107" i="6" s="1"/>
  <c r="BA82" i="6"/>
  <c r="BB134" i="6" l="1"/>
  <c r="BB126" i="6"/>
  <c r="BC120" i="6"/>
  <c r="BC126" i="6" s="1"/>
  <c r="BC119" i="6"/>
  <c r="BC127" i="6" s="1"/>
  <c r="BC129" i="6" s="1"/>
  <c r="BC130" i="6" s="1"/>
  <c r="BC134" i="6" s="1"/>
  <c r="BE132" i="6"/>
  <c r="BE133" i="6" s="1"/>
  <c r="BF131" i="6"/>
  <c r="BG113" i="6"/>
  <c r="BF115" i="6"/>
  <c r="BD137" i="6"/>
  <c r="BE136" i="6"/>
  <c r="BC122" i="6"/>
  <c r="BC123" i="6" s="1"/>
  <c r="BC124" i="6" s="1"/>
  <c r="BD121" i="6"/>
  <c r="BD118" i="6"/>
  <c r="BE116" i="6"/>
  <c r="BB144" i="6"/>
  <c r="BD31" i="6"/>
  <c r="BD37" i="6" s="1"/>
  <c r="BD30" i="6"/>
  <c r="BD38" i="6" s="1"/>
  <c r="BD40" i="6" s="1"/>
  <c r="BD41" i="6" s="1"/>
  <c r="BB19" i="6"/>
  <c r="BB22" i="6" s="1"/>
  <c r="BB23" i="6" s="1"/>
  <c r="BB101" i="6"/>
  <c r="BB76" i="6"/>
  <c r="BB77" i="6" s="1"/>
  <c r="BC9" i="6"/>
  <c r="BD8" i="6"/>
  <c r="BB33" i="6"/>
  <c r="BB34" i="6" s="1"/>
  <c r="BB35" i="6" s="1"/>
  <c r="BF27" i="6"/>
  <c r="BE29" i="6"/>
  <c r="BA64" i="5"/>
  <c r="AX14" i="1"/>
  <c r="AY13" i="1"/>
  <c r="BC54" i="5"/>
  <c r="BB59" i="5"/>
  <c r="BB56" i="5"/>
  <c r="BE33" i="5"/>
  <c r="BD34" i="5"/>
  <c r="BD38" i="5" s="1"/>
  <c r="BB45" i="5"/>
  <c r="BC36" i="5"/>
  <c r="BC39" i="5" s="1"/>
  <c r="BD35" i="5"/>
  <c r="BB58" i="5"/>
  <c r="BB60" i="5" s="1"/>
  <c r="BB46" i="5" s="1"/>
  <c r="BB48" i="5" s="1"/>
  <c r="BB49" i="5" s="1"/>
  <c r="BB53" i="5" s="1"/>
  <c r="BB90" i="5" s="1"/>
  <c r="BC57" i="5"/>
  <c r="BB61" i="5"/>
  <c r="BB62" i="5" s="1"/>
  <c r="BB63" i="5" s="1"/>
  <c r="BF50" i="5"/>
  <c r="BE51" i="5"/>
  <c r="BE52" i="5" s="1"/>
  <c r="AZ153" i="5"/>
  <c r="BI40" i="5"/>
  <c r="BA152" i="5"/>
  <c r="BA153" i="5" s="1"/>
  <c r="BB29" i="5"/>
  <c r="BB31" i="5" s="1"/>
  <c r="BC146" i="5"/>
  <c r="BB147" i="5"/>
  <c r="BB149" i="5" s="1"/>
  <c r="BB135" i="5" s="1"/>
  <c r="BB137" i="5" s="1"/>
  <c r="BB138" i="5" s="1"/>
  <c r="BB142" i="5" s="1"/>
  <c r="BB91" i="5" s="1"/>
  <c r="BB150" i="5"/>
  <c r="BB151" i="5" s="1"/>
  <c r="AO106" i="1"/>
  <c r="BC130" i="5"/>
  <c r="BD123" i="5"/>
  <c r="BD127" i="5" s="1"/>
  <c r="BE122" i="5"/>
  <c r="AO32" i="3"/>
  <c r="BD124" i="5"/>
  <c r="BC125" i="5"/>
  <c r="BC128" i="5" s="1"/>
  <c r="BE129" i="5"/>
  <c r="BB145" i="5"/>
  <c r="BC143" i="5"/>
  <c r="BB148" i="5"/>
  <c r="BB131" i="5"/>
  <c r="BB132" i="5" s="1"/>
  <c r="BB134" i="5" s="1"/>
  <c r="BC140" i="5"/>
  <c r="BC141" i="5" s="1"/>
  <c r="BD139" i="5"/>
  <c r="AR17" i="1"/>
  <c r="AS47" i="3"/>
  <c r="AO57" i="3"/>
  <c r="AO73" i="3" s="1"/>
  <c r="AO79" i="3" s="1"/>
  <c r="AQ18" i="1"/>
  <c r="AO29" i="3"/>
  <c r="AO25" i="3"/>
  <c r="AM2" i="4" s="1"/>
  <c r="BB32" i="5"/>
  <c r="AM37" i="3"/>
  <c r="AM27" i="3"/>
  <c r="AN24" i="3" s="1"/>
  <c r="AP18" i="1"/>
  <c r="AP35" i="1" s="1"/>
  <c r="AP37" i="1" s="1"/>
  <c r="AP46" i="3"/>
  <c r="AP48" i="3" s="1"/>
  <c r="AN71" i="3"/>
  <c r="AN77" i="3" s="1"/>
  <c r="AN69" i="3"/>
  <c r="AN75" i="3" s="1"/>
  <c r="AN73" i="3"/>
  <c r="AN79" i="3" s="1"/>
  <c r="AN72" i="3"/>
  <c r="AN78" i="3" s="1"/>
  <c r="AN70" i="3"/>
  <c r="AN76" i="3" s="1"/>
  <c r="AX115" i="5"/>
  <c r="AX116" i="5" s="1"/>
  <c r="AX117" i="5" s="1"/>
  <c r="AX104" i="5"/>
  <c r="AX154" i="5" s="1"/>
  <c r="AJ23" i="4"/>
  <c r="AJ24" i="4" s="1"/>
  <c r="AK9" i="4"/>
  <c r="AK40" i="3"/>
  <c r="AL36" i="3" s="1"/>
  <c r="AL39" i="3" s="1"/>
  <c r="BE19" i="5"/>
  <c r="BD22" i="5"/>
  <c r="AZ73" i="5"/>
  <c r="AZ74" i="5" s="1"/>
  <c r="AZ75" i="5" s="1"/>
  <c r="AZ76" i="5" s="1"/>
  <c r="AZ77" i="5" s="1"/>
  <c r="AY74" i="5"/>
  <c r="AY75" i="5" s="1"/>
  <c r="AY76" i="5" s="1"/>
  <c r="AY77" i="5" s="1"/>
  <c r="BF99" i="5"/>
  <c r="BA61" i="6"/>
  <c r="BA62" i="6"/>
  <c r="BA63" i="6" s="1"/>
  <c r="BF30" i="5"/>
  <c r="BE15" i="5"/>
  <c r="BD16" i="5"/>
  <c r="BD41" i="5" s="1"/>
  <c r="BD86" i="6"/>
  <c r="BC87" i="6"/>
  <c r="BC88" i="6" s="1"/>
  <c r="BC92" i="6"/>
  <c r="BC93" i="6" s="1"/>
  <c r="BC94" i="6" s="1"/>
  <c r="BC143" i="6" s="1"/>
  <c r="BD32" i="6"/>
  <c r="BD98" i="6"/>
  <c r="BD100" i="6" s="1"/>
  <c r="BE96" i="6"/>
  <c r="BB106" i="6"/>
  <c r="BB107" i="6" s="1"/>
  <c r="BB82" i="6"/>
  <c r="AZ2" i="3"/>
  <c r="BA5" i="3"/>
  <c r="AX1" i="4"/>
  <c r="AW11" i="4"/>
  <c r="CW112" i="5"/>
  <c r="CY87" i="5"/>
  <c r="BA70" i="5"/>
  <c r="BC103" i="6"/>
  <c r="BD78" i="6"/>
  <c r="BE66" i="5"/>
  <c r="BD68" i="5"/>
  <c r="BD67" i="5"/>
  <c r="BC47" i="6"/>
  <c r="BB48" i="6"/>
  <c r="BB54" i="6" s="1"/>
  <c r="BB55" i="6" s="1"/>
  <c r="BD110" i="6"/>
  <c r="BD111" i="6" s="1"/>
  <c r="BD112" i="6" s="1"/>
  <c r="BE109" i="6"/>
  <c r="BF93" i="5"/>
  <c r="BE94" i="5"/>
  <c r="BA113" i="5"/>
  <c r="BA114" i="5" s="1"/>
  <c r="BB88" i="5"/>
  <c r="BB89" i="5" s="1"/>
  <c r="BC30" i="3"/>
  <c r="BC107" i="1"/>
  <c r="BC26" i="3"/>
  <c r="BB82" i="5"/>
  <c r="BB84" i="5" s="1"/>
  <c r="BC80" i="5"/>
  <c r="AZ104" i="6"/>
  <c r="AZ105" i="6" s="1"/>
  <c r="AZ108" i="6" s="1"/>
  <c r="BA79" i="6"/>
  <c r="AZ80" i="6"/>
  <c r="AZ95" i="6" s="1"/>
  <c r="AR47" i="3"/>
  <c r="AR23" i="1"/>
  <c r="AR36" i="1" s="1"/>
  <c r="BG84" i="6"/>
  <c r="BF85" i="6"/>
  <c r="BB101" i="5"/>
  <c r="BB102" i="5" s="1"/>
  <c r="BB103" i="5" s="1"/>
  <c r="BC95" i="5"/>
  <c r="BB96" i="5"/>
  <c r="BB97" i="5" s="1"/>
  <c r="CX87" i="5"/>
  <c r="CV112" i="5"/>
  <c r="BE17" i="3"/>
  <c r="BE16" i="3"/>
  <c r="BF4" i="3"/>
  <c r="BJ11" i="7"/>
  <c r="BD31" i="1" s="1"/>
  <c r="BB6" i="4"/>
  <c r="BD19" i="3"/>
  <c r="BD21" i="3" s="1"/>
  <c r="BC73" i="6"/>
  <c r="BC75" i="6" s="1"/>
  <c r="BD71" i="6"/>
  <c r="BE42" i="6"/>
  <c r="BD43" i="6"/>
  <c r="BD44" i="6" s="1"/>
  <c r="BD45" i="6" s="1"/>
  <c r="BC69" i="5"/>
  <c r="BC81" i="6"/>
  <c r="BF105" i="5"/>
  <c r="BE107" i="5"/>
  <c r="BE109" i="5" s="1"/>
  <c r="AZ62" i="6"/>
  <c r="AZ63" i="6" s="1"/>
  <c r="AZ64" i="6" s="1"/>
  <c r="BC110" i="5"/>
  <c r="BC111" i="5" s="1"/>
  <c r="BC26" i="5"/>
  <c r="BC85" i="5"/>
  <c r="BC86" i="5" s="1"/>
  <c r="BC18" i="5"/>
  <c r="BC23" i="5" s="1"/>
  <c r="BC24" i="5" s="1"/>
  <c r="AR10" i="4"/>
  <c r="AQ12" i="4"/>
  <c r="AQ22" i="4"/>
  <c r="AQ25" i="4" s="1"/>
  <c r="AQ26" i="4" s="1"/>
  <c r="BC118" i="5"/>
  <c r="BB119" i="5"/>
  <c r="BB120" i="5" s="1"/>
  <c r="BB121" i="5" s="1"/>
  <c r="BC144" i="6" l="1"/>
  <c r="BE137" i="6"/>
  <c r="BF136" i="6"/>
  <c r="BG115" i="6"/>
  <c r="BH113" i="6"/>
  <c r="BE118" i="6"/>
  <c r="BF116" i="6"/>
  <c r="BF132" i="6"/>
  <c r="BF133" i="6" s="1"/>
  <c r="BG131" i="6"/>
  <c r="BD120" i="6"/>
  <c r="BD119" i="6"/>
  <c r="BD127" i="6" s="1"/>
  <c r="BD129" i="6" s="1"/>
  <c r="BD130" i="6" s="1"/>
  <c r="BD122" i="6"/>
  <c r="BD123" i="6" s="1"/>
  <c r="BD124" i="6" s="1"/>
  <c r="BE121" i="6"/>
  <c r="BC76" i="6"/>
  <c r="BC77" i="6" s="1"/>
  <c r="BC101" i="6"/>
  <c r="BC19" i="6"/>
  <c r="BC22" i="6" s="1"/>
  <c r="BC23" i="6" s="1"/>
  <c r="BD9" i="6"/>
  <c r="BE8" i="6"/>
  <c r="BC33" i="6"/>
  <c r="BC34" i="6" s="1"/>
  <c r="BC35" i="6" s="1"/>
  <c r="BE31" i="6"/>
  <c r="BE37" i="6" s="1"/>
  <c r="BE30" i="6"/>
  <c r="BE38" i="6" s="1"/>
  <c r="BE40" i="6" s="1"/>
  <c r="BE41" i="6" s="1"/>
  <c r="BF29" i="6"/>
  <c r="BG27" i="6"/>
  <c r="AY14" i="1"/>
  <c r="AZ13" i="1"/>
  <c r="BF33" i="5"/>
  <c r="BE34" i="5"/>
  <c r="BE38" i="5" s="1"/>
  <c r="BC42" i="5"/>
  <c r="BC43" i="5" s="1"/>
  <c r="BC45" i="5" s="1"/>
  <c r="BD54" i="5"/>
  <c r="BC59" i="5"/>
  <c r="BC56" i="5"/>
  <c r="BC58" i="5"/>
  <c r="BC60" i="5" s="1"/>
  <c r="BC46" i="5" s="1"/>
  <c r="BC48" i="5" s="1"/>
  <c r="BC49" i="5" s="1"/>
  <c r="BC53" i="5" s="1"/>
  <c r="BC90" i="5" s="1"/>
  <c r="BD57" i="5"/>
  <c r="BC61" i="5"/>
  <c r="BC62" i="5" s="1"/>
  <c r="BJ40" i="5"/>
  <c r="BB64" i="5"/>
  <c r="BF51" i="5"/>
  <c r="BF52" i="5" s="1"/>
  <c r="BG50" i="5"/>
  <c r="BD36" i="5"/>
  <c r="BD39" i="5" s="1"/>
  <c r="BE35" i="5"/>
  <c r="BB152" i="5"/>
  <c r="BB153" i="5" s="1"/>
  <c r="AQ46" i="3"/>
  <c r="AQ48" i="3" s="1"/>
  <c r="AQ59" i="3" s="1"/>
  <c r="BC29" i="5"/>
  <c r="BC31" i="5" s="1"/>
  <c r="BC32" i="5" s="1"/>
  <c r="BC150" i="5"/>
  <c r="BC151" i="5" s="1"/>
  <c r="BD146" i="5"/>
  <c r="BC147" i="5"/>
  <c r="BC149" i="5" s="1"/>
  <c r="BC135" i="5" s="1"/>
  <c r="BC137" i="5" s="1"/>
  <c r="BC138" i="5" s="1"/>
  <c r="BC142" i="5" s="1"/>
  <c r="BC91" i="5" s="1"/>
  <c r="BD130" i="5"/>
  <c r="AR18" i="1"/>
  <c r="AR35" i="1" s="1"/>
  <c r="AR37" i="1" s="1"/>
  <c r="AO72" i="3"/>
  <c r="AO78" i="3" s="1"/>
  <c r="AO71" i="3"/>
  <c r="AO77" i="3" s="1"/>
  <c r="BC131" i="5"/>
  <c r="BC132" i="5" s="1"/>
  <c r="BC134" i="5" s="1"/>
  <c r="BF122" i="5"/>
  <c r="BE123" i="5"/>
  <c r="BE127" i="5" s="1"/>
  <c r="AO69" i="3"/>
  <c r="AO75" i="3" s="1"/>
  <c r="AS23" i="1"/>
  <c r="AS36" i="1" s="1"/>
  <c r="AO70" i="3"/>
  <c r="AO76" i="3" s="1"/>
  <c r="BC145" i="5"/>
  <c r="BD143" i="5"/>
  <c r="BC148" i="5"/>
  <c r="BF129" i="5"/>
  <c r="BE139" i="5"/>
  <c r="BD140" i="5"/>
  <c r="BD141" i="5" s="1"/>
  <c r="BE124" i="5"/>
  <c r="BD125" i="5"/>
  <c r="BD128" i="5" s="1"/>
  <c r="AK23" i="4"/>
  <c r="AK24" i="4" s="1"/>
  <c r="AL9" i="4"/>
  <c r="AN37" i="3"/>
  <c r="AN27" i="3"/>
  <c r="AO24" i="3" s="1"/>
  <c r="AL40" i="3"/>
  <c r="AM36" i="3" s="1"/>
  <c r="AM39" i="3" s="1"/>
  <c r="AM40" i="3" s="1"/>
  <c r="AN36" i="3" s="1"/>
  <c r="AY115" i="5"/>
  <c r="AY116" i="5" s="1"/>
  <c r="AY117" i="5" s="1"/>
  <c r="AY104" i="5"/>
  <c r="BE22" i="5"/>
  <c r="BF19" i="5"/>
  <c r="AQ50" i="3"/>
  <c r="AQ57" i="3" s="1"/>
  <c r="AT17" i="1"/>
  <c r="AS17" i="1"/>
  <c r="AP58" i="3"/>
  <c r="AP59" i="3"/>
  <c r="AP50" i="3"/>
  <c r="AQ35" i="1"/>
  <c r="AQ37" i="1" s="1"/>
  <c r="BA64" i="6"/>
  <c r="AZ65" i="6"/>
  <c r="AZ66" i="6" s="1"/>
  <c r="AZ67" i="6" s="1"/>
  <c r="AT22" i="1" s="1"/>
  <c r="BA104" i="6"/>
  <c r="BA105" i="6" s="1"/>
  <c r="BA108" i="6" s="1"/>
  <c r="BB79" i="6"/>
  <c r="BA80" i="6"/>
  <c r="BA95" i="6" s="1"/>
  <c r="BF109" i="6"/>
  <c r="BE110" i="6"/>
  <c r="BE111" i="6" s="1"/>
  <c r="BE112" i="6" s="1"/>
  <c r="BG99" i="5"/>
  <c r="AR12" i="4"/>
  <c r="AS10" i="4"/>
  <c r="AR22" i="4"/>
  <c r="AR25" i="4" s="1"/>
  <c r="AR26" i="4" s="1"/>
  <c r="BC101" i="5"/>
  <c r="BC102" i="5" s="1"/>
  <c r="BC103" i="5" s="1"/>
  <c r="BC96" i="5"/>
  <c r="BC97" i="5" s="1"/>
  <c r="BD95" i="5"/>
  <c r="BD103" i="6"/>
  <c r="BE78" i="6"/>
  <c r="BE32" i="6"/>
  <c r="BD33" i="6"/>
  <c r="BD34" i="6" s="1"/>
  <c r="BD35" i="6" s="1"/>
  <c r="AY1" i="4"/>
  <c r="BB5" i="3"/>
  <c r="BA2" i="3"/>
  <c r="BD110" i="5"/>
  <c r="BD111" i="5" s="1"/>
  <c r="BD85" i="5"/>
  <c r="BD86" i="5" s="1"/>
  <c r="BD26" i="5"/>
  <c r="BD18" i="5"/>
  <c r="BD23" i="5" s="1"/>
  <c r="BD24" i="5" s="1"/>
  <c r="BF15" i="5"/>
  <c r="BE16" i="5"/>
  <c r="BE41" i="5" s="1"/>
  <c r="BB70" i="5"/>
  <c r="BE43" i="6"/>
  <c r="BE44" i="6" s="1"/>
  <c r="BF42" i="6"/>
  <c r="BD69" i="5"/>
  <c r="AX11" i="4"/>
  <c r="BD87" i="6"/>
  <c r="BD88" i="6" s="1"/>
  <c r="BE86" i="6"/>
  <c r="BD92" i="6"/>
  <c r="BD93" i="6" s="1"/>
  <c r="BD94" i="6" s="1"/>
  <c r="BD143" i="6" s="1"/>
  <c r="BC106" i="6"/>
  <c r="BC107" i="6" s="1"/>
  <c r="BC82" i="6"/>
  <c r="BG105" i="5"/>
  <c r="BF107" i="5"/>
  <c r="BF109" i="5" s="1"/>
  <c r="BC48" i="6"/>
  <c r="BC54" i="6" s="1"/>
  <c r="BC55" i="6" s="1"/>
  <c r="BD47" i="6"/>
  <c r="BC119" i="5"/>
  <c r="BC120" i="5" s="1"/>
  <c r="BC121" i="5" s="1"/>
  <c r="BD118" i="5"/>
  <c r="BB113" i="5"/>
  <c r="BB114" i="5" s="1"/>
  <c r="BC88" i="5"/>
  <c r="BC89" i="5" s="1"/>
  <c r="BA71" i="5"/>
  <c r="BA72" i="5" s="1"/>
  <c r="BA73" i="5" s="1"/>
  <c r="BG30" i="5"/>
  <c r="BD73" i="6"/>
  <c r="BD75" i="6" s="1"/>
  <c r="BE71" i="6"/>
  <c r="BF17" i="3"/>
  <c r="BF16" i="3"/>
  <c r="BG4" i="3"/>
  <c r="BH84" i="6"/>
  <c r="BG85" i="6"/>
  <c r="BE67" i="5"/>
  <c r="BF66" i="5"/>
  <c r="BE68" i="5"/>
  <c r="BB61" i="6"/>
  <c r="BC82" i="5"/>
  <c r="BC84" i="5" s="1"/>
  <c r="BD80" i="5"/>
  <c r="CY112" i="5"/>
  <c r="DA87" i="5"/>
  <c r="BD30" i="3"/>
  <c r="BD26" i="3"/>
  <c r="BD107" i="1"/>
  <c r="BD81" i="6"/>
  <c r="CX112" i="5"/>
  <c r="CZ87" i="5"/>
  <c r="BK11" i="7"/>
  <c r="BE31" i="1" s="1"/>
  <c r="BC6" i="4"/>
  <c r="BE19" i="3"/>
  <c r="BE21" i="3" s="1"/>
  <c r="BG93" i="5"/>
  <c r="BF94" i="5"/>
  <c r="BE98" i="6"/>
  <c r="BE100" i="6" s="1"/>
  <c r="BF96" i="6"/>
  <c r="BD134" i="6" l="1"/>
  <c r="BD126" i="6"/>
  <c r="BE119" i="6"/>
  <c r="BE127" i="6" s="1"/>
  <c r="BE129" i="6" s="1"/>
  <c r="BE130" i="6" s="1"/>
  <c r="BE120" i="6"/>
  <c r="BG132" i="6"/>
  <c r="BG133" i="6" s="1"/>
  <c r="BH131" i="6"/>
  <c r="BG116" i="6"/>
  <c r="BF118" i="6"/>
  <c r="BF121" i="6"/>
  <c r="BE122" i="6"/>
  <c r="BE123" i="6" s="1"/>
  <c r="BE124" i="6" s="1"/>
  <c r="BH115" i="6"/>
  <c r="BI113" i="6"/>
  <c r="BF137" i="6"/>
  <c r="BG136" i="6"/>
  <c r="BE9" i="6"/>
  <c r="BE33" i="6" s="1"/>
  <c r="BE34" i="6" s="1"/>
  <c r="BE35" i="6" s="1"/>
  <c r="BF8" i="6"/>
  <c r="BD101" i="6"/>
  <c r="BD76" i="6"/>
  <c r="BD77" i="6" s="1"/>
  <c r="BD19" i="6"/>
  <c r="BD22" i="6" s="1"/>
  <c r="BD23" i="6" s="1"/>
  <c r="BE45" i="6"/>
  <c r="BG29" i="6"/>
  <c r="BH27" i="6"/>
  <c r="BF31" i="6"/>
  <c r="BF37" i="6" s="1"/>
  <c r="BF30" i="6"/>
  <c r="BF38" i="6" s="1"/>
  <c r="BF40" i="6" s="1"/>
  <c r="BF41" i="6" s="1"/>
  <c r="BA13" i="1"/>
  <c r="AZ14" i="1"/>
  <c r="AY154" i="5"/>
  <c r="BC63" i="5"/>
  <c r="BC64" i="5" s="1"/>
  <c r="BE54" i="5"/>
  <c r="BD56" i="5"/>
  <c r="BD59" i="5"/>
  <c r="BF34" i="5"/>
  <c r="BF38" i="5" s="1"/>
  <c r="BG33" i="5"/>
  <c r="BD58" i="5"/>
  <c r="BD60" i="5" s="1"/>
  <c r="BD46" i="5" s="1"/>
  <c r="BD48" i="5" s="1"/>
  <c r="BD49" i="5" s="1"/>
  <c r="BD53" i="5" s="1"/>
  <c r="BD90" i="5" s="1"/>
  <c r="BD61" i="5"/>
  <c r="BD62" i="5" s="1"/>
  <c r="BD63" i="5" s="1"/>
  <c r="BE57" i="5"/>
  <c r="AQ58" i="3"/>
  <c r="BK40" i="5"/>
  <c r="BD42" i="5"/>
  <c r="BD43" i="5" s="1"/>
  <c r="BD45" i="5" s="1"/>
  <c r="BG51" i="5"/>
  <c r="BG52" i="5" s="1"/>
  <c r="BH50" i="5"/>
  <c r="BE36" i="5"/>
  <c r="BE39" i="5" s="1"/>
  <c r="BF35" i="5"/>
  <c r="AQ25" i="3"/>
  <c r="AO2" i="4" s="1"/>
  <c r="BC152" i="5"/>
  <c r="BC153" i="5" s="1"/>
  <c r="AQ31" i="3"/>
  <c r="BE69" i="5"/>
  <c r="AR46" i="3"/>
  <c r="AR48" i="3" s="1"/>
  <c r="AR59" i="3" s="1"/>
  <c r="BD29" i="5"/>
  <c r="BD31" i="5" s="1"/>
  <c r="BD32" i="5" s="1"/>
  <c r="BD147" i="5"/>
  <c r="BD149" i="5" s="1"/>
  <c r="BD135" i="5" s="1"/>
  <c r="BD137" i="5" s="1"/>
  <c r="BD138" i="5" s="1"/>
  <c r="BD142" i="5" s="1"/>
  <c r="BD91" i="5" s="1"/>
  <c r="BD150" i="5"/>
  <c r="BD151" i="5" s="1"/>
  <c r="BE146" i="5"/>
  <c r="BE130" i="5"/>
  <c r="AQ29" i="3"/>
  <c r="BF123" i="5"/>
  <c r="BF127" i="5" s="1"/>
  <c r="BG122" i="5"/>
  <c r="AQ106" i="1"/>
  <c r="BF124" i="5"/>
  <c r="BE125" i="5"/>
  <c r="BE128" i="5" s="1"/>
  <c r="BD131" i="5"/>
  <c r="BD132" i="5" s="1"/>
  <c r="BD134" i="5" s="1"/>
  <c r="BF139" i="5"/>
  <c r="BE140" i="5"/>
  <c r="BE141" i="5" s="1"/>
  <c r="BG129" i="5"/>
  <c r="BD148" i="5"/>
  <c r="BD145" i="5"/>
  <c r="BE143" i="5"/>
  <c r="AN39" i="3"/>
  <c r="AN40" i="3" s="1"/>
  <c r="AO36" i="3" s="1"/>
  <c r="AU23" i="1"/>
  <c r="BG19" i="5"/>
  <c r="BF22" i="5"/>
  <c r="AO27" i="3"/>
  <c r="AP24" i="3" s="1"/>
  <c r="AO37" i="3"/>
  <c r="AM9" i="4"/>
  <c r="AL23" i="4"/>
  <c r="AL24" i="4" s="1"/>
  <c r="AP31" i="3"/>
  <c r="AP32" i="3" s="1"/>
  <c r="AP29" i="3"/>
  <c r="AP57" i="3"/>
  <c r="AP25" i="3"/>
  <c r="AN2" i="4" s="1"/>
  <c r="AP106" i="1"/>
  <c r="AZ104" i="5"/>
  <c r="AZ115" i="5"/>
  <c r="AZ116" i="5" s="1"/>
  <c r="AZ117" i="5" s="1"/>
  <c r="BA74" i="5"/>
  <c r="BA75" i="5" s="1"/>
  <c r="BA76" i="5" s="1"/>
  <c r="BA77" i="5" s="1"/>
  <c r="AY11" i="4"/>
  <c r="BL11" i="7"/>
  <c r="BF31" i="1" s="1"/>
  <c r="BF19" i="3"/>
  <c r="BF21" i="3" s="1"/>
  <c r="BD6" i="4"/>
  <c r="BD119" i="5"/>
  <c r="BD120" i="5" s="1"/>
  <c r="BD121" i="5" s="1"/>
  <c r="BE118" i="5"/>
  <c r="BD101" i="5"/>
  <c r="BD102" i="5" s="1"/>
  <c r="BD103" i="5" s="1"/>
  <c r="BE95" i="5"/>
  <c r="BD96" i="5"/>
  <c r="BD97" i="5" s="1"/>
  <c r="AS12" i="4"/>
  <c r="AS22" i="4"/>
  <c r="AS25" i="4" s="1"/>
  <c r="AS26" i="4" s="1"/>
  <c r="AT10" i="4"/>
  <c r="BB104" i="6"/>
  <c r="BB105" i="6" s="1"/>
  <c r="BB108" i="6" s="1"/>
  <c r="BC79" i="6"/>
  <c r="BB80" i="6"/>
  <c r="BB95" i="6" s="1"/>
  <c r="BH4" i="3"/>
  <c r="BG17" i="3"/>
  <c r="BG16" i="3"/>
  <c r="BE110" i="5"/>
  <c r="BE111" i="5" s="1"/>
  <c r="BE85" i="5"/>
  <c r="BE86" i="5" s="1"/>
  <c r="BE26" i="5"/>
  <c r="BE18" i="5"/>
  <c r="BE23" i="5" s="1"/>
  <c r="BE24" i="5" s="1"/>
  <c r="BG94" i="5"/>
  <c r="BH93" i="5"/>
  <c r="BH30" i="5"/>
  <c r="BF16" i="5"/>
  <c r="BF41" i="5" s="1"/>
  <c r="BG15" i="5"/>
  <c r="AZ1" i="4"/>
  <c r="BB2" i="3"/>
  <c r="BC5" i="3"/>
  <c r="BD82" i="5"/>
  <c r="BD84" i="5" s="1"/>
  <c r="BE80" i="5"/>
  <c r="BE26" i="3"/>
  <c r="BE30" i="3"/>
  <c r="BE107" i="1"/>
  <c r="BH85" i="6"/>
  <c r="BI84" i="6"/>
  <c r="BC113" i="5"/>
  <c r="BC114" i="5" s="1"/>
  <c r="BD88" i="5"/>
  <c r="AQ70" i="3"/>
  <c r="AQ76" i="3" s="1"/>
  <c r="AQ72" i="3"/>
  <c r="AQ78" i="3" s="1"/>
  <c r="AQ73" i="3"/>
  <c r="AQ79" i="3" s="1"/>
  <c r="AQ71" i="3"/>
  <c r="AQ77" i="3" s="1"/>
  <c r="AQ69" i="3"/>
  <c r="AQ75" i="3" s="1"/>
  <c r="BG42" i="6"/>
  <c r="BF43" i="6"/>
  <c r="BF44" i="6" s="1"/>
  <c r="BF45" i="6" s="1"/>
  <c r="BF98" i="6"/>
  <c r="BF100" i="6" s="1"/>
  <c r="BG96" i="6"/>
  <c r="DA112" i="5"/>
  <c r="DC87" i="5"/>
  <c r="CZ112" i="5"/>
  <c r="DB87" i="5"/>
  <c r="BF71" i="6"/>
  <c r="BE73" i="6"/>
  <c r="BE75" i="6" s="1"/>
  <c r="AT23" i="1"/>
  <c r="AT36" i="1" s="1"/>
  <c r="AT47" i="3"/>
  <c r="BE87" i="6"/>
  <c r="BE88" i="6" s="1"/>
  <c r="BF86" i="6"/>
  <c r="BE92" i="6"/>
  <c r="BE93" i="6" s="1"/>
  <c r="BE94" i="6" s="1"/>
  <c r="BE143" i="6" s="1"/>
  <c r="BE81" i="6"/>
  <c r="BF32" i="6"/>
  <c r="BC61" i="6"/>
  <c r="BC62" i="6"/>
  <c r="BC63" i="6" s="1"/>
  <c r="BE47" i="6"/>
  <c r="BD48" i="6"/>
  <c r="BD54" i="6" s="1"/>
  <c r="BD55" i="6" s="1"/>
  <c r="BC70" i="5"/>
  <c r="BC71" i="5" s="1"/>
  <c r="BC72" i="5" s="1"/>
  <c r="BF68" i="5"/>
  <c r="BG66" i="5"/>
  <c r="BF67" i="5"/>
  <c r="BG107" i="5"/>
  <c r="BG109" i="5" s="1"/>
  <c r="BH105" i="5"/>
  <c r="BH99" i="5"/>
  <c r="BD106" i="6"/>
  <c r="BD107" i="6" s="1"/>
  <c r="BD82" i="6"/>
  <c r="BB62" i="6"/>
  <c r="BB63" i="6" s="1"/>
  <c r="BB64" i="6" s="1"/>
  <c r="BB71" i="5"/>
  <c r="BB72" i="5" s="1"/>
  <c r="BB73" i="5" s="1"/>
  <c r="BE103" i="6"/>
  <c r="BF78" i="6"/>
  <c r="BF110" i="6"/>
  <c r="BF111" i="6" s="1"/>
  <c r="BF112" i="6" s="1"/>
  <c r="BG109" i="6"/>
  <c r="BA65" i="6"/>
  <c r="BA66" i="6" s="1"/>
  <c r="BA67" i="6" s="1"/>
  <c r="AU22" i="1" s="1"/>
  <c r="BE126" i="6" l="1"/>
  <c r="BE134" i="6"/>
  <c r="BE144" i="6" s="1"/>
  <c r="BD144" i="6"/>
  <c r="BF119" i="6"/>
  <c r="BF127" i="6" s="1"/>
  <c r="BF129" i="6" s="1"/>
  <c r="BF130" i="6" s="1"/>
  <c r="BF120" i="6"/>
  <c r="BH136" i="6"/>
  <c r="BG137" i="6"/>
  <c r="BI131" i="6"/>
  <c r="BH132" i="6"/>
  <c r="BH133" i="6" s="1"/>
  <c r="BI115" i="6"/>
  <c r="BJ113" i="6"/>
  <c r="BG121" i="6"/>
  <c r="BF122" i="6"/>
  <c r="BF123" i="6" s="1"/>
  <c r="BF124" i="6" s="1"/>
  <c r="BH116" i="6"/>
  <c r="BG118" i="6"/>
  <c r="BI27" i="6"/>
  <c r="BH29" i="6"/>
  <c r="BG30" i="6"/>
  <c r="BG38" i="6" s="1"/>
  <c r="BG40" i="6" s="1"/>
  <c r="BG41" i="6" s="1"/>
  <c r="BG31" i="6"/>
  <c r="BG37" i="6" s="1"/>
  <c r="BG8" i="6"/>
  <c r="BF9" i="6"/>
  <c r="BE19" i="6"/>
  <c r="BE22" i="6" s="1"/>
  <c r="BE23" i="6" s="1"/>
  <c r="BE101" i="6"/>
  <c r="BE76" i="6"/>
  <c r="BE77" i="6" s="1"/>
  <c r="AZ154" i="5"/>
  <c r="BB13" i="1"/>
  <c r="BA14" i="1"/>
  <c r="BD64" i="5"/>
  <c r="BG34" i="5"/>
  <c r="BG38" i="5" s="1"/>
  <c r="BH33" i="5"/>
  <c r="BE56" i="5"/>
  <c r="BE59" i="5"/>
  <c r="BF54" i="5"/>
  <c r="BH51" i="5"/>
  <c r="BH52" i="5" s="1"/>
  <c r="BI50" i="5"/>
  <c r="BF36" i="5"/>
  <c r="BF39" i="5" s="1"/>
  <c r="BG35" i="5"/>
  <c r="BL40" i="5"/>
  <c r="BE61" i="5"/>
  <c r="BE62" i="5" s="1"/>
  <c r="BE63" i="5" s="1"/>
  <c r="BE58" i="5"/>
  <c r="BE60" i="5" s="1"/>
  <c r="BE46" i="5" s="1"/>
  <c r="BE48" i="5" s="1"/>
  <c r="BE49" i="5" s="1"/>
  <c r="BE53" i="5" s="1"/>
  <c r="BE90" i="5" s="1"/>
  <c r="BF57" i="5"/>
  <c r="BE42" i="5"/>
  <c r="BE43" i="5" s="1"/>
  <c r="BE45" i="5" s="1"/>
  <c r="AQ32" i="3"/>
  <c r="AR50" i="3"/>
  <c r="AR29" i="3" s="1"/>
  <c r="AR58" i="3"/>
  <c r="BD152" i="5"/>
  <c r="BD153" i="5" s="1"/>
  <c r="AU17" i="1"/>
  <c r="BE29" i="5"/>
  <c r="BE31" i="5" s="1"/>
  <c r="BE32" i="5" s="1"/>
  <c r="BE150" i="5"/>
  <c r="BE151" i="5" s="1"/>
  <c r="BF146" i="5"/>
  <c r="BE147" i="5"/>
  <c r="BE149" i="5" s="1"/>
  <c r="BE135" i="5" s="1"/>
  <c r="BE137" i="5" s="1"/>
  <c r="BE138" i="5" s="1"/>
  <c r="BE142" i="5" s="1"/>
  <c r="BE91" i="5" s="1"/>
  <c r="BF130" i="5"/>
  <c r="AU47" i="3"/>
  <c r="AO39" i="3"/>
  <c r="AO40" i="3" s="1"/>
  <c r="AP36" i="3" s="1"/>
  <c r="BG123" i="5"/>
  <c r="BG127" i="5" s="1"/>
  <c r="BH122" i="5"/>
  <c r="BE131" i="5"/>
  <c r="BE132" i="5" s="1"/>
  <c r="BE134" i="5" s="1"/>
  <c r="BG139" i="5"/>
  <c r="BF140" i="5"/>
  <c r="BF141" i="5" s="1"/>
  <c r="BG124" i="5"/>
  <c r="BF125" i="5"/>
  <c r="BF128" i="5" s="1"/>
  <c r="BE148" i="5"/>
  <c r="BE145" i="5"/>
  <c r="BF143" i="5"/>
  <c r="BH129" i="5"/>
  <c r="AV47" i="3"/>
  <c r="AS46" i="3"/>
  <c r="AS48" i="3" s="1"/>
  <c r="AS18" i="1"/>
  <c r="BG22" i="5"/>
  <c r="BH19" i="5"/>
  <c r="AN9" i="4"/>
  <c r="AM23" i="4"/>
  <c r="AM24" i="4" s="1"/>
  <c r="AP70" i="3"/>
  <c r="AP76" i="3" s="1"/>
  <c r="AP72" i="3"/>
  <c r="AP78" i="3" s="1"/>
  <c r="AP69" i="3"/>
  <c r="AP75" i="3" s="1"/>
  <c r="AP73" i="3"/>
  <c r="AP79" i="3" s="1"/>
  <c r="AP71" i="3"/>
  <c r="AP77" i="3" s="1"/>
  <c r="BA104" i="5"/>
  <c r="BA115" i="5"/>
  <c r="BA116" i="5" s="1"/>
  <c r="BA117" i="5" s="1"/>
  <c r="AP27" i="3"/>
  <c r="AQ24" i="3" s="1"/>
  <c r="AP37" i="3"/>
  <c r="BC64" i="6"/>
  <c r="BC65" i="6"/>
  <c r="BC66" i="6" s="1"/>
  <c r="BC67" i="6" s="1"/>
  <c r="AW22" i="1" s="1"/>
  <c r="BB65" i="6"/>
  <c r="BB66" i="6" s="1"/>
  <c r="BB67" i="6" s="1"/>
  <c r="AV22" i="1" s="1"/>
  <c r="BC73" i="5"/>
  <c r="BC74" i="5" s="1"/>
  <c r="BC75" i="5" s="1"/>
  <c r="BC76" i="5" s="1"/>
  <c r="BC77" i="5" s="1"/>
  <c r="BB74" i="5"/>
  <c r="BB75" i="5" s="1"/>
  <c r="BB76" i="5" s="1"/>
  <c r="BB77" i="5" s="1"/>
  <c r="BH107" i="5"/>
  <c r="BH109" i="5" s="1"/>
  <c r="BI105" i="5"/>
  <c r="BG98" i="6"/>
  <c r="BG100" i="6" s="1"/>
  <c r="BH96" i="6"/>
  <c r="BC104" i="6"/>
  <c r="BC105" i="6" s="1"/>
  <c r="BC108" i="6" s="1"/>
  <c r="BD79" i="6"/>
  <c r="BC80" i="6"/>
  <c r="BC95" i="6" s="1"/>
  <c r="AZ11" i="4"/>
  <c r="BI30" i="5"/>
  <c r="BF80" i="5"/>
  <c r="BE82" i="5"/>
  <c r="BE84" i="5" s="1"/>
  <c r="BF110" i="5"/>
  <c r="BF111" i="5" s="1"/>
  <c r="BF85" i="5"/>
  <c r="BF86" i="5" s="1"/>
  <c r="BF26" i="5"/>
  <c r="BF18" i="5"/>
  <c r="BF23" i="5" s="1"/>
  <c r="BF24" i="5" s="1"/>
  <c r="BG67" i="5"/>
  <c r="BG68" i="5"/>
  <c r="BH66" i="5"/>
  <c r="BF81" i="6"/>
  <c r="BI93" i="5"/>
  <c r="BH94" i="5"/>
  <c r="BM11" i="7"/>
  <c r="BG31" i="1" s="1"/>
  <c r="BG19" i="3"/>
  <c r="BG21" i="3" s="1"/>
  <c r="BE6" i="4"/>
  <c r="BF26" i="3"/>
  <c r="BF30" i="3"/>
  <c r="BF107" i="1"/>
  <c r="BD113" i="5"/>
  <c r="BD114" i="5" s="1"/>
  <c r="BE88" i="5"/>
  <c r="BD61" i="6"/>
  <c r="BG43" i="6"/>
  <c r="BG44" i="6" s="1"/>
  <c r="BG45" i="6" s="1"/>
  <c r="BH42" i="6"/>
  <c r="BJ84" i="6"/>
  <c r="BI85" i="6"/>
  <c r="BE119" i="5"/>
  <c r="BE120" i="5" s="1"/>
  <c r="BE121" i="5" s="1"/>
  <c r="BF118" i="5"/>
  <c r="AT22" i="4"/>
  <c r="AT25" i="4" s="1"/>
  <c r="AT26" i="4" s="1"/>
  <c r="AU10" i="4"/>
  <c r="AT12" i="4"/>
  <c r="BE106" i="6"/>
  <c r="BE107" i="6" s="1"/>
  <c r="BE82" i="6"/>
  <c r="DC112" i="5"/>
  <c r="DE87" i="5"/>
  <c r="DE112" i="5" s="1"/>
  <c r="DB112" i="5"/>
  <c r="DD87" i="5"/>
  <c r="DD112" i="5" s="1"/>
  <c r="BD89" i="5"/>
  <c r="BF69" i="5"/>
  <c r="AU36" i="1"/>
  <c r="BA1" i="4"/>
  <c r="BD5" i="3"/>
  <c r="BC2" i="3"/>
  <c r="BG110" i="6"/>
  <c r="BG111" i="6" s="1"/>
  <c r="BG112" i="6" s="1"/>
  <c r="BH109" i="6"/>
  <c r="BD70" i="5"/>
  <c r="BD71" i="5" s="1"/>
  <c r="BD72" i="5" s="1"/>
  <c r="BG78" i="6"/>
  <c r="BF103" i="6"/>
  <c r="BI99" i="5"/>
  <c r="BF47" i="6"/>
  <c r="BE48" i="6"/>
  <c r="BE54" i="6" s="1"/>
  <c r="BE55" i="6" s="1"/>
  <c r="BG32" i="6"/>
  <c r="BF87" i="6"/>
  <c r="BF88" i="6" s="1"/>
  <c r="BG86" i="6"/>
  <c r="BF92" i="6"/>
  <c r="BF93" i="6" s="1"/>
  <c r="BF94" i="6" s="1"/>
  <c r="BF143" i="6" s="1"/>
  <c r="BG71" i="6"/>
  <c r="BF73" i="6"/>
  <c r="BF75" i="6" s="1"/>
  <c r="BG16" i="5"/>
  <c r="BG41" i="5" s="1"/>
  <c r="BH15" i="5"/>
  <c r="BH17" i="3"/>
  <c r="BI4" i="3"/>
  <c r="BH16" i="3"/>
  <c r="BE101" i="5"/>
  <c r="BE102" i="5" s="1"/>
  <c r="BE103" i="5" s="1"/>
  <c r="BF95" i="5"/>
  <c r="BE96" i="5"/>
  <c r="BE97" i="5" s="1"/>
  <c r="BF126" i="6" l="1"/>
  <c r="BF134" i="6"/>
  <c r="BI132" i="6"/>
  <c r="BI133" i="6" s="1"/>
  <c r="BJ131" i="6"/>
  <c r="BG120" i="6"/>
  <c r="BG126" i="6" s="1"/>
  <c r="BG119" i="6"/>
  <c r="BG127" i="6" s="1"/>
  <c r="BG129" i="6" s="1"/>
  <c r="BG130" i="6" s="1"/>
  <c r="BG134" i="6" s="1"/>
  <c r="BJ115" i="6"/>
  <c r="BK113" i="6"/>
  <c r="BI116" i="6"/>
  <c r="BH118" i="6"/>
  <c r="BI136" i="6"/>
  <c r="BH137" i="6"/>
  <c r="BH121" i="6"/>
  <c r="BG122" i="6"/>
  <c r="BG123" i="6" s="1"/>
  <c r="BG124" i="6" s="1"/>
  <c r="BF144" i="6"/>
  <c r="BF101" i="6"/>
  <c r="BF76" i="6"/>
  <c r="BF77" i="6" s="1"/>
  <c r="BF19" i="6"/>
  <c r="BF22" i="6" s="1"/>
  <c r="BF23" i="6" s="1"/>
  <c r="BF33" i="6"/>
  <c r="BF34" i="6" s="1"/>
  <c r="BF35" i="6" s="1"/>
  <c r="BH30" i="6"/>
  <c r="BH38" i="6" s="1"/>
  <c r="BH40" i="6" s="1"/>
  <c r="BH41" i="6" s="1"/>
  <c r="BH31" i="6"/>
  <c r="BH37" i="6" s="1"/>
  <c r="BG9" i="6"/>
  <c r="BH8" i="6"/>
  <c r="BI29" i="6"/>
  <c r="BJ27" i="6"/>
  <c r="BE64" i="5"/>
  <c r="BB14" i="1"/>
  <c r="BC13" i="1"/>
  <c r="BA154" i="5"/>
  <c r="BH34" i="5"/>
  <c r="BH38" i="5" s="1"/>
  <c r="BI33" i="5"/>
  <c r="BG54" i="5"/>
  <c r="BF59" i="5"/>
  <c r="BF56" i="5"/>
  <c r="BG36" i="5"/>
  <c r="BG39" i="5" s="1"/>
  <c r="BH35" i="5"/>
  <c r="BI51" i="5"/>
  <c r="BI52" i="5" s="1"/>
  <c r="BJ50" i="5"/>
  <c r="BF61" i="5"/>
  <c r="BF62" i="5" s="1"/>
  <c r="BF63" i="5" s="1"/>
  <c r="BG57" i="5"/>
  <c r="BF58" i="5"/>
  <c r="BF60" i="5" s="1"/>
  <c r="BF46" i="5" s="1"/>
  <c r="BF48" i="5" s="1"/>
  <c r="BF49" i="5" s="1"/>
  <c r="BF53" i="5" s="1"/>
  <c r="BF90" i="5" s="1"/>
  <c r="BM40" i="5"/>
  <c r="BF42" i="5"/>
  <c r="BF43" i="5" s="1"/>
  <c r="BF45" i="5" s="1"/>
  <c r="BE152" i="5"/>
  <c r="BE153" i="5" s="1"/>
  <c r="AR31" i="3"/>
  <c r="AR32" i="3" s="1"/>
  <c r="AR57" i="3"/>
  <c r="AR72" i="3" s="1"/>
  <c r="AR78" i="3" s="1"/>
  <c r="AR106" i="1"/>
  <c r="AR25" i="3"/>
  <c r="AP2" i="4" s="1"/>
  <c r="BF29" i="5"/>
  <c r="BF31" i="5" s="1"/>
  <c r="BF32" i="5" s="1"/>
  <c r="BF147" i="5"/>
  <c r="BF149" i="5" s="1"/>
  <c r="BF135" i="5" s="1"/>
  <c r="BF137" i="5" s="1"/>
  <c r="BF138" i="5" s="1"/>
  <c r="BF142" i="5" s="1"/>
  <c r="BF91" i="5" s="1"/>
  <c r="BG146" i="5"/>
  <c r="BF150" i="5"/>
  <c r="BF151" i="5" s="1"/>
  <c r="AV23" i="1"/>
  <c r="AV36" i="1" s="1"/>
  <c r="BF131" i="5"/>
  <c r="BF132" i="5" s="1"/>
  <c r="BF134" i="5" s="1"/>
  <c r="AP39" i="3"/>
  <c r="AP40" i="3" s="1"/>
  <c r="AQ36" i="3" s="1"/>
  <c r="BG130" i="5"/>
  <c r="BI122" i="5"/>
  <c r="BH123" i="5"/>
  <c r="BH127" i="5" s="1"/>
  <c r="BI129" i="5"/>
  <c r="BG125" i="5"/>
  <c r="BG128" i="5" s="1"/>
  <c r="BH124" i="5"/>
  <c r="BF148" i="5"/>
  <c r="BG143" i="5"/>
  <c r="BF145" i="5"/>
  <c r="BH139" i="5"/>
  <c r="BG140" i="5"/>
  <c r="BG141" i="5" s="1"/>
  <c r="AV17" i="1"/>
  <c r="BB115" i="5"/>
  <c r="BB116" i="5" s="1"/>
  <c r="BB117" i="5" s="1"/>
  <c r="BB104" i="5"/>
  <c r="BB154" i="5" s="1"/>
  <c r="BI19" i="5"/>
  <c r="BH22" i="5"/>
  <c r="AQ27" i="3"/>
  <c r="AR24" i="3" s="1"/>
  <c r="AQ37" i="3"/>
  <c r="AS35" i="1"/>
  <c r="AS37" i="1" s="1"/>
  <c r="AT46" i="3"/>
  <c r="AT48" i="3" s="1"/>
  <c r="AT18" i="1"/>
  <c r="AS50" i="3"/>
  <c r="AS58" i="3"/>
  <c r="AS59" i="3"/>
  <c r="AW23" i="1"/>
  <c r="AO9" i="4"/>
  <c r="AN23" i="4"/>
  <c r="AN24" i="4" s="1"/>
  <c r="BG73" i="6"/>
  <c r="BG75" i="6" s="1"/>
  <c r="BH71" i="6"/>
  <c r="BE61" i="6"/>
  <c r="BD62" i="6"/>
  <c r="BD63" i="6" s="1"/>
  <c r="BD64" i="6" s="1"/>
  <c r="BJ30" i="5"/>
  <c r="BD104" i="6"/>
  <c r="BD105" i="6" s="1"/>
  <c r="BD108" i="6" s="1"/>
  <c r="BE79" i="6"/>
  <c r="BD80" i="6"/>
  <c r="BD95" i="6" s="1"/>
  <c r="BF119" i="5"/>
  <c r="BF120" i="5" s="1"/>
  <c r="BF121" i="5" s="1"/>
  <c r="BG118" i="5"/>
  <c r="BJ93" i="5"/>
  <c r="BI94" i="5"/>
  <c r="BN11" i="7"/>
  <c r="BH31" i="1" s="1"/>
  <c r="BF6" i="4"/>
  <c r="BH19" i="3"/>
  <c r="BH21" i="3" s="1"/>
  <c r="BH16" i="5"/>
  <c r="BH41" i="5" s="1"/>
  <c r="BI15" i="5"/>
  <c r="BH32" i="6"/>
  <c r="BB1" i="4"/>
  <c r="BE5" i="3"/>
  <c r="BD2" i="3"/>
  <c r="BH43" i="6"/>
  <c r="BH44" i="6" s="1"/>
  <c r="BI42" i="6"/>
  <c r="BG26" i="3"/>
  <c r="BG30" i="3"/>
  <c r="BG107" i="1"/>
  <c r="BF106" i="6"/>
  <c r="BF107" i="6" s="1"/>
  <c r="BF82" i="6"/>
  <c r="BI96" i="6"/>
  <c r="BH98" i="6"/>
  <c r="BH100" i="6" s="1"/>
  <c r="BG80" i="5"/>
  <c r="BF82" i="5"/>
  <c r="BF84" i="5" s="1"/>
  <c r="BG92" i="6"/>
  <c r="BG93" i="6" s="1"/>
  <c r="BG94" i="6" s="1"/>
  <c r="BG143" i="6" s="1"/>
  <c r="BG87" i="6"/>
  <c r="BG88" i="6" s="1"/>
  <c r="BH86" i="6"/>
  <c r="BJ99" i="5"/>
  <c r="BF88" i="5"/>
  <c r="BF89" i="5" s="1"/>
  <c r="BE113" i="5"/>
  <c r="BE114" i="5" s="1"/>
  <c r="BG103" i="6"/>
  <c r="BH78" i="6"/>
  <c r="BK84" i="6"/>
  <c r="BJ85" i="6"/>
  <c r="BA11" i="4"/>
  <c r="BI107" i="5"/>
  <c r="BI109" i="5" s="1"/>
  <c r="BJ105" i="5"/>
  <c r="BG85" i="5"/>
  <c r="BG86" i="5" s="1"/>
  <c r="BG110" i="5"/>
  <c r="BG111" i="5" s="1"/>
  <c r="BG26" i="5"/>
  <c r="BG18" i="5"/>
  <c r="BG23" i="5" s="1"/>
  <c r="BG24" i="5" s="1"/>
  <c r="AU22" i="4"/>
  <c r="AU25" i="4" s="1"/>
  <c r="AU26" i="4" s="1"/>
  <c r="AU12" i="4"/>
  <c r="AV10" i="4"/>
  <c r="BG81" i="6"/>
  <c r="BH68" i="5"/>
  <c r="BH67" i="5"/>
  <c r="BI66" i="5"/>
  <c r="BI16" i="3"/>
  <c r="BJ4" i="3"/>
  <c r="BI17" i="3"/>
  <c r="BH110" i="6"/>
  <c r="BH111" i="6" s="1"/>
  <c r="BH112" i="6" s="1"/>
  <c r="BI109" i="6"/>
  <c r="BE89" i="5"/>
  <c r="BF96" i="5"/>
  <c r="BF97" i="5" s="1"/>
  <c r="BG95" i="5"/>
  <c r="BF101" i="5"/>
  <c r="BF102" i="5" s="1"/>
  <c r="BF103" i="5" s="1"/>
  <c r="BG47" i="6"/>
  <c r="BF48" i="6"/>
  <c r="BF54" i="6" s="1"/>
  <c r="BF55" i="6" s="1"/>
  <c r="BE70" i="5"/>
  <c r="BG69" i="5"/>
  <c r="BD73" i="5"/>
  <c r="BG144" i="6" l="1"/>
  <c r="BJ116" i="6"/>
  <c r="BI118" i="6"/>
  <c r="BL113" i="6"/>
  <c r="BK115" i="6"/>
  <c r="BI121" i="6"/>
  <c r="BH122" i="6"/>
  <c r="BH123" i="6" s="1"/>
  <c r="BH124" i="6" s="1"/>
  <c r="BJ136" i="6"/>
  <c r="BI137" i="6"/>
  <c r="BK131" i="6"/>
  <c r="BJ132" i="6"/>
  <c r="BJ133" i="6" s="1"/>
  <c r="BH120" i="6"/>
  <c r="BH126" i="6" s="1"/>
  <c r="BH119" i="6"/>
  <c r="BH127" i="6" s="1"/>
  <c r="BH129" i="6" s="1"/>
  <c r="BH130" i="6" s="1"/>
  <c r="BH134" i="6" s="1"/>
  <c r="BG76" i="6"/>
  <c r="BG77" i="6" s="1"/>
  <c r="BG19" i="6"/>
  <c r="BG22" i="6" s="1"/>
  <c r="BG23" i="6" s="1"/>
  <c r="BG101" i="6"/>
  <c r="BG33" i="6"/>
  <c r="BG34" i="6" s="1"/>
  <c r="BG35" i="6" s="1"/>
  <c r="BH9" i="6"/>
  <c r="BH33" i="6" s="1"/>
  <c r="BH34" i="6" s="1"/>
  <c r="BH35" i="6" s="1"/>
  <c r="BI8" i="6"/>
  <c r="BH45" i="6"/>
  <c r="BH81" i="6" s="1"/>
  <c r="BJ29" i="6"/>
  <c r="BK27" i="6"/>
  <c r="BI31" i="6"/>
  <c r="BI37" i="6" s="1"/>
  <c r="BI30" i="6"/>
  <c r="BI38" i="6" s="1"/>
  <c r="BI40" i="6" s="1"/>
  <c r="BI41" i="6" s="1"/>
  <c r="BC14" i="1"/>
  <c r="BD13" i="1"/>
  <c r="BF64" i="5"/>
  <c r="BG56" i="5"/>
  <c r="BH54" i="5"/>
  <c r="BG59" i="5"/>
  <c r="BI34" i="5"/>
  <c r="BI38" i="5" s="1"/>
  <c r="BJ33" i="5"/>
  <c r="BH57" i="5"/>
  <c r="BG61" i="5"/>
  <c r="BG62" i="5" s="1"/>
  <c r="BG63" i="5" s="1"/>
  <c r="BG58" i="5"/>
  <c r="BG60" i="5" s="1"/>
  <c r="BG46" i="5" s="1"/>
  <c r="BG48" i="5" s="1"/>
  <c r="BG49" i="5" s="1"/>
  <c r="BG53" i="5" s="1"/>
  <c r="BG90" i="5" s="1"/>
  <c r="BH36" i="5"/>
  <c r="BH39" i="5" s="1"/>
  <c r="BI35" i="5"/>
  <c r="AR71" i="3"/>
  <c r="AR77" i="3" s="1"/>
  <c r="BG42" i="5"/>
  <c r="BG43" i="5" s="1"/>
  <c r="BG45" i="5" s="1"/>
  <c r="BN40" i="5"/>
  <c r="BJ51" i="5"/>
  <c r="BJ52" i="5" s="1"/>
  <c r="BK50" i="5"/>
  <c r="AR73" i="3"/>
  <c r="AR79" i="3" s="1"/>
  <c r="AR70" i="3"/>
  <c r="AR76" i="3" s="1"/>
  <c r="AR69" i="3"/>
  <c r="AR75" i="3" s="1"/>
  <c r="AW36" i="1"/>
  <c r="BF152" i="5"/>
  <c r="BF153" i="5" s="1"/>
  <c r="BG131" i="5"/>
  <c r="BG132" i="5" s="1"/>
  <c r="BG134" i="5" s="1"/>
  <c r="BG29" i="5"/>
  <c r="BG31" i="5" s="1"/>
  <c r="BG32" i="5" s="1"/>
  <c r="BG150" i="5"/>
  <c r="BG151" i="5" s="1"/>
  <c r="BH146" i="5"/>
  <c r="BG147" i="5"/>
  <c r="BG149" i="5" s="1"/>
  <c r="BG135" i="5" s="1"/>
  <c r="BG137" i="5" s="1"/>
  <c r="BG138" i="5" s="1"/>
  <c r="BG142" i="5" s="1"/>
  <c r="BG91" i="5" s="1"/>
  <c r="BH130" i="5"/>
  <c r="BI123" i="5"/>
  <c r="BI127" i="5" s="1"/>
  <c r="BJ122" i="5"/>
  <c r="BH140" i="5"/>
  <c r="BH141" i="5" s="1"/>
  <c r="BI139" i="5"/>
  <c r="BG148" i="5"/>
  <c r="BH143" i="5"/>
  <c r="BG145" i="5"/>
  <c r="BI124" i="5"/>
  <c r="BH125" i="5"/>
  <c r="BH128" i="5" s="1"/>
  <c r="BJ129" i="5"/>
  <c r="AQ39" i="3"/>
  <c r="AQ40" i="3" s="1"/>
  <c r="AR36" i="3" s="1"/>
  <c r="AW47" i="3"/>
  <c r="BI22" i="5"/>
  <c r="BJ19" i="5"/>
  <c r="AX23" i="1"/>
  <c r="BC104" i="5"/>
  <c r="BC115" i="5"/>
  <c r="BC116" i="5" s="1"/>
  <c r="BC117" i="5" s="1"/>
  <c r="AT50" i="3"/>
  <c r="AT58" i="3"/>
  <c r="AT59" i="3"/>
  <c r="AP9" i="4"/>
  <c r="AO23" i="4"/>
  <c r="AO24" i="4" s="1"/>
  <c r="AU46" i="3"/>
  <c r="AU48" i="3" s="1"/>
  <c r="AU18" i="1"/>
  <c r="AU35" i="1" s="1"/>
  <c r="AU37" i="1" s="1"/>
  <c r="AT35" i="1"/>
  <c r="AT37" i="1" s="1"/>
  <c r="AS57" i="3"/>
  <c r="AS29" i="3"/>
  <c r="AS31" i="3"/>
  <c r="AS32" i="3" s="1"/>
  <c r="AS25" i="3"/>
  <c r="AQ2" i="4" s="1"/>
  <c r="AS106" i="1"/>
  <c r="AW17" i="1"/>
  <c r="AR27" i="3"/>
  <c r="AS24" i="3" s="1"/>
  <c r="AR37" i="3"/>
  <c r="BO11" i="7"/>
  <c r="BI31" i="1" s="1"/>
  <c r="BG6" i="4"/>
  <c r="BI19" i="3"/>
  <c r="BI21" i="3" s="1"/>
  <c r="BG88" i="5"/>
  <c r="BG89" i="5" s="1"/>
  <c r="BF113" i="5"/>
  <c r="BF114" i="5" s="1"/>
  <c r="BH73" i="6"/>
  <c r="BH75" i="6" s="1"/>
  <c r="BI71" i="6"/>
  <c r="BI110" i="6"/>
  <c r="BI111" i="6" s="1"/>
  <c r="BI112" i="6" s="1"/>
  <c r="BJ109" i="6"/>
  <c r="BJ66" i="5"/>
  <c r="BI68" i="5"/>
  <c r="BI67" i="5"/>
  <c r="BK99" i="5"/>
  <c r="BJ96" i="6"/>
  <c r="BI98" i="6"/>
  <c r="BI100" i="6" s="1"/>
  <c r="BE104" i="6"/>
  <c r="BE105" i="6" s="1"/>
  <c r="BE108" i="6" s="1"/>
  <c r="BF79" i="6"/>
  <c r="BE80" i="6"/>
  <c r="BE95" i="6" s="1"/>
  <c r="BG48" i="6"/>
  <c r="BG54" i="6" s="1"/>
  <c r="BG55" i="6" s="1"/>
  <c r="BH47" i="6"/>
  <c r="AV22" i="4"/>
  <c r="AV25" i="4" s="1"/>
  <c r="AV26" i="4" s="1"/>
  <c r="AV12" i="4"/>
  <c r="AW10" i="4"/>
  <c r="BK93" i="5"/>
  <c r="BJ94" i="5"/>
  <c r="BD74" i="5"/>
  <c r="BD75" i="5" s="1"/>
  <c r="BD76" i="5" s="1"/>
  <c r="BD77" i="5" s="1"/>
  <c r="BG96" i="5"/>
  <c r="BG97" i="5" s="1"/>
  <c r="BH95" i="5"/>
  <c r="BG101" i="5"/>
  <c r="BG102" i="5" s="1"/>
  <c r="BG103" i="5" s="1"/>
  <c r="BK105" i="5"/>
  <c r="BJ107" i="5"/>
  <c r="BJ109" i="5" s="1"/>
  <c r="BL84" i="6"/>
  <c r="BK85" i="6"/>
  <c r="BI86" i="6"/>
  <c r="BH92" i="6"/>
  <c r="BH93" i="6" s="1"/>
  <c r="BH94" i="6" s="1"/>
  <c r="BH143" i="6" s="1"/>
  <c r="BH87" i="6"/>
  <c r="BH88" i="6" s="1"/>
  <c r="BI16" i="5"/>
  <c r="BI41" i="5" s="1"/>
  <c r="BJ15" i="5"/>
  <c r="BH30" i="3"/>
  <c r="BH107" i="1"/>
  <c r="BH26" i="3"/>
  <c r="BF61" i="6"/>
  <c r="BJ17" i="3"/>
  <c r="BJ16" i="3"/>
  <c r="BK4" i="3"/>
  <c r="BG106" i="6"/>
  <c r="BG107" i="6" s="1"/>
  <c r="BG82" i="6"/>
  <c r="BD65" i="6"/>
  <c r="BD66" i="6" s="1"/>
  <c r="BD67" i="6" s="1"/>
  <c r="AX22" i="1" s="1"/>
  <c r="BF5" i="3"/>
  <c r="BE2" i="3"/>
  <c r="BC1" i="4"/>
  <c r="BH118" i="5"/>
  <c r="BG119" i="5"/>
  <c r="BG120" i="5" s="1"/>
  <c r="BG121" i="5" s="1"/>
  <c r="BH80" i="5"/>
  <c r="BG82" i="5"/>
  <c r="BG84" i="5" s="1"/>
  <c r="BI32" i="6"/>
  <c r="BF70" i="5"/>
  <c r="BF71" i="5" s="1"/>
  <c r="BF72" i="5" s="1"/>
  <c r="BE71" i="5"/>
  <c r="BE72" i="5" s="1"/>
  <c r="BE73" i="5" s="1"/>
  <c r="BH69" i="5"/>
  <c r="BB11" i="4"/>
  <c r="BH103" i="6"/>
  <c r="BI78" i="6"/>
  <c r="BI43" i="6"/>
  <c r="BI44" i="6" s="1"/>
  <c r="BI45" i="6" s="1"/>
  <c r="BJ42" i="6"/>
  <c r="BH85" i="5"/>
  <c r="BH86" i="5" s="1"/>
  <c r="BH110" i="5"/>
  <c r="BH111" i="5" s="1"/>
  <c r="BH26" i="5"/>
  <c r="BH18" i="5"/>
  <c r="BH23" i="5" s="1"/>
  <c r="BH24" i="5" s="1"/>
  <c r="BK30" i="5"/>
  <c r="BE62" i="6"/>
  <c r="BE63" i="6" s="1"/>
  <c r="BE64" i="6" s="1"/>
  <c r="BE65" i="6" s="1"/>
  <c r="BE66" i="6" s="1"/>
  <c r="BE67" i="6" s="1"/>
  <c r="AY22" i="1" s="1"/>
  <c r="BH144" i="6" l="1"/>
  <c r="BJ121" i="6"/>
  <c r="BI122" i="6"/>
  <c r="BI123" i="6" s="1"/>
  <c r="BI124" i="6" s="1"/>
  <c r="BI120" i="6"/>
  <c r="BI119" i="6"/>
  <c r="BI127" i="6" s="1"/>
  <c r="BI129" i="6" s="1"/>
  <c r="BI130" i="6" s="1"/>
  <c r="BK136" i="6"/>
  <c r="BJ137" i="6"/>
  <c r="BM113" i="6"/>
  <c r="BL115" i="6"/>
  <c r="BL131" i="6"/>
  <c r="BK132" i="6"/>
  <c r="BK133" i="6" s="1"/>
  <c r="BK116" i="6"/>
  <c r="BJ118" i="6"/>
  <c r="BJ30" i="6"/>
  <c r="BJ38" i="6" s="1"/>
  <c r="BJ40" i="6" s="1"/>
  <c r="BJ41" i="6" s="1"/>
  <c r="BJ31" i="6"/>
  <c r="BJ37" i="6" s="1"/>
  <c r="BJ8" i="6"/>
  <c r="BI9" i="6"/>
  <c r="BH76" i="6"/>
  <c r="BH77" i="6" s="1"/>
  <c r="BH19" i="6"/>
  <c r="BH22" i="6" s="1"/>
  <c r="BH23" i="6" s="1"/>
  <c r="BH101" i="6"/>
  <c r="BL27" i="6"/>
  <c r="BK29" i="6"/>
  <c r="BC154" i="5"/>
  <c r="BD14" i="1"/>
  <c r="BE13" i="1"/>
  <c r="BK33" i="5"/>
  <c r="BJ34" i="5"/>
  <c r="BJ38" i="5" s="1"/>
  <c r="BH56" i="5"/>
  <c r="BI54" i="5"/>
  <c r="BH59" i="5"/>
  <c r="BI57" i="5"/>
  <c r="BH58" i="5"/>
  <c r="BH60" i="5" s="1"/>
  <c r="BH46" i="5" s="1"/>
  <c r="BH48" i="5" s="1"/>
  <c r="BH49" i="5" s="1"/>
  <c r="BH53" i="5" s="1"/>
  <c r="BH90" i="5" s="1"/>
  <c r="BH61" i="5"/>
  <c r="BH62" i="5" s="1"/>
  <c r="BG64" i="5"/>
  <c r="BL50" i="5"/>
  <c r="BK51" i="5"/>
  <c r="BK52" i="5" s="1"/>
  <c r="BO40" i="5"/>
  <c r="BH42" i="5"/>
  <c r="BH43" i="5" s="1"/>
  <c r="BH45" i="5" s="1"/>
  <c r="BJ35" i="5"/>
  <c r="BI36" i="5"/>
  <c r="BI39" i="5" s="1"/>
  <c r="BG152" i="5"/>
  <c r="BG153" i="5" s="1"/>
  <c r="BH29" i="5"/>
  <c r="BH31" i="5" s="1"/>
  <c r="BH32" i="5" s="1"/>
  <c r="BH147" i="5"/>
  <c r="BH149" i="5" s="1"/>
  <c r="BH135" i="5" s="1"/>
  <c r="BH137" i="5" s="1"/>
  <c r="BH138" i="5" s="1"/>
  <c r="BH142" i="5" s="1"/>
  <c r="BH91" i="5" s="1"/>
  <c r="BH150" i="5"/>
  <c r="BH151" i="5" s="1"/>
  <c r="BI146" i="5"/>
  <c r="BI130" i="5"/>
  <c r="AX47" i="3"/>
  <c r="BJ123" i="5"/>
  <c r="BJ127" i="5" s="1"/>
  <c r="BK122" i="5"/>
  <c r="BH134" i="5"/>
  <c r="AR39" i="3"/>
  <c r="AR40" i="3" s="1"/>
  <c r="AS36" i="3" s="1"/>
  <c r="BH148" i="5"/>
  <c r="BH145" i="5"/>
  <c r="BI143" i="5"/>
  <c r="BI140" i="5"/>
  <c r="BI141" i="5" s="1"/>
  <c r="BJ139" i="5"/>
  <c r="BH131" i="5"/>
  <c r="BH132" i="5" s="1"/>
  <c r="BK129" i="5"/>
  <c r="BJ124" i="5"/>
  <c r="BI125" i="5"/>
  <c r="BI128" i="5" s="1"/>
  <c r="AY47" i="3"/>
  <c r="AX17" i="1"/>
  <c r="AU58" i="3"/>
  <c r="AU59" i="3"/>
  <c r="AU50" i="3"/>
  <c r="AT29" i="3"/>
  <c r="AT106" i="1"/>
  <c r="AT57" i="3"/>
  <c r="AT25" i="3"/>
  <c r="AR2" i="4" s="1"/>
  <c r="AT31" i="3"/>
  <c r="AT32" i="3" s="1"/>
  <c r="BD104" i="5"/>
  <c r="BD115" i="5"/>
  <c r="BD116" i="5" s="1"/>
  <c r="BD117" i="5" s="1"/>
  <c r="AV46" i="3"/>
  <c r="AV48" i="3" s="1"/>
  <c r="AV18" i="1"/>
  <c r="AV35" i="1" s="1"/>
  <c r="AV37" i="1" s="1"/>
  <c r="BI69" i="5"/>
  <c r="BJ22" i="5"/>
  <c r="BK19" i="5"/>
  <c r="AS27" i="3"/>
  <c r="AT24" i="3" s="1"/>
  <c r="AS37" i="3"/>
  <c r="AS72" i="3"/>
  <c r="AS78" i="3" s="1"/>
  <c r="AS69" i="3"/>
  <c r="AS75" i="3" s="1"/>
  <c r="AS70" i="3"/>
  <c r="AS76" i="3" s="1"/>
  <c r="AS73" i="3"/>
  <c r="AS79" i="3" s="1"/>
  <c r="AS71" i="3"/>
  <c r="AS77" i="3" s="1"/>
  <c r="AP23" i="4"/>
  <c r="AP24" i="4" s="1"/>
  <c r="AQ9" i="4"/>
  <c r="BK96" i="6"/>
  <c r="BJ98" i="6"/>
  <c r="BJ100" i="6" s="1"/>
  <c r="BJ67" i="5"/>
  <c r="BJ68" i="5"/>
  <c r="BK66" i="5"/>
  <c r="BF73" i="5"/>
  <c r="BF74" i="5" s="1"/>
  <c r="BF75" i="5" s="1"/>
  <c r="BF76" i="5" s="1"/>
  <c r="BF77" i="5" s="1"/>
  <c r="BK17" i="3"/>
  <c r="BK16" i="3"/>
  <c r="BL4" i="3"/>
  <c r="BM84" i="6"/>
  <c r="BL85" i="6"/>
  <c r="BJ71" i="6"/>
  <c r="BI73" i="6"/>
  <c r="BI75" i="6" s="1"/>
  <c r="BI103" i="6"/>
  <c r="BJ78" i="6"/>
  <c r="BJ16" i="5"/>
  <c r="BJ41" i="5" s="1"/>
  <c r="BK15" i="5"/>
  <c r="BP11" i="7"/>
  <c r="BJ31" i="1" s="1"/>
  <c r="BH6" i="4"/>
  <c r="BJ19" i="3"/>
  <c r="BJ21" i="3" s="1"/>
  <c r="AW22" i="4"/>
  <c r="AW25" i="4" s="1"/>
  <c r="AW26" i="4" s="1"/>
  <c r="AX10" i="4"/>
  <c r="AW12" i="4"/>
  <c r="BL99" i="5"/>
  <c r="AX36" i="1"/>
  <c r="BL93" i="5"/>
  <c r="BK94" i="5"/>
  <c r="BI26" i="3"/>
  <c r="BI30" i="3"/>
  <c r="BI107" i="1"/>
  <c r="BL30" i="5"/>
  <c r="BH101" i="5"/>
  <c r="BH102" i="5" s="1"/>
  <c r="BH103" i="5" s="1"/>
  <c r="BH96" i="5"/>
  <c r="BH97" i="5" s="1"/>
  <c r="BI95" i="5"/>
  <c r="BG61" i="6"/>
  <c r="BE74" i="5"/>
  <c r="BE75" i="5" s="1"/>
  <c r="BE76" i="5" s="1"/>
  <c r="BE77" i="5" s="1"/>
  <c r="BG113" i="5"/>
  <c r="BG114" i="5" s="1"/>
  <c r="BH88" i="5"/>
  <c r="BI80" i="5"/>
  <c r="BH82" i="5"/>
  <c r="BH84" i="5" s="1"/>
  <c r="BI110" i="5"/>
  <c r="BI111" i="5" s="1"/>
  <c r="BI85" i="5"/>
  <c r="BI86" i="5" s="1"/>
  <c r="BI26" i="5"/>
  <c r="BI18" i="5"/>
  <c r="BI23" i="5" s="1"/>
  <c r="BI24" i="5" s="1"/>
  <c r="BK42" i="6"/>
  <c r="BJ43" i="6"/>
  <c r="BJ44" i="6" s="1"/>
  <c r="BG70" i="5"/>
  <c r="BG71" i="5" s="1"/>
  <c r="BG72" i="5" s="1"/>
  <c r="BK107" i="5"/>
  <c r="BK109" i="5" s="1"/>
  <c r="BL105" i="5"/>
  <c r="BI47" i="6"/>
  <c r="BH48" i="6"/>
  <c r="BH54" i="6" s="1"/>
  <c r="BH55" i="6" s="1"/>
  <c r="BF104" i="6"/>
  <c r="BF105" i="6" s="1"/>
  <c r="BF108" i="6" s="1"/>
  <c r="BG79" i="6"/>
  <c r="BF80" i="6"/>
  <c r="BF95" i="6" s="1"/>
  <c r="BI92" i="6"/>
  <c r="BI93" i="6" s="1"/>
  <c r="BI94" i="6" s="1"/>
  <c r="BI143" i="6" s="1"/>
  <c r="BJ86" i="6"/>
  <c r="BI87" i="6"/>
  <c r="BI88" i="6" s="1"/>
  <c r="BJ32" i="6"/>
  <c r="BJ110" i="6"/>
  <c r="BJ111" i="6" s="1"/>
  <c r="BJ112" i="6" s="1"/>
  <c r="BK109" i="6"/>
  <c r="BF62" i="6"/>
  <c r="BF63" i="6" s="1"/>
  <c r="BF64" i="6" s="1"/>
  <c r="BD1" i="4"/>
  <c r="BG5" i="3"/>
  <c r="BF2" i="3"/>
  <c r="BI81" i="6"/>
  <c r="BC11" i="4"/>
  <c r="BI118" i="5"/>
  <c r="BH119" i="5"/>
  <c r="BH120" i="5" s="1"/>
  <c r="BH121" i="5" s="1"/>
  <c r="BH82" i="6"/>
  <c r="BH106" i="6"/>
  <c r="BH107" i="6" s="1"/>
  <c r="BI134" i="6" l="1"/>
  <c r="BJ45" i="6"/>
  <c r="BI126" i="6"/>
  <c r="BJ120" i="6"/>
  <c r="BJ126" i="6" s="1"/>
  <c r="BJ119" i="6"/>
  <c r="BJ127" i="6" s="1"/>
  <c r="BJ129" i="6" s="1"/>
  <c r="BJ130" i="6" s="1"/>
  <c r="BJ134" i="6" s="1"/>
  <c r="BK137" i="6"/>
  <c r="BL136" i="6"/>
  <c r="BK118" i="6"/>
  <c r="BL116" i="6"/>
  <c r="BM131" i="6"/>
  <c r="BL132" i="6"/>
  <c r="BL133" i="6" s="1"/>
  <c r="BN113" i="6"/>
  <c r="BM115" i="6"/>
  <c r="BJ122" i="6"/>
  <c r="BJ123" i="6" s="1"/>
  <c r="BJ124" i="6" s="1"/>
  <c r="BK121" i="6"/>
  <c r="BK8" i="6"/>
  <c r="BJ9" i="6"/>
  <c r="BM27" i="6"/>
  <c r="BL29" i="6"/>
  <c r="BI101" i="6"/>
  <c r="BI19" i="6"/>
  <c r="BI22" i="6" s="1"/>
  <c r="BI23" i="6" s="1"/>
  <c r="BI76" i="6"/>
  <c r="BI77" i="6" s="1"/>
  <c r="BI33" i="6"/>
  <c r="BI34" i="6" s="1"/>
  <c r="BI35" i="6" s="1"/>
  <c r="BK30" i="6"/>
  <c r="BK38" i="6" s="1"/>
  <c r="BK40" i="6" s="1"/>
  <c r="BK41" i="6" s="1"/>
  <c r="BK31" i="6"/>
  <c r="BK37" i="6" s="1"/>
  <c r="BE14" i="1"/>
  <c r="BF13" i="1"/>
  <c r="BD154" i="5"/>
  <c r="BJ54" i="5"/>
  <c r="BI59" i="5"/>
  <c r="BI56" i="5"/>
  <c r="BK34" i="5"/>
  <c r="BK38" i="5" s="1"/>
  <c r="BL33" i="5"/>
  <c r="BH63" i="5"/>
  <c r="BH64" i="5" s="1"/>
  <c r="BI42" i="5"/>
  <c r="BI43" i="5" s="1"/>
  <c r="BI45" i="5" s="1"/>
  <c r="BK35" i="5"/>
  <c r="BJ36" i="5"/>
  <c r="BJ39" i="5" s="1"/>
  <c r="BM50" i="5"/>
  <c r="BL51" i="5"/>
  <c r="BL52" i="5" s="1"/>
  <c r="BJ57" i="5"/>
  <c r="BI58" i="5"/>
  <c r="BI60" i="5" s="1"/>
  <c r="BI46" i="5" s="1"/>
  <c r="BI48" i="5" s="1"/>
  <c r="BI49" i="5" s="1"/>
  <c r="BI53" i="5" s="1"/>
  <c r="BI90" i="5" s="1"/>
  <c r="BI61" i="5"/>
  <c r="BI62" i="5" s="1"/>
  <c r="BI63" i="5" s="1"/>
  <c r="BP40" i="5"/>
  <c r="BH152" i="5"/>
  <c r="BH153" i="5" s="1"/>
  <c r="BI29" i="5"/>
  <c r="BI31" i="5" s="1"/>
  <c r="BI32" i="5" s="1"/>
  <c r="BJ146" i="5"/>
  <c r="BI147" i="5"/>
  <c r="BI149" i="5" s="1"/>
  <c r="BI135" i="5" s="1"/>
  <c r="BI137" i="5" s="1"/>
  <c r="BI138" i="5" s="1"/>
  <c r="BI142" i="5" s="1"/>
  <c r="BI91" i="5" s="1"/>
  <c r="BI150" i="5"/>
  <c r="BI151" i="5" s="1"/>
  <c r="BJ130" i="5"/>
  <c r="AY23" i="1"/>
  <c r="AY36" i="1" s="1"/>
  <c r="BL122" i="5"/>
  <c r="BK123" i="5"/>
  <c r="BK127" i="5" s="1"/>
  <c r="BI131" i="5"/>
  <c r="BI132" i="5" s="1"/>
  <c r="BI134" i="5" s="1"/>
  <c r="BI148" i="5"/>
  <c r="BI145" i="5"/>
  <c r="BJ143" i="5"/>
  <c r="BJ140" i="5"/>
  <c r="BJ141" i="5" s="1"/>
  <c r="BK139" i="5"/>
  <c r="BK124" i="5"/>
  <c r="BJ125" i="5"/>
  <c r="BJ128" i="5" s="1"/>
  <c r="BL129" i="5"/>
  <c r="BJ69" i="5"/>
  <c r="BE104" i="5"/>
  <c r="BE115" i="5"/>
  <c r="BE116" i="5" s="1"/>
  <c r="BE117" i="5" s="1"/>
  <c r="AQ23" i="4"/>
  <c r="AQ24" i="4" s="1"/>
  <c r="AR9" i="4"/>
  <c r="AT27" i="3"/>
  <c r="AU24" i="3" s="1"/>
  <c r="AT37" i="3"/>
  <c r="AU31" i="3"/>
  <c r="AU32" i="3" s="1"/>
  <c r="AU106" i="1"/>
  <c r="AU29" i="3"/>
  <c r="AU57" i="3"/>
  <c r="AU25" i="3"/>
  <c r="AS2" i="4" s="1"/>
  <c r="AW18" i="1"/>
  <c r="AW35" i="1" s="1"/>
  <c r="AW37" i="1" s="1"/>
  <c r="AW46" i="3"/>
  <c r="AW48" i="3" s="1"/>
  <c r="AT71" i="3"/>
  <c r="AT77" i="3" s="1"/>
  <c r="AT69" i="3"/>
  <c r="AT75" i="3" s="1"/>
  <c r="AT70" i="3"/>
  <c r="AT76" i="3" s="1"/>
  <c r="AT73" i="3"/>
  <c r="AT79" i="3" s="1"/>
  <c r="AT72" i="3"/>
  <c r="AT78" i="3" s="1"/>
  <c r="AS39" i="3"/>
  <c r="AY17" i="1"/>
  <c r="BK22" i="5"/>
  <c r="BL19" i="5"/>
  <c r="AV59" i="3"/>
  <c r="AV50" i="3"/>
  <c r="AV58" i="3"/>
  <c r="BM105" i="5"/>
  <c r="BL107" i="5"/>
  <c r="BL109" i="5" s="1"/>
  <c r="BJ81" i="6"/>
  <c r="BH113" i="5"/>
  <c r="BH114" i="5" s="1"/>
  <c r="BI88" i="5"/>
  <c r="BF65" i="6"/>
  <c r="BF66" i="6" s="1"/>
  <c r="BF67" i="6" s="1"/>
  <c r="AZ22" i="1" s="1"/>
  <c r="AY10" i="4"/>
  <c r="AX12" i="4"/>
  <c r="AX22" i="4"/>
  <c r="AX25" i="4" s="1"/>
  <c r="AX26" i="4" s="1"/>
  <c r="BN84" i="6"/>
  <c r="BM85" i="6"/>
  <c r="BK98" i="6"/>
  <c r="BK100" i="6" s="1"/>
  <c r="BL96" i="6"/>
  <c r="BI101" i="5"/>
  <c r="BI102" i="5" s="1"/>
  <c r="BI103" i="5" s="1"/>
  <c r="BJ95" i="5"/>
  <c r="BI96" i="5"/>
  <c r="BI97" i="5" s="1"/>
  <c r="BM30" i="5"/>
  <c r="BE1" i="4"/>
  <c r="BH5" i="3"/>
  <c r="BG2" i="3"/>
  <c r="BH89" i="5"/>
  <c r="BJ103" i="6"/>
  <c r="BK78" i="6"/>
  <c r="BJ30" i="3"/>
  <c r="BJ107" i="1"/>
  <c r="BJ26" i="3"/>
  <c r="BI48" i="6"/>
  <c r="BI54" i="6" s="1"/>
  <c r="BI55" i="6" s="1"/>
  <c r="BJ47" i="6"/>
  <c r="BK43" i="6"/>
  <c r="BK44" i="6" s="1"/>
  <c r="BK45" i="6" s="1"/>
  <c r="BL42" i="6"/>
  <c r="BL17" i="3"/>
  <c r="BL16" i="3"/>
  <c r="BM4" i="3"/>
  <c r="BK32" i="6"/>
  <c r="BJ33" i="6"/>
  <c r="BJ34" i="6" s="1"/>
  <c r="BJ35" i="6" s="1"/>
  <c r="BM93" i="5"/>
  <c r="BL94" i="5"/>
  <c r="BJ110" i="5"/>
  <c r="BJ111" i="5" s="1"/>
  <c r="BJ85" i="5"/>
  <c r="BJ86" i="5" s="1"/>
  <c r="BJ26" i="5"/>
  <c r="BJ18" i="5"/>
  <c r="BJ23" i="5" s="1"/>
  <c r="BJ24" i="5" s="1"/>
  <c r="BJ92" i="6"/>
  <c r="BJ93" i="6" s="1"/>
  <c r="BJ94" i="6" s="1"/>
  <c r="BJ143" i="6" s="1"/>
  <c r="BJ87" i="6"/>
  <c r="BJ88" i="6" s="1"/>
  <c r="BK86" i="6"/>
  <c r="BH61" i="6"/>
  <c r="BH62" i="6" s="1"/>
  <c r="BH63" i="6" s="1"/>
  <c r="BG73" i="5"/>
  <c r="BG74" i="5" s="1"/>
  <c r="BG75" i="5" s="1"/>
  <c r="BG76" i="5" s="1"/>
  <c r="BG77" i="5" s="1"/>
  <c r="BL15" i="5"/>
  <c r="BK16" i="5"/>
  <c r="BK41" i="5" s="1"/>
  <c r="BJ118" i="5"/>
  <c r="BI119" i="5"/>
  <c r="BI120" i="5" s="1"/>
  <c r="BI121" i="5" s="1"/>
  <c r="BQ11" i="7"/>
  <c r="BK31" i="1" s="1"/>
  <c r="BI6" i="4"/>
  <c r="BK19" i="3"/>
  <c r="BK21" i="3" s="1"/>
  <c r="BD11" i="4"/>
  <c r="BI106" i="6"/>
  <c r="BI107" i="6" s="1"/>
  <c r="BI82" i="6"/>
  <c r="BL109" i="6"/>
  <c r="BK110" i="6"/>
  <c r="BK111" i="6" s="1"/>
  <c r="BK112" i="6" s="1"/>
  <c r="BG104" i="6"/>
  <c r="BG105" i="6" s="1"/>
  <c r="BG108" i="6" s="1"/>
  <c r="BH79" i="6"/>
  <c r="BG80" i="6"/>
  <c r="BG95" i="6" s="1"/>
  <c r="BH70" i="5"/>
  <c r="BH71" i="5" s="1"/>
  <c r="BH72" i="5" s="1"/>
  <c r="BJ80" i="5"/>
  <c r="BI82" i="5"/>
  <c r="BI84" i="5" s="1"/>
  <c r="BG62" i="6"/>
  <c r="BG63" i="6" s="1"/>
  <c r="BG64" i="6" s="1"/>
  <c r="BM99" i="5"/>
  <c r="BK71" i="6"/>
  <c r="BJ73" i="6"/>
  <c r="BJ75" i="6" s="1"/>
  <c r="BL66" i="5"/>
  <c r="BK67" i="5"/>
  <c r="BK68" i="5"/>
  <c r="BJ144" i="6" l="1"/>
  <c r="BI144" i="6"/>
  <c r="BL137" i="6"/>
  <c r="BM136" i="6"/>
  <c r="BM132" i="6"/>
  <c r="BM133" i="6" s="1"/>
  <c r="BN131" i="6"/>
  <c r="BL118" i="6"/>
  <c r="BM116" i="6"/>
  <c r="BK122" i="6"/>
  <c r="BK123" i="6" s="1"/>
  <c r="BK124" i="6" s="1"/>
  <c r="BL121" i="6"/>
  <c r="BK119" i="6"/>
  <c r="BK127" i="6" s="1"/>
  <c r="BK129" i="6" s="1"/>
  <c r="BK130" i="6" s="1"/>
  <c r="BK120" i="6"/>
  <c r="BO113" i="6"/>
  <c r="BN115" i="6"/>
  <c r="BM29" i="6"/>
  <c r="BN27" i="6"/>
  <c r="BJ101" i="6"/>
  <c r="BJ76" i="6"/>
  <c r="BJ77" i="6" s="1"/>
  <c r="BJ19" i="6"/>
  <c r="BJ22" i="6" s="1"/>
  <c r="BJ23" i="6" s="1"/>
  <c r="BL31" i="6"/>
  <c r="BL37" i="6" s="1"/>
  <c r="BL30" i="6"/>
  <c r="BL38" i="6" s="1"/>
  <c r="BL40" i="6" s="1"/>
  <c r="BL41" i="6" s="1"/>
  <c r="BL8" i="6"/>
  <c r="BK9" i="6"/>
  <c r="BK33" i="6" s="1"/>
  <c r="BK34" i="6" s="1"/>
  <c r="BK35" i="6" s="1"/>
  <c r="BE154" i="5"/>
  <c r="BG13" i="1"/>
  <c r="BF14" i="1"/>
  <c r="BM33" i="5"/>
  <c r="BL34" i="5"/>
  <c r="BL38" i="5" s="1"/>
  <c r="BJ59" i="5"/>
  <c r="BJ56" i="5"/>
  <c r="BK54" i="5"/>
  <c r="BJ58" i="5"/>
  <c r="BJ60" i="5" s="1"/>
  <c r="BJ46" i="5" s="1"/>
  <c r="BJ48" i="5" s="1"/>
  <c r="BJ49" i="5" s="1"/>
  <c r="BJ53" i="5" s="1"/>
  <c r="BJ90" i="5" s="1"/>
  <c r="BK57" i="5"/>
  <c r="BJ61" i="5"/>
  <c r="BJ62" i="5" s="1"/>
  <c r="BJ63" i="5" s="1"/>
  <c r="BL35" i="5"/>
  <c r="BK36" i="5"/>
  <c r="BK39" i="5" s="1"/>
  <c r="BJ42" i="5"/>
  <c r="BJ43" i="5" s="1"/>
  <c r="BJ45" i="5" s="1"/>
  <c r="BQ40" i="5"/>
  <c r="BN50" i="5"/>
  <c r="BM51" i="5"/>
  <c r="BM52" i="5" s="1"/>
  <c r="BI64" i="5"/>
  <c r="BI152" i="5"/>
  <c r="BI153" i="5" s="1"/>
  <c r="BJ29" i="5"/>
  <c r="BJ31" i="5" s="1"/>
  <c r="BJ32" i="5" s="1"/>
  <c r="BK146" i="5"/>
  <c r="BJ147" i="5"/>
  <c r="BJ149" i="5" s="1"/>
  <c r="BJ135" i="5" s="1"/>
  <c r="BJ137" i="5" s="1"/>
  <c r="BJ138" i="5" s="1"/>
  <c r="BJ142" i="5" s="1"/>
  <c r="BJ91" i="5" s="1"/>
  <c r="BJ150" i="5"/>
  <c r="BJ151" i="5" s="1"/>
  <c r="BK130" i="5"/>
  <c r="BL123" i="5"/>
  <c r="BL127" i="5" s="1"/>
  <c r="BM122" i="5"/>
  <c r="BM129" i="5"/>
  <c r="BJ148" i="5"/>
  <c r="BJ145" i="5"/>
  <c r="BK143" i="5"/>
  <c r="BK125" i="5"/>
  <c r="BK128" i="5" s="1"/>
  <c r="BL124" i="5"/>
  <c r="BL139" i="5"/>
  <c r="BK140" i="5"/>
  <c r="BK141" i="5" s="1"/>
  <c r="BJ131" i="5"/>
  <c r="BJ132" i="5" s="1"/>
  <c r="BJ134" i="5" s="1"/>
  <c r="AV57" i="3"/>
  <c r="AV29" i="3"/>
  <c r="AV106" i="1"/>
  <c r="AV25" i="3"/>
  <c r="AT2" i="4" s="1"/>
  <c r="AV31" i="3"/>
  <c r="AV32" i="3" s="1"/>
  <c r="AZ17" i="1"/>
  <c r="AW58" i="3"/>
  <c r="AW59" i="3"/>
  <c r="AW50" i="3"/>
  <c r="BM19" i="5"/>
  <c r="BL22" i="5"/>
  <c r="AS40" i="3"/>
  <c r="AT36" i="3" s="1"/>
  <c r="AT39" i="3" s="1"/>
  <c r="BF115" i="5"/>
  <c r="BF116" i="5" s="1"/>
  <c r="BF117" i="5" s="1"/>
  <c r="BF104" i="5"/>
  <c r="AX18" i="1"/>
  <c r="AX35" i="1" s="1"/>
  <c r="AX37" i="1" s="1"/>
  <c r="AX46" i="3"/>
  <c r="AX48" i="3" s="1"/>
  <c r="AU27" i="3"/>
  <c r="AV24" i="3" s="1"/>
  <c r="AU37" i="3"/>
  <c r="BK69" i="5"/>
  <c r="BA23" i="1"/>
  <c r="AU70" i="3"/>
  <c r="AU76" i="3" s="1"/>
  <c r="AU73" i="3"/>
  <c r="AU79" i="3" s="1"/>
  <c r="AU72" i="3"/>
  <c r="AU78" i="3" s="1"/>
  <c r="AU71" i="3"/>
  <c r="AU77" i="3" s="1"/>
  <c r="AU69" i="3"/>
  <c r="AU75" i="3" s="1"/>
  <c r="AR23" i="4"/>
  <c r="AR24" i="4" s="1"/>
  <c r="AS9" i="4"/>
  <c r="BH64" i="6"/>
  <c r="BH65" i="6" s="1"/>
  <c r="BH66" i="6" s="1"/>
  <c r="BH67" i="6" s="1"/>
  <c r="BB22" i="1" s="1"/>
  <c r="BK110" i="5"/>
  <c r="BK111" i="5" s="1"/>
  <c r="BK26" i="5"/>
  <c r="BK85" i="5"/>
  <c r="BK86" i="5" s="1"/>
  <c r="BK18" i="5"/>
  <c r="BK23" i="5" s="1"/>
  <c r="BK24" i="5" s="1"/>
  <c r="BR11" i="7"/>
  <c r="BL31" i="1" s="1"/>
  <c r="BJ6" i="4"/>
  <c r="BL19" i="3"/>
  <c r="BL21" i="3" s="1"/>
  <c r="BF1" i="4"/>
  <c r="BI5" i="3"/>
  <c r="BH2" i="3"/>
  <c r="BI113" i="5"/>
  <c r="BI114" i="5" s="1"/>
  <c r="BJ88" i="5"/>
  <c r="BJ89" i="5" s="1"/>
  <c r="BI70" i="5"/>
  <c r="BI71" i="5" s="1"/>
  <c r="BI72" i="5" s="1"/>
  <c r="BM15" i="5"/>
  <c r="BL16" i="5"/>
  <c r="BL41" i="5" s="1"/>
  <c r="BM66" i="5"/>
  <c r="BL68" i="5"/>
  <c r="BL67" i="5"/>
  <c r="BN99" i="5"/>
  <c r="BI89" i="5"/>
  <c r="BK92" i="6"/>
  <c r="BK93" i="6" s="1"/>
  <c r="BK94" i="6" s="1"/>
  <c r="BK143" i="6" s="1"/>
  <c r="BK87" i="6"/>
  <c r="BK88" i="6" s="1"/>
  <c r="BL86" i="6"/>
  <c r="BM94" i="5"/>
  <c r="BN93" i="5"/>
  <c r="BN30" i="5"/>
  <c r="BG65" i="6"/>
  <c r="BG66" i="6" s="1"/>
  <c r="BG67" i="6" s="1"/>
  <c r="BA22" i="1" s="1"/>
  <c r="BJ48" i="6"/>
  <c r="BJ54" i="6" s="1"/>
  <c r="BJ55" i="6" s="1"/>
  <c r="BK47" i="6"/>
  <c r="BO84" i="6"/>
  <c r="BN85" i="6"/>
  <c r="BK103" i="6"/>
  <c r="BL78" i="6"/>
  <c r="BL98" i="6"/>
  <c r="BL100" i="6" s="1"/>
  <c r="BM96" i="6"/>
  <c r="BK30" i="3"/>
  <c r="BK107" i="1"/>
  <c r="BK26" i="3"/>
  <c r="BL71" i="6"/>
  <c r="BK73" i="6"/>
  <c r="BK75" i="6" s="1"/>
  <c r="BH104" i="6"/>
  <c r="BH105" i="6" s="1"/>
  <c r="BH108" i="6" s="1"/>
  <c r="BI79" i="6"/>
  <c r="BH80" i="6"/>
  <c r="BH95" i="6" s="1"/>
  <c r="AZ23" i="1"/>
  <c r="AZ36" i="1" s="1"/>
  <c r="AZ47" i="3"/>
  <c r="BM42" i="6"/>
  <c r="BL43" i="6"/>
  <c r="BL44" i="6" s="1"/>
  <c r="BJ106" i="6"/>
  <c r="BJ107" i="6" s="1"/>
  <c r="BJ82" i="6"/>
  <c r="BJ82" i="5"/>
  <c r="BJ84" i="5" s="1"/>
  <c r="BK80" i="5"/>
  <c r="BK118" i="5"/>
  <c r="BJ119" i="5"/>
  <c r="BJ120" i="5" s="1"/>
  <c r="BJ121" i="5" s="1"/>
  <c r="BM17" i="3"/>
  <c r="BM16" i="3"/>
  <c r="BN4" i="3"/>
  <c r="BM109" i="6"/>
  <c r="BL110" i="6"/>
  <c r="BL111" i="6" s="1"/>
  <c r="BL112" i="6" s="1"/>
  <c r="BI61" i="6"/>
  <c r="BI62" i="6"/>
  <c r="BI63" i="6" s="1"/>
  <c r="BE11" i="4"/>
  <c r="BH73" i="5"/>
  <c r="BH74" i="5" s="1"/>
  <c r="BH75" i="5" s="1"/>
  <c r="BH76" i="5" s="1"/>
  <c r="BH77" i="5" s="1"/>
  <c r="BL32" i="6"/>
  <c r="BK81" i="6"/>
  <c r="BJ101" i="5"/>
  <c r="BJ102" i="5" s="1"/>
  <c r="BJ103" i="5" s="1"/>
  <c r="BK95" i="5"/>
  <c r="BJ96" i="5"/>
  <c r="BJ97" i="5" s="1"/>
  <c r="AZ10" i="4"/>
  <c r="AY12" i="4"/>
  <c r="AY22" i="4"/>
  <c r="AY25" i="4" s="1"/>
  <c r="AY26" i="4" s="1"/>
  <c r="BN105" i="5"/>
  <c r="BM107" i="5"/>
  <c r="BM109" i="5" s="1"/>
  <c r="BK134" i="6" l="1"/>
  <c r="BK126" i="6"/>
  <c r="BN132" i="6"/>
  <c r="BN133" i="6" s="1"/>
  <c r="BO131" i="6"/>
  <c r="BM118" i="6"/>
  <c r="BN116" i="6"/>
  <c r="BL119" i="6"/>
  <c r="BL127" i="6" s="1"/>
  <c r="BL129" i="6" s="1"/>
  <c r="BL130" i="6" s="1"/>
  <c r="BL134" i="6" s="1"/>
  <c r="BL120" i="6"/>
  <c r="BO115" i="6"/>
  <c r="BP113" i="6"/>
  <c r="BK144" i="6"/>
  <c r="BM137" i="6"/>
  <c r="BN136" i="6"/>
  <c r="BL122" i="6"/>
  <c r="BL123" i="6" s="1"/>
  <c r="BL124" i="6" s="1"/>
  <c r="BM121" i="6"/>
  <c r="BL45" i="6"/>
  <c r="BL9" i="6"/>
  <c r="BM8" i="6"/>
  <c r="BN29" i="6"/>
  <c r="BO27" i="6"/>
  <c r="BK76" i="6"/>
  <c r="BK77" i="6" s="1"/>
  <c r="BK101" i="6"/>
  <c r="BK19" i="6"/>
  <c r="BK22" i="6" s="1"/>
  <c r="BK23" i="6" s="1"/>
  <c r="BM30" i="6"/>
  <c r="BM38" i="6" s="1"/>
  <c r="BM40" i="6" s="1"/>
  <c r="BM41" i="6" s="1"/>
  <c r="BM31" i="6"/>
  <c r="BM37" i="6" s="1"/>
  <c r="BH13" i="1"/>
  <c r="BG14" i="1"/>
  <c r="BF154" i="5"/>
  <c r="BL54" i="5"/>
  <c r="BK56" i="5"/>
  <c r="BK59" i="5"/>
  <c r="BN33" i="5"/>
  <c r="BM34" i="5"/>
  <c r="BM38" i="5" s="1"/>
  <c r="BO50" i="5"/>
  <c r="BN51" i="5"/>
  <c r="BN52" i="5" s="1"/>
  <c r="BK42" i="5"/>
  <c r="BK43" i="5" s="1"/>
  <c r="BK45" i="5" s="1"/>
  <c r="BL36" i="5"/>
  <c r="BL39" i="5" s="1"/>
  <c r="BM35" i="5"/>
  <c r="BJ64" i="5"/>
  <c r="BR40" i="5"/>
  <c r="BK58" i="5"/>
  <c r="BK60" i="5" s="1"/>
  <c r="BK46" i="5" s="1"/>
  <c r="BK48" i="5" s="1"/>
  <c r="BK49" i="5" s="1"/>
  <c r="BK53" i="5" s="1"/>
  <c r="BK90" i="5" s="1"/>
  <c r="BL57" i="5"/>
  <c r="BK61" i="5"/>
  <c r="BK62" i="5" s="1"/>
  <c r="BK63" i="5" s="1"/>
  <c r="BJ152" i="5"/>
  <c r="BJ153" i="5" s="1"/>
  <c r="BK29" i="5"/>
  <c r="BK31" i="5" s="1"/>
  <c r="BK150" i="5"/>
  <c r="BK151" i="5" s="1"/>
  <c r="BK147" i="5"/>
  <c r="BK149" i="5" s="1"/>
  <c r="BK135" i="5" s="1"/>
  <c r="BK137" i="5" s="1"/>
  <c r="BK138" i="5" s="1"/>
  <c r="BK142" i="5" s="1"/>
  <c r="BK91" i="5" s="1"/>
  <c r="BL146" i="5"/>
  <c r="BL130" i="5"/>
  <c r="BN122" i="5"/>
  <c r="BM123" i="5"/>
  <c r="BM127" i="5" s="1"/>
  <c r="BM139" i="5"/>
  <c r="BL140" i="5"/>
  <c r="BL141" i="5" s="1"/>
  <c r="BN129" i="5"/>
  <c r="BL125" i="5"/>
  <c r="BL128" i="5" s="1"/>
  <c r="BM124" i="5"/>
  <c r="BK148" i="5"/>
  <c r="BK145" i="5"/>
  <c r="BL143" i="5"/>
  <c r="BK131" i="5"/>
  <c r="BK132" i="5" s="1"/>
  <c r="BK32" i="5"/>
  <c r="BB47" i="3"/>
  <c r="AX59" i="3"/>
  <c r="AX58" i="3"/>
  <c r="AX50" i="3"/>
  <c r="AS23" i="4"/>
  <c r="AS24" i="4" s="1"/>
  <c r="AT9" i="4"/>
  <c r="BN19" i="5"/>
  <c r="BM22" i="5"/>
  <c r="AW57" i="3"/>
  <c r="AW106" i="1"/>
  <c r="AW31" i="3"/>
  <c r="AW32" i="3" s="1"/>
  <c r="AW25" i="3"/>
  <c r="AU2" i="4" s="1"/>
  <c r="AW29" i="3"/>
  <c r="AV70" i="3"/>
  <c r="AV76" i="3" s="1"/>
  <c r="AV71" i="3"/>
  <c r="AV77" i="3" s="1"/>
  <c r="AV73" i="3"/>
  <c r="AV79" i="3" s="1"/>
  <c r="AV72" i="3"/>
  <c r="AV78" i="3" s="1"/>
  <c r="AV69" i="3"/>
  <c r="AV75" i="3" s="1"/>
  <c r="BA47" i="3"/>
  <c r="BG115" i="5"/>
  <c r="BG116" i="5" s="1"/>
  <c r="BG117" i="5" s="1"/>
  <c r="BG104" i="5"/>
  <c r="BG154" i="5" s="1"/>
  <c r="AT40" i="3"/>
  <c r="AU36" i="3" s="1"/>
  <c r="AU39" i="3" s="1"/>
  <c r="AU40" i="3" s="1"/>
  <c r="AV36" i="3" s="1"/>
  <c r="AY18" i="1"/>
  <c r="AY35" i="1" s="1"/>
  <c r="AY37" i="1" s="1"/>
  <c r="AY46" i="3"/>
  <c r="AY48" i="3" s="1"/>
  <c r="AV37" i="3"/>
  <c r="AV27" i="3"/>
  <c r="AW24" i="3" s="1"/>
  <c r="BA17" i="1"/>
  <c r="BL30" i="3"/>
  <c r="BL26" i="3"/>
  <c r="BL107" i="1"/>
  <c r="BK48" i="6"/>
  <c r="BK54" i="6" s="1"/>
  <c r="BK55" i="6" s="1"/>
  <c r="BL47" i="6"/>
  <c r="BM71" i="6"/>
  <c r="BL73" i="6"/>
  <c r="BL75" i="6" s="1"/>
  <c r="BK82" i="6"/>
  <c r="BK106" i="6"/>
  <c r="BK107" i="6" s="1"/>
  <c r="BK119" i="5"/>
  <c r="BK120" i="5" s="1"/>
  <c r="BK121" i="5" s="1"/>
  <c r="BL118" i="5"/>
  <c r="BM32" i="6"/>
  <c r="BL33" i="6"/>
  <c r="BL34" i="6" s="1"/>
  <c r="BL35" i="6" s="1"/>
  <c r="BN109" i="6"/>
  <c r="BM110" i="6"/>
  <c r="BM111" i="6" s="1"/>
  <c r="BM112" i="6" s="1"/>
  <c r="BM43" i="6"/>
  <c r="BM44" i="6" s="1"/>
  <c r="BM45" i="6" s="1"/>
  <c r="BN42" i="6"/>
  <c r="AZ12" i="4"/>
  <c r="BA10" i="4"/>
  <c r="AZ22" i="4"/>
  <c r="AZ25" i="4" s="1"/>
  <c r="AZ26" i="4" s="1"/>
  <c r="BS11" i="7"/>
  <c r="BM31" i="1" s="1"/>
  <c r="BK6" i="4"/>
  <c r="BM19" i="3"/>
  <c r="BM21" i="3" s="1"/>
  <c r="BI104" i="6"/>
  <c r="BI105" i="6" s="1"/>
  <c r="BI108" i="6" s="1"/>
  <c r="BJ79" i="6"/>
  <c r="BI80" i="6"/>
  <c r="BI95" i="6" s="1"/>
  <c r="BL69" i="5"/>
  <c r="BF11" i="4"/>
  <c r="BJ70" i="5"/>
  <c r="BJ71" i="5" s="1"/>
  <c r="BJ72" i="5" s="1"/>
  <c r="BL81" i="6"/>
  <c r="BO30" i="5"/>
  <c r="BO99" i="5"/>
  <c r="BL103" i="6"/>
  <c r="BM78" i="6"/>
  <c r="BO93" i="5"/>
  <c r="BN94" i="5"/>
  <c r="BM67" i="5"/>
  <c r="BM68" i="5"/>
  <c r="BM69" i="5" s="1"/>
  <c r="BN66" i="5"/>
  <c r="BG1" i="4"/>
  <c r="BI2" i="3"/>
  <c r="BJ5" i="3"/>
  <c r="BL87" i="6"/>
  <c r="BL88" i="6" s="1"/>
  <c r="BL92" i="6"/>
  <c r="BL93" i="6" s="1"/>
  <c r="BL94" i="6" s="1"/>
  <c r="BL143" i="6" s="1"/>
  <c r="BM86" i="6"/>
  <c r="BN15" i="5"/>
  <c r="BM16" i="5"/>
  <c r="BM41" i="5" s="1"/>
  <c r="BJ61" i="6"/>
  <c r="BJ62" i="6" s="1"/>
  <c r="BJ63" i="6" s="1"/>
  <c r="BO105" i="5"/>
  <c r="BN107" i="5"/>
  <c r="BN109" i="5" s="1"/>
  <c r="BP84" i="6"/>
  <c r="BO85" i="6"/>
  <c r="BK82" i="5"/>
  <c r="BK84" i="5" s="1"/>
  <c r="BL80" i="5"/>
  <c r="BJ113" i="5"/>
  <c r="BJ114" i="5" s="1"/>
  <c r="BK88" i="5"/>
  <c r="BK89" i="5" s="1"/>
  <c r="BN16" i="3"/>
  <c r="BN17" i="3"/>
  <c r="BO4" i="3"/>
  <c r="BK101" i="5"/>
  <c r="BK102" i="5" s="1"/>
  <c r="BK103" i="5" s="1"/>
  <c r="BK96" i="5"/>
  <c r="BK97" i="5" s="1"/>
  <c r="BL95" i="5"/>
  <c r="BI73" i="5"/>
  <c r="BI74" i="5" s="1"/>
  <c r="BI75" i="5" s="1"/>
  <c r="BI76" i="5" s="1"/>
  <c r="BI77" i="5" s="1"/>
  <c r="BM98" i="6"/>
  <c r="BM100" i="6" s="1"/>
  <c r="BN96" i="6"/>
  <c r="BA36" i="1"/>
  <c r="BL110" i="5"/>
  <c r="BL111" i="5" s="1"/>
  <c r="BL26" i="5"/>
  <c r="BL85" i="5"/>
  <c r="BL86" i="5" s="1"/>
  <c r="BL18" i="5"/>
  <c r="BL23" i="5" s="1"/>
  <c r="BL24" i="5" s="1"/>
  <c r="BI64" i="6"/>
  <c r="BI65" i="6" s="1"/>
  <c r="BI66" i="6" s="1"/>
  <c r="BI67" i="6" s="1"/>
  <c r="BC22" i="1" s="1"/>
  <c r="BL126" i="6" l="1"/>
  <c r="BP115" i="6"/>
  <c r="BQ113" i="6"/>
  <c r="BL144" i="6"/>
  <c r="BN137" i="6"/>
  <c r="BO136" i="6"/>
  <c r="BP131" i="6"/>
  <c r="BO132" i="6"/>
  <c r="BO133" i="6" s="1"/>
  <c r="BM122" i="6"/>
  <c r="BM123" i="6" s="1"/>
  <c r="BM124" i="6" s="1"/>
  <c r="BN121" i="6"/>
  <c r="BO116" i="6"/>
  <c r="BN118" i="6"/>
  <c r="BM119" i="6"/>
  <c r="BM127" i="6" s="1"/>
  <c r="BM129" i="6" s="1"/>
  <c r="BM130" i="6" s="1"/>
  <c r="BM120" i="6"/>
  <c r="BM9" i="6"/>
  <c r="BM33" i="6" s="1"/>
  <c r="BM34" i="6" s="1"/>
  <c r="BM35" i="6" s="1"/>
  <c r="BN8" i="6"/>
  <c r="BN30" i="6"/>
  <c r="BN38" i="6" s="1"/>
  <c r="BN40" i="6" s="1"/>
  <c r="BN41" i="6" s="1"/>
  <c r="BN31" i="6"/>
  <c r="BN37" i="6" s="1"/>
  <c r="BL101" i="6"/>
  <c r="BL19" i="6"/>
  <c r="BL22" i="6" s="1"/>
  <c r="BL23" i="6" s="1"/>
  <c r="BL76" i="6"/>
  <c r="BL77" i="6" s="1"/>
  <c r="BO29" i="6"/>
  <c r="BP27" i="6"/>
  <c r="BI13" i="1"/>
  <c r="BH14" i="1"/>
  <c r="BK64" i="5"/>
  <c r="BO33" i="5"/>
  <c r="BN34" i="5"/>
  <c r="BN38" i="5" s="1"/>
  <c r="BL42" i="5"/>
  <c r="BL43" i="5" s="1"/>
  <c r="BL45" i="5" s="1"/>
  <c r="BL59" i="5"/>
  <c r="BM54" i="5"/>
  <c r="BL56" i="5"/>
  <c r="BM42" i="5"/>
  <c r="BM43" i="5" s="1"/>
  <c r="BS40" i="5"/>
  <c r="BL58" i="5"/>
  <c r="BL60" i="5" s="1"/>
  <c r="BL46" i="5" s="1"/>
  <c r="BL48" i="5" s="1"/>
  <c r="BL49" i="5" s="1"/>
  <c r="BL53" i="5" s="1"/>
  <c r="BL90" i="5" s="1"/>
  <c r="BM57" i="5"/>
  <c r="BL61" i="5"/>
  <c r="BL62" i="5" s="1"/>
  <c r="BP50" i="5"/>
  <c r="BO51" i="5"/>
  <c r="BO52" i="5" s="1"/>
  <c r="BM36" i="5"/>
  <c r="BM39" i="5" s="1"/>
  <c r="BN35" i="5"/>
  <c r="BK152" i="5"/>
  <c r="BL29" i="5"/>
  <c r="BL31" i="5" s="1"/>
  <c r="BL32" i="5" s="1"/>
  <c r="BM146" i="5"/>
  <c r="BL147" i="5"/>
  <c r="BL149" i="5" s="1"/>
  <c r="BL135" i="5" s="1"/>
  <c r="BL137" i="5" s="1"/>
  <c r="BL138" i="5" s="1"/>
  <c r="BL142" i="5" s="1"/>
  <c r="BL91" i="5" s="1"/>
  <c r="BL150" i="5"/>
  <c r="BL151" i="5" s="1"/>
  <c r="BM130" i="5"/>
  <c r="BN123" i="5"/>
  <c r="BN127" i="5" s="1"/>
  <c r="BO122" i="5"/>
  <c r="BB23" i="1"/>
  <c r="BB36" i="1" s="1"/>
  <c r="BK134" i="5"/>
  <c r="BO129" i="5"/>
  <c r="BL131" i="5"/>
  <c r="BL132" i="5" s="1"/>
  <c r="BL134" i="5" s="1"/>
  <c r="BL145" i="5"/>
  <c r="BM143" i="5"/>
  <c r="BL148" i="5"/>
  <c r="BM125" i="5"/>
  <c r="BM128" i="5" s="1"/>
  <c r="BN124" i="5"/>
  <c r="BN139" i="5"/>
  <c r="BM140" i="5"/>
  <c r="BM141" i="5" s="1"/>
  <c r="AW27" i="3"/>
  <c r="AX24" i="3" s="1"/>
  <c r="AW37" i="3"/>
  <c r="AV39" i="3"/>
  <c r="AV40" i="3" s="1"/>
  <c r="AW36" i="3" s="1"/>
  <c r="BH104" i="5"/>
  <c r="BH115" i="5"/>
  <c r="BH116" i="5" s="1"/>
  <c r="BH117" i="5" s="1"/>
  <c r="AX57" i="3"/>
  <c r="AX29" i="3"/>
  <c r="AX31" i="3"/>
  <c r="AX32" i="3" s="1"/>
  <c r="AX25" i="3"/>
  <c r="AV2" i="4" s="1"/>
  <c r="AX106" i="1"/>
  <c r="AU9" i="4"/>
  <c r="AT23" i="4"/>
  <c r="AT24" i="4" s="1"/>
  <c r="AZ18" i="1"/>
  <c r="AZ35" i="1" s="1"/>
  <c r="AZ37" i="1" s="1"/>
  <c r="AZ46" i="3"/>
  <c r="AZ48" i="3" s="1"/>
  <c r="BB17" i="1"/>
  <c r="BN22" i="5"/>
  <c r="BO19" i="5"/>
  <c r="AY59" i="3"/>
  <c r="AY58" i="3"/>
  <c r="AY50" i="3"/>
  <c r="AW70" i="3"/>
  <c r="AW76" i="3" s="1"/>
  <c r="AW73" i="3"/>
  <c r="AW79" i="3" s="1"/>
  <c r="AW69" i="3"/>
  <c r="AW75" i="3" s="1"/>
  <c r="AW71" i="3"/>
  <c r="AW77" i="3" s="1"/>
  <c r="AW72" i="3"/>
  <c r="AW78" i="3" s="1"/>
  <c r="BC17" i="1"/>
  <c r="BL119" i="5"/>
  <c r="BL120" i="5" s="1"/>
  <c r="BL121" i="5" s="1"/>
  <c r="BM118" i="5"/>
  <c r="BP4" i="3"/>
  <c r="BO16" i="3"/>
  <c r="BO17" i="3"/>
  <c r="BN32" i="6"/>
  <c r="BJ64" i="6"/>
  <c r="BJ65" i="6" s="1"/>
  <c r="BJ66" i="6" s="1"/>
  <c r="BJ67" i="6" s="1"/>
  <c r="BD22" i="1" s="1"/>
  <c r="BH1" i="4"/>
  <c r="BJ2" i="3"/>
  <c r="BK5" i="3"/>
  <c r="BM103" i="6"/>
  <c r="BN78" i="6"/>
  <c r="BG11" i="4"/>
  <c r="BT11" i="7"/>
  <c r="BN31" i="1" s="1"/>
  <c r="BL6" i="4"/>
  <c r="BN19" i="3"/>
  <c r="BN21" i="3" s="1"/>
  <c r="BL106" i="6"/>
  <c r="BL107" i="6" s="1"/>
  <c r="BL82" i="6"/>
  <c r="BM26" i="3"/>
  <c r="BM30" i="3"/>
  <c r="BM107" i="1"/>
  <c r="BN68" i="5"/>
  <c r="BO66" i="5"/>
  <c r="BN67" i="5"/>
  <c r="BK70" i="5"/>
  <c r="BK71" i="5" s="1"/>
  <c r="BK72" i="5" s="1"/>
  <c r="BJ73" i="5"/>
  <c r="BK113" i="5"/>
  <c r="BK114" i="5" s="1"/>
  <c r="BL88" i="5"/>
  <c r="BL89" i="5" s="1"/>
  <c r="BN86" i="6"/>
  <c r="BM87" i="6"/>
  <c r="BM88" i="6" s="1"/>
  <c r="BM92" i="6"/>
  <c r="BM93" i="6" s="1"/>
  <c r="BM94" i="6" s="1"/>
  <c r="BM143" i="6" s="1"/>
  <c r="BP93" i="5"/>
  <c r="BO94" i="5"/>
  <c r="BO96" i="6"/>
  <c r="BN98" i="6"/>
  <c r="BN100" i="6" s="1"/>
  <c r="BQ84" i="6"/>
  <c r="BP85" i="6"/>
  <c r="BL101" i="5"/>
  <c r="BL102" i="5" s="1"/>
  <c r="BL103" i="5" s="1"/>
  <c r="BM95" i="5"/>
  <c r="BL96" i="5"/>
  <c r="BL97" i="5" s="1"/>
  <c r="BP99" i="5"/>
  <c r="BA12" i="4"/>
  <c r="BB10" i="4"/>
  <c r="BA22" i="4"/>
  <c r="BA25" i="4" s="1"/>
  <c r="BA26" i="4" s="1"/>
  <c r="BN110" i="6"/>
  <c r="BN111" i="6" s="1"/>
  <c r="BN112" i="6" s="1"/>
  <c r="BO109" i="6"/>
  <c r="BL48" i="6"/>
  <c r="BL54" i="6" s="1"/>
  <c r="BL55" i="6" s="1"/>
  <c r="BM47" i="6"/>
  <c r="BP30" i="5"/>
  <c r="BJ104" i="6"/>
  <c r="BJ105" i="6" s="1"/>
  <c r="BJ108" i="6" s="1"/>
  <c r="BK79" i="6"/>
  <c r="BJ80" i="6"/>
  <c r="BJ95" i="6" s="1"/>
  <c r="BK61" i="6"/>
  <c r="BN43" i="6"/>
  <c r="BN44" i="6" s="1"/>
  <c r="BN45" i="6" s="1"/>
  <c r="BO42" i="6"/>
  <c r="BM110" i="5"/>
  <c r="BM111" i="5" s="1"/>
  <c r="BM85" i="5"/>
  <c r="BM86" i="5" s="1"/>
  <c r="BM26" i="5"/>
  <c r="BM18" i="5"/>
  <c r="BM23" i="5" s="1"/>
  <c r="BM24" i="5" s="1"/>
  <c r="BM81" i="6"/>
  <c r="BN16" i="5"/>
  <c r="BO15" i="5"/>
  <c r="BM73" i="6"/>
  <c r="BM75" i="6" s="1"/>
  <c r="BN71" i="6"/>
  <c r="BL82" i="5"/>
  <c r="BL84" i="5" s="1"/>
  <c r="BM80" i="5"/>
  <c r="BO107" i="5"/>
  <c r="BO109" i="5" s="1"/>
  <c r="BP105" i="5"/>
  <c r="BM134" i="6" l="1"/>
  <c r="BM126" i="6"/>
  <c r="BQ131" i="6"/>
  <c r="BP132" i="6"/>
  <c r="BP133" i="6" s="1"/>
  <c r="BO137" i="6"/>
  <c r="BP136" i="6"/>
  <c r="BM144" i="6"/>
  <c r="BN119" i="6"/>
  <c r="BN127" i="6" s="1"/>
  <c r="BN129" i="6" s="1"/>
  <c r="BN130" i="6" s="1"/>
  <c r="BN120" i="6"/>
  <c r="BP116" i="6"/>
  <c r="BO118" i="6"/>
  <c r="BR113" i="6"/>
  <c r="BQ115" i="6"/>
  <c r="BN122" i="6"/>
  <c r="BN123" i="6" s="1"/>
  <c r="BN124" i="6" s="1"/>
  <c r="BO121" i="6"/>
  <c r="BO31" i="6"/>
  <c r="BO37" i="6" s="1"/>
  <c r="BO30" i="6"/>
  <c r="BO38" i="6" s="1"/>
  <c r="BO40" i="6" s="1"/>
  <c r="BO41" i="6" s="1"/>
  <c r="BN9" i="6"/>
  <c r="BN33" i="6" s="1"/>
  <c r="BN34" i="6" s="1"/>
  <c r="BN35" i="6" s="1"/>
  <c r="BO8" i="6"/>
  <c r="BP29" i="6"/>
  <c r="BQ27" i="6"/>
  <c r="BM101" i="6"/>
  <c r="BM19" i="6"/>
  <c r="BM22" i="6" s="1"/>
  <c r="BM23" i="6" s="1"/>
  <c r="BM76" i="6"/>
  <c r="BM77" i="6" s="1"/>
  <c r="BK153" i="5"/>
  <c r="BH154" i="5"/>
  <c r="BJ13" i="1"/>
  <c r="BI14" i="1"/>
  <c r="BN54" i="5"/>
  <c r="BM56" i="5"/>
  <c r="BM59" i="5"/>
  <c r="BL63" i="5"/>
  <c r="BL64" i="5" s="1"/>
  <c r="BO34" i="5"/>
  <c r="BO38" i="5" s="1"/>
  <c r="BP33" i="5"/>
  <c r="BN130" i="5"/>
  <c r="BN41" i="5"/>
  <c r="AW39" i="3"/>
  <c r="AW40" i="3" s="1"/>
  <c r="AX36" i="3" s="1"/>
  <c r="BT40" i="5"/>
  <c r="BM61" i="5"/>
  <c r="BM62" i="5" s="1"/>
  <c r="BM63" i="5" s="1"/>
  <c r="BM58" i="5"/>
  <c r="BM60" i="5" s="1"/>
  <c r="BM46" i="5" s="1"/>
  <c r="BM48" i="5" s="1"/>
  <c r="BM49" i="5" s="1"/>
  <c r="BM53" i="5" s="1"/>
  <c r="BM90" i="5" s="1"/>
  <c r="BN57" i="5"/>
  <c r="BN36" i="5"/>
  <c r="BN39" i="5" s="1"/>
  <c r="BO35" i="5"/>
  <c r="BP51" i="5"/>
  <c r="BP52" i="5" s="1"/>
  <c r="BQ50" i="5"/>
  <c r="BM45" i="5"/>
  <c r="BL152" i="5"/>
  <c r="BL153" i="5" s="1"/>
  <c r="BM29" i="5"/>
  <c r="BM31" i="5" s="1"/>
  <c r="BM32" i="5" s="1"/>
  <c r="BM150" i="5"/>
  <c r="BM151" i="5" s="1"/>
  <c r="BM147" i="5"/>
  <c r="BM149" i="5" s="1"/>
  <c r="BM135" i="5" s="1"/>
  <c r="BM137" i="5" s="1"/>
  <c r="BM138" i="5" s="1"/>
  <c r="BM142" i="5" s="1"/>
  <c r="BM91" i="5" s="1"/>
  <c r="BN146" i="5"/>
  <c r="BO123" i="5"/>
  <c r="BO127" i="5" s="1"/>
  <c r="BP122" i="5"/>
  <c r="BD47" i="3"/>
  <c r="BM145" i="5"/>
  <c r="BM148" i="5"/>
  <c r="BN143" i="5"/>
  <c r="BO139" i="5"/>
  <c r="BN140" i="5"/>
  <c r="BN141" i="5" s="1"/>
  <c r="BP129" i="5"/>
  <c r="BN125" i="5"/>
  <c r="BN128" i="5" s="1"/>
  <c r="BO124" i="5"/>
  <c r="BM131" i="5"/>
  <c r="BM132" i="5" s="1"/>
  <c r="BM134" i="5" s="1"/>
  <c r="BB18" i="1"/>
  <c r="AV9" i="4"/>
  <c r="AU23" i="4"/>
  <c r="AU24" i="4" s="1"/>
  <c r="BI115" i="5"/>
  <c r="BI116" i="5" s="1"/>
  <c r="BI117" i="5" s="1"/>
  <c r="BI104" i="5"/>
  <c r="BI154" i="5" s="1"/>
  <c r="AZ58" i="3"/>
  <c r="AZ50" i="3"/>
  <c r="AZ59" i="3"/>
  <c r="AX27" i="3"/>
  <c r="AY24" i="3" s="1"/>
  <c r="AX37" i="3"/>
  <c r="BA46" i="3"/>
  <c r="BA48" i="3" s="1"/>
  <c r="BA18" i="1"/>
  <c r="BA35" i="1" s="1"/>
  <c r="BA37" i="1" s="1"/>
  <c r="BO22" i="5"/>
  <c r="BP19" i="5"/>
  <c r="AY25" i="3"/>
  <c r="AW2" i="4" s="1"/>
  <c r="AY31" i="3"/>
  <c r="AY32" i="3" s="1"/>
  <c r="AY106" i="1"/>
  <c r="AY29" i="3"/>
  <c r="AY57" i="3"/>
  <c r="AX69" i="3"/>
  <c r="AX75" i="3" s="1"/>
  <c r="AX70" i="3"/>
  <c r="AX76" i="3" s="1"/>
  <c r="AX71" i="3"/>
  <c r="AX77" i="3" s="1"/>
  <c r="AX73" i="3"/>
  <c r="AX79" i="3" s="1"/>
  <c r="AX72" i="3"/>
  <c r="AX78" i="3" s="1"/>
  <c r="BO16" i="5"/>
  <c r="BO41" i="5" s="1"/>
  <c r="BP15" i="5"/>
  <c r="BO43" i="6"/>
  <c r="BO44" i="6" s="1"/>
  <c r="BO45" i="6" s="1"/>
  <c r="BP42" i="6"/>
  <c r="BL61" i="6"/>
  <c r="BL62" i="6" s="1"/>
  <c r="BL63" i="6" s="1"/>
  <c r="BP107" i="5"/>
  <c r="BP109" i="5" s="1"/>
  <c r="BQ105" i="5"/>
  <c r="BQ99" i="5"/>
  <c r="BU11" i="7"/>
  <c r="BO31" i="1" s="1"/>
  <c r="BM6" i="4"/>
  <c r="BO19" i="3"/>
  <c r="BO21" i="3" s="1"/>
  <c r="BN81" i="6"/>
  <c r="BO110" i="6"/>
  <c r="BO111" i="6" s="1"/>
  <c r="BO112" i="6" s="1"/>
  <c r="BP109" i="6"/>
  <c r="BO98" i="6"/>
  <c r="BO100" i="6" s="1"/>
  <c r="BP96" i="6"/>
  <c r="BM106" i="6"/>
  <c r="BM107" i="6" s="1"/>
  <c r="BM82" i="6"/>
  <c r="BQ93" i="5"/>
  <c r="BP94" i="5"/>
  <c r="BH11" i="4"/>
  <c r="BI1" i="4"/>
  <c r="BK2" i="3"/>
  <c r="BL5" i="3"/>
  <c r="BK104" i="6"/>
  <c r="BK105" i="6" s="1"/>
  <c r="BK108" i="6" s="1"/>
  <c r="BL79" i="6"/>
  <c r="BK80" i="6"/>
  <c r="BK95" i="6" s="1"/>
  <c r="BM82" i="5"/>
  <c r="BM84" i="5" s="1"/>
  <c r="BN80" i="5"/>
  <c r="BQ30" i="5"/>
  <c r="BC10" i="4"/>
  <c r="BB12" i="4"/>
  <c r="BB22" i="4"/>
  <c r="BB25" i="4" s="1"/>
  <c r="BB26" i="4" s="1"/>
  <c r="BM101" i="5"/>
  <c r="BM102" i="5" s="1"/>
  <c r="BM103" i="5" s="1"/>
  <c r="BN95" i="5"/>
  <c r="BM96" i="5"/>
  <c r="BM97" i="5" s="1"/>
  <c r="BO86" i="6"/>
  <c r="BN87" i="6"/>
  <c r="BN88" i="6" s="1"/>
  <c r="BN92" i="6"/>
  <c r="BN93" i="6" s="1"/>
  <c r="BN94" i="6" s="1"/>
  <c r="BN143" i="6" s="1"/>
  <c r="BK73" i="5"/>
  <c r="BO67" i="5"/>
  <c r="BO68" i="5"/>
  <c r="BP66" i="5"/>
  <c r="BM119" i="5"/>
  <c r="BM120" i="5" s="1"/>
  <c r="BM121" i="5" s="1"/>
  <c r="BN118" i="5"/>
  <c r="BR84" i="6"/>
  <c r="BQ85" i="6"/>
  <c r="BN110" i="5"/>
  <c r="BN111" i="5" s="1"/>
  <c r="BN85" i="5"/>
  <c r="BN86" i="5" s="1"/>
  <c r="BN26" i="5"/>
  <c r="BN18" i="5"/>
  <c r="BN23" i="5" s="1"/>
  <c r="BN24" i="5" s="1"/>
  <c r="BP16" i="3"/>
  <c r="BQ4" i="3"/>
  <c r="BP17" i="3"/>
  <c r="BL113" i="5"/>
  <c r="BL114" i="5" s="1"/>
  <c r="BM88" i="5"/>
  <c r="BM89" i="5" s="1"/>
  <c r="BL70" i="5"/>
  <c r="BL71" i="5" s="1"/>
  <c r="BL72" i="5" s="1"/>
  <c r="BC47" i="3"/>
  <c r="BC23" i="1"/>
  <c r="BC36" i="1" s="1"/>
  <c r="BO71" i="6"/>
  <c r="BN73" i="6"/>
  <c r="BN75" i="6" s="1"/>
  <c r="BK62" i="6"/>
  <c r="BK63" i="6" s="1"/>
  <c r="BK64" i="6" s="1"/>
  <c r="BN47" i="6"/>
  <c r="BM48" i="6"/>
  <c r="BM54" i="6" s="1"/>
  <c r="BM55" i="6" s="1"/>
  <c r="BJ74" i="5"/>
  <c r="BJ75" i="5" s="1"/>
  <c r="BJ76" i="5" s="1"/>
  <c r="BJ77" i="5" s="1"/>
  <c r="BN69" i="5"/>
  <c r="BN26" i="3"/>
  <c r="BN30" i="3"/>
  <c r="BN107" i="1"/>
  <c r="BN103" i="6"/>
  <c r="BO78" i="6"/>
  <c r="BO32" i="6"/>
  <c r="BN126" i="6" l="1"/>
  <c r="BN134" i="6"/>
  <c r="BN144" i="6" s="1"/>
  <c r="BP121" i="6"/>
  <c r="BO122" i="6"/>
  <c r="BO123" i="6" s="1"/>
  <c r="BO124" i="6" s="1"/>
  <c r="BQ136" i="6"/>
  <c r="BP137" i="6"/>
  <c r="BR115" i="6"/>
  <c r="BS113" i="6"/>
  <c r="BO120" i="6"/>
  <c r="BO119" i="6"/>
  <c r="BO127" i="6" s="1"/>
  <c r="BO129" i="6" s="1"/>
  <c r="BO130" i="6" s="1"/>
  <c r="BQ132" i="6"/>
  <c r="BQ133" i="6" s="1"/>
  <c r="BR131" i="6"/>
  <c r="BQ116" i="6"/>
  <c r="BP118" i="6"/>
  <c r="BN76" i="6"/>
  <c r="BN77" i="6" s="1"/>
  <c r="BN101" i="6"/>
  <c r="BN19" i="6"/>
  <c r="BN22" i="6" s="1"/>
  <c r="BN23" i="6" s="1"/>
  <c r="BQ29" i="6"/>
  <c r="BR27" i="6"/>
  <c r="BP31" i="6"/>
  <c r="BP37" i="6" s="1"/>
  <c r="BP30" i="6"/>
  <c r="BP38" i="6" s="1"/>
  <c r="BP40" i="6" s="1"/>
  <c r="BP41" i="6" s="1"/>
  <c r="BO9" i="6"/>
  <c r="BP8" i="6"/>
  <c r="BJ14" i="1"/>
  <c r="BK13" i="1"/>
  <c r="AX39" i="3"/>
  <c r="AX40" i="3" s="1"/>
  <c r="AY36" i="3" s="1"/>
  <c r="BM64" i="5"/>
  <c r="BP34" i="5"/>
  <c r="BP38" i="5" s="1"/>
  <c r="BQ33" i="5"/>
  <c r="BN56" i="5"/>
  <c r="BN59" i="5"/>
  <c r="BO54" i="5"/>
  <c r="BO36" i="5"/>
  <c r="BO39" i="5" s="1"/>
  <c r="BP35" i="5"/>
  <c r="BQ51" i="5"/>
  <c r="BQ52" i="5" s="1"/>
  <c r="BR50" i="5"/>
  <c r="BN42" i="5"/>
  <c r="BN43" i="5" s="1"/>
  <c r="BN45" i="5" s="1"/>
  <c r="BU40" i="5"/>
  <c r="BN61" i="5"/>
  <c r="BN62" i="5" s="1"/>
  <c r="BN58" i="5"/>
  <c r="BN60" i="5" s="1"/>
  <c r="BN46" i="5" s="1"/>
  <c r="BN48" i="5" s="1"/>
  <c r="BN49" i="5" s="1"/>
  <c r="BN53" i="5" s="1"/>
  <c r="BN90" i="5" s="1"/>
  <c r="BO57" i="5"/>
  <c r="BO69" i="5"/>
  <c r="BN29" i="5"/>
  <c r="BN31" i="5" s="1"/>
  <c r="BN32" i="5" s="1"/>
  <c r="BO146" i="5"/>
  <c r="BN147" i="5"/>
  <c r="BN149" i="5" s="1"/>
  <c r="BN135" i="5" s="1"/>
  <c r="BN137" i="5" s="1"/>
  <c r="BN138" i="5" s="1"/>
  <c r="BN142" i="5" s="1"/>
  <c r="BN91" i="5" s="1"/>
  <c r="BN150" i="5"/>
  <c r="BN151" i="5" s="1"/>
  <c r="BM152" i="5"/>
  <c r="BM153" i="5" s="1"/>
  <c r="BO130" i="5"/>
  <c r="BD23" i="1"/>
  <c r="BD36" i="1" s="1"/>
  <c r="BP123" i="5"/>
  <c r="BP127" i="5" s="1"/>
  <c r="BQ122" i="5"/>
  <c r="BB46" i="3"/>
  <c r="BB48" i="3" s="1"/>
  <c r="BB59" i="3" s="1"/>
  <c r="BO125" i="5"/>
  <c r="BO128" i="5" s="1"/>
  <c r="BP124" i="5"/>
  <c r="BP139" i="5"/>
  <c r="BO140" i="5"/>
  <c r="BO141" i="5" s="1"/>
  <c r="BN148" i="5"/>
  <c r="BO143" i="5"/>
  <c r="BN145" i="5"/>
  <c r="BN131" i="5"/>
  <c r="BN132" i="5" s="1"/>
  <c r="BN134" i="5" s="1"/>
  <c r="BQ129" i="5"/>
  <c r="BA59" i="3"/>
  <c r="BA58" i="3"/>
  <c r="BA50" i="3"/>
  <c r="BP22" i="5"/>
  <c r="BQ19" i="5"/>
  <c r="BD17" i="1"/>
  <c r="AZ29" i="3"/>
  <c r="AZ106" i="1"/>
  <c r="AZ31" i="3"/>
  <c r="AZ32" i="3" s="1"/>
  <c r="AZ57" i="3"/>
  <c r="AZ25" i="3"/>
  <c r="AX2" i="4" s="1"/>
  <c r="AY27" i="3"/>
  <c r="AZ24" i="3" s="1"/>
  <c r="AY37" i="3"/>
  <c r="AY69" i="3"/>
  <c r="AY75" i="3" s="1"/>
  <c r="AY70" i="3"/>
  <c r="AY76" i="3" s="1"/>
  <c r="AY73" i="3"/>
  <c r="AY79" i="3" s="1"/>
  <c r="AY72" i="3"/>
  <c r="AY78" i="3" s="1"/>
  <c r="AY71" i="3"/>
  <c r="AY77" i="3" s="1"/>
  <c r="AV23" i="4"/>
  <c r="AV24" i="4" s="1"/>
  <c r="AW9" i="4"/>
  <c r="BB35" i="1"/>
  <c r="BB37" i="1" s="1"/>
  <c r="BJ115" i="5"/>
  <c r="BJ116" i="5" s="1"/>
  <c r="BJ117" i="5" s="1"/>
  <c r="BJ104" i="5"/>
  <c r="BJ154" i="5" s="1"/>
  <c r="BE47" i="3"/>
  <c r="BN106" i="6"/>
  <c r="BN107" i="6" s="1"/>
  <c r="BN82" i="6"/>
  <c r="BQ107" i="5"/>
  <c r="BQ109" i="5" s="1"/>
  <c r="BR105" i="5"/>
  <c r="BP32" i="6"/>
  <c r="BP16" i="5"/>
  <c r="BP41" i="5" s="1"/>
  <c r="BQ15" i="5"/>
  <c r="BS84" i="6"/>
  <c r="BR85" i="6"/>
  <c r="BC22" i="4"/>
  <c r="BC25" i="4" s="1"/>
  <c r="BC26" i="4" s="1"/>
  <c r="BD10" i="4"/>
  <c r="BC12" i="4"/>
  <c r="BO73" i="6"/>
  <c r="BO75" i="6" s="1"/>
  <c r="BP71" i="6"/>
  <c r="BN119" i="5"/>
  <c r="BN120" i="5" s="1"/>
  <c r="BN121" i="5" s="1"/>
  <c r="BO118" i="5"/>
  <c r="BI11" i="4"/>
  <c r="BR99" i="5"/>
  <c r="BP86" i="6"/>
  <c r="BO87" i="6"/>
  <c r="BO88" i="6" s="1"/>
  <c r="BO92" i="6"/>
  <c r="BO93" i="6" s="1"/>
  <c r="BO94" i="6" s="1"/>
  <c r="BO143" i="6" s="1"/>
  <c r="BN96" i="5"/>
  <c r="BN97" i="5" s="1"/>
  <c r="BN101" i="5"/>
  <c r="BN102" i="5" s="1"/>
  <c r="BN103" i="5" s="1"/>
  <c r="BO95" i="5"/>
  <c r="BR93" i="5"/>
  <c r="BQ94" i="5"/>
  <c r="BQ17" i="3"/>
  <c r="BR4" i="3"/>
  <c r="BQ16" i="3"/>
  <c r="BQ96" i="6"/>
  <c r="BP98" i="6"/>
  <c r="BP100" i="6" s="1"/>
  <c r="BO26" i="3"/>
  <c r="BO30" i="3"/>
  <c r="BO107" i="1"/>
  <c r="BO110" i="5"/>
  <c r="BO111" i="5" s="1"/>
  <c r="BO85" i="5"/>
  <c r="BO86" i="5" s="1"/>
  <c r="BO26" i="5"/>
  <c r="BO18" i="5"/>
  <c r="BO23" i="5" s="1"/>
  <c r="BO24" i="5" s="1"/>
  <c r="BL64" i="6"/>
  <c r="BM70" i="5"/>
  <c r="BN82" i="5"/>
  <c r="BN84" i="5" s="1"/>
  <c r="BO80" i="5"/>
  <c r="BM61" i="6"/>
  <c r="BM62" i="6" s="1"/>
  <c r="BM63" i="6" s="1"/>
  <c r="BL104" i="6"/>
  <c r="BL105" i="6" s="1"/>
  <c r="BL108" i="6" s="1"/>
  <c r="BM79" i="6"/>
  <c r="BL80" i="6"/>
  <c r="BL95" i="6" s="1"/>
  <c r="BV11" i="7"/>
  <c r="BP31" i="1" s="1"/>
  <c r="BN6" i="4"/>
  <c r="BP19" i="3"/>
  <c r="BP21" i="3" s="1"/>
  <c r="BL73" i="5"/>
  <c r="BQ42" i="6"/>
  <c r="BP43" i="6"/>
  <c r="BP44" i="6" s="1"/>
  <c r="BO47" i="6"/>
  <c r="BN48" i="6"/>
  <c r="BN54" i="6" s="1"/>
  <c r="BN55" i="6" s="1"/>
  <c r="BM113" i="5"/>
  <c r="BM114" i="5" s="1"/>
  <c r="BN88" i="5"/>
  <c r="BN89" i="5" s="1"/>
  <c r="BP68" i="5"/>
  <c r="BP67" i="5"/>
  <c r="BQ66" i="5"/>
  <c r="BR30" i="5"/>
  <c r="BO103" i="6"/>
  <c r="BP78" i="6"/>
  <c r="BK74" i="5"/>
  <c r="BK75" i="5" s="1"/>
  <c r="BK76" i="5" s="1"/>
  <c r="BK77" i="5" s="1"/>
  <c r="BJ1" i="4"/>
  <c r="BM5" i="3"/>
  <c r="BL2" i="3"/>
  <c r="BK65" i="6"/>
  <c r="BK66" i="6" s="1"/>
  <c r="BK67" i="6" s="1"/>
  <c r="BE22" i="1" s="1"/>
  <c r="BP110" i="6"/>
  <c r="BP111" i="6" s="1"/>
  <c r="BP112" i="6" s="1"/>
  <c r="BQ109" i="6"/>
  <c r="BO81" i="6"/>
  <c r="BO134" i="6" l="1"/>
  <c r="BO126" i="6"/>
  <c r="BT113" i="6"/>
  <c r="BS115" i="6"/>
  <c r="BR116" i="6"/>
  <c r="BQ118" i="6"/>
  <c r="BR132" i="6"/>
  <c r="BR133" i="6" s="1"/>
  <c r="BS131" i="6"/>
  <c r="BR136" i="6"/>
  <c r="BQ137" i="6"/>
  <c r="BP120" i="6"/>
  <c r="BP119" i="6"/>
  <c r="BP127" i="6" s="1"/>
  <c r="BP129" i="6" s="1"/>
  <c r="BP130" i="6" s="1"/>
  <c r="BO144" i="6"/>
  <c r="BQ121" i="6"/>
  <c r="BP122" i="6"/>
  <c r="BP123" i="6" s="1"/>
  <c r="BP124" i="6" s="1"/>
  <c r="BP45" i="6"/>
  <c r="BO101" i="6"/>
  <c r="BO76" i="6"/>
  <c r="BO77" i="6" s="1"/>
  <c r="BO19" i="6"/>
  <c r="BO22" i="6" s="1"/>
  <c r="BO23" i="6" s="1"/>
  <c r="AY39" i="3"/>
  <c r="AY40" i="3" s="1"/>
  <c r="AZ36" i="3" s="1"/>
  <c r="BQ30" i="6"/>
  <c r="BQ38" i="6" s="1"/>
  <c r="BQ40" i="6" s="1"/>
  <c r="BQ41" i="6" s="1"/>
  <c r="BQ31" i="6"/>
  <c r="BQ37" i="6" s="1"/>
  <c r="BS27" i="6"/>
  <c r="BR29" i="6"/>
  <c r="BO33" i="6"/>
  <c r="BO34" i="6" s="1"/>
  <c r="BO35" i="6" s="1"/>
  <c r="BQ8" i="6"/>
  <c r="BP9" i="6"/>
  <c r="BL13" i="1"/>
  <c r="BK14" i="1"/>
  <c r="BP54" i="5"/>
  <c r="BO56" i="5"/>
  <c r="BO59" i="5"/>
  <c r="BQ34" i="5"/>
  <c r="BQ38" i="5" s="1"/>
  <c r="BR33" i="5"/>
  <c r="BN63" i="5"/>
  <c r="BN64" i="5" s="1"/>
  <c r="BP36" i="5"/>
  <c r="BP39" i="5" s="1"/>
  <c r="BQ35" i="5"/>
  <c r="BO42" i="5"/>
  <c r="BO43" i="5" s="1"/>
  <c r="BO45" i="5"/>
  <c r="BP57" i="5"/>
  <c r="BO61" i="5"/>
  <c r="BO62" i="5" s="1"/>
  <c r="BO63" i="5" s="1"/>
  <c r="BO58" i="5"/>
  <c r="BO60" i="5" s="1"/>
  <c r="BO46" i="5" s="1"/>
  <c r="BO48" i="5" s="1"/>
  <c r="BO49" i="5" s="1"/>
  <c r="BO53" i="5" s="1"/>
  <c r="BO90" i="5" s="1"/>
  <c r="BR51" i="5"/>
  <c r="BR52" i="5" s="1"/>
  <c r="BS50" i="5"/>
  <c r="BV40" i="5"/>
  <c r="BN152" i="5"/>
  <c r="BO29" i="5"/>
  <c r="BO31" i="5" s="1"/>
  <c r="BO32" i="5" s="1"/>
  <c r="BO147" i="5"/>
  <c r="BO149" i="5" s="1"/>
  <c r="BO135" i="5" s="1"/>
  <c r="BO137" i="5" s="1"/>
  <c r="BO138" i="5" s="1"/>
  <c r="BO142" i="5" s="1"/>
  <c r="BO91" i="5" s="1"/>
  <c r="BO150" i="5"/>
  <c r="BO151" i="5" s="1"/>
  <c r="BP146" i="5"/>
  <c r="BP130" i="5"/>
  <c r="BQ123" i="5"/>
  <c r="BQ127" i="5" s="1"/>
  <c r="BR122" i="5"/>
  <c r="BO131" i="5"/>
  <c r="BO132" i="5" s="1"/>
  <c r="BO134" i="5" s="1"/>
  <c r="BN153" i="5"/>
  <c r="BB50" i="3"/>
  <c r="BB58" i="3"/>
  <c r="BP140" i="5"/>
  <c r="BP141" i="5" s="1"/>
  <c r="BQ139" i="5"/>
  <c r="BO148" i="5"/>
  <c r="BP143" i="5"/>
  <c r="BO145" i="5"/>
  <c r="BQ124" i="5"/>
  <c r="BP125" i="5"/>
  <c r="BP128" i="5" s="1"/>
  <c r="BR129" i="5"/>
  <c r="BD18" i="1"/>
  <c r="BE23" i="1"/>
  <c r="BE36" i="1" s="1"/>
  <c r="BP69" i="5"/>
  <c r="BC46" i="3"/>
  <c r="BC48" i="3" s="1"/>
  <c r="BC18" i="1"/>
  <c r="BC35" i="1" s="1"/>
  <c r="BC37" i="1" s="1"/>
  <c r="BK115" i="5"/>
  <c r="BK116" i="5" s="1"/>
  <c r="BK117" i="5" s="1"/>
  <c r="BK104" i="5"/>
  <c r="BA25" i="3"/>
  <c r="AY2" i="4" s="1"/>
  <c r="BA57" i="3"/>
  <c r="BA29" i="3"/>
  <c r="BA31" i="3"/>
  <c r="BA32" i="3" s="1"/>
  <c r="BA106" i="1"/>
  <c r="AW23" i="4"/>
  <c r="AW24" i="4" s="1"/>
  <c r="AX9" i="4"/>
  <c r="BQ22" i="5"/>
  <c r="G22" i="5" s="1"/>
  <c r="BR19" i="5"/>
  <c r="BE17" i="1"/>
  <c r="AZ27" i="3"/>
  <c r="BA24" i="3" s="1"/>
  <c r="AZ37" i="3"/>
  <c r="AZ73" i="3"/>
  <c r="AZ79" i="3" s="1"/>
  <c r="AZ69" i="3"/>
  <c r="AZ75" i="3" s="1"/>
  <c r="AZ71" i="3"/>
  <c r="AZ77" i="3" s="1"/>
  <c r="AZ70" i="3"/>
  <c r="AZ76" i="3" s="1"/>
  <c r="AZ72" i="3"/>
  <c r="AZ78" i="3" s="1"/>
  <c r="BM64" i="6"/>
  <c r="BM65" i="6" s="1"/>
  <c r="BM66" i="6" s="1"/>
  <c r="BM67" i="6" s="1"/>
  <c r="BG22" i="1" s="1"/>
  <c r="BO96" i="5"/>
  <c r="BO97" i="5" s="1"/>
  <c r="BO101" i="5"/>
  <c r="BO102" i="5" s="1"/>
  <c r="BO103" i="5" s="1"/>
  <c r="BP95" i="5"/>
  <c r="BD22" i="4"/>
  <c r="BD25" i="4" s="1"/>
  <c r="BD26" i="4" s="1"/>
  <c r="BE10" i="4"/>
  <c r="BD12" i="4"/>
  <c r="BQ110" i="6"/>
  <c r="BQ111" i="6" s="1"/>
  <c r="BQ112" i="6" s="1"/>
  <c r="BR109" i="6"/>
  <c r="BP103" i="6"/>
  <c r="BQ78" i="6"/>
  <c r="BP47" i="6"/>
  <c r="BO48" i="6"/>
  <c r="BO54" i="6" s="1"/>
  <c r="BO55" i="6" s="1"/>
  <c r="BQ98" i="6"/>
  <c r="BQ100" i="6" s="1"/>
  <c r="BR96" i="6"/>
  <c r="BS93" i="5"/>
  <c r="BR94" i="5"/>
  <c r="BQ86" i="6"/>
  <c r="BP92" i="6"/>
  <c r="BP93" i="6" s="1"/>
  <c r="BP94" i="6" s="1"/>
  <c r="BP143" i="6" s="1"/>
  <c r="BP87" i="6"/>
  <c r="BP88" i="6" s="1"/>
  <c r="BM104" i="6"/>
  <c r="BM105" i="6" s="1"/>
  <c r="BM108" i="6" s="1"/>
  <c r="BN79" i="6"/>
  <c r="BM80" i="6"/>
  <c r="BM95" i="6" s="1"/>
  <c r="BP33" i="6"/>
  <c r="BP34" i="6" s="1"/>
  <c r="BP35" i="6" s="1"/>
  <c r="BQ32" i="6"/>
  <c r="BL65" i="6"/>
  <c r="BL66" i="6" s="1"/>
  <c r="BL67" i="6" s="1"/>
  <c r="BF22" i="1" s="1"/>
  <c r="BP73" i="6"/>
  <c r="BP75" i="6" s="1"/>
  <c r="BQ71" i="6"/>
  <c r="BM2" i="3"/>
  <c r="BK1" i="4"/>
  <c r="BN5" i="3"/>
  <c r="BT84" i="6"/>
  <c r="BS85" i="6"/>
  <c r="BO106" i="6"/>
  <c r="BO107" i="6" s="1"/>
  <c r="BO82" i="6"/>
  <c r="BS30" i="5"/>
  <c r="BN113" i="5"/>
  <c r="BN114" i="5" s="1"/>
  <c r="BO88" i="5"/>
  <c r="BO89" i="5" s="1"/>
  <c r="BQ43" i="6"/>
  <c r="BQ44" i="6" s="1"/>
  <c r="BR42" i="6"/>
  <c r="BP107" i="1"/>
  <c r="BP30" i="3"/>
  <c r="BP26" i="3"/>
  <c r="BR17" i="3"/>
  <c r="BR16" i="3"/>
  <c r="BS4" i="3"/>
  <c r="BP118" i="5"/>
  <c r="BO119" i="5"/>
  <c r="BO120" i="5" s="1"/>
  <c r="BO121" i="5" s="1"/>
  <c r="BS99" i="5"/>
  <c r="BN70" i="5"/>
  <c r="BN71" i="5" s="1"/>
  <c r="BN72" i="5" s="1"/>
  <c r="BJ11" i="4"/>
  <c r="BP81" i="6"/>
  <c r="BW11" i="7"/>
  <c r="BQ31" i="1" s="1"/>
  <c r="BO6" i="4"/>
  <c r="BQ19" i="3"/>
  <c r="BQ21" i="3" s="1"/>
  <c r="BQ16" i="5"/>
  <c r="BQ41" i="5" s="1"/>
  <c r="BR15" i="5"/>
  <c r="BP80" i="5"/>
  <c r="BO82" i="5"/>
  <c r="BO84" i="5" s="1"/>
  <c r="BN61" i="6"/>
  <c r="BR107" i="5"/>
  <c r="BR109" i="5" s="1"/>
  <c r="BS105" i="5"/>
  <c r="BL74" i="5"/>
  <c r="BL75" i="5" s="1"/>
  <c r="BL76" i="5" s="1"/>
  <c r="BL77" i="5" s="1"/>
  <c r="BM71" i="5"/>
  <c r="BM72" i="5" s="1"/>
  <c r="BM73" i="5" s="1"/>
  <c r="BR66" i="5"/>
  <c r="BQ68" i="5"/>
  <c r="BQ67" i="5"/>
  <c r="BP110" i="5"/>
  <c r="BP111" i="5" s="1"/>
  <c r="BP85" i="5"/>
  <c r="BP86" i="5" s="1"/>
  <c r="BP18" i="5"/>
  <c r="BP23" i="5" s="1"/>
  <c r="BP24" i="5" s="1"/>
  <c r="BP26" i="5"/>
  <c r="BP134" i="6" l="1"/>
  <c r="BP126" i="6"/>
  <c r="BQ120" i="6"/>
  <c r="BQ119" i="6"/>
  <c r="BQ127" i="6" s="1"/>
  <c r="BQ129" i="6" s="1"/>
  <c r="BQ130" i="6" s="1"/>
  <c r="BS136" i="6"/>
  <c r="BR137" i="6"/>
  <c r="BT131" i="6"/>
  <c r="BS132" i="6"/>
  <c r="BS133" i="6" s="1"/>
  <c r="BR121" i="6"/>
  <c r="BQ122" i="6"/>
  <c r="BQ123" i="6" s="1"/>
  <c r="BQ124" i="6" s="1"/>
  <c r="BS116" i="6"/>
  <c r="BR118" i="6"/>
  <c r="BU113" i="6"/>
  <c r="BT115" i="6"/>
  <c r="BQ45" i="6"/>
  <c r="BQ81" i="6" s="1"/>
  <c r="BS29" i="6"/>
  <c r="BT27" i="6"/>
  <c r="BP101" i="6"/>
  <c r="BP76" i="6"/>
  <c r="BP77" i="6" s="1"/>
  <c r="BP19" i="6"/>
  <c r="BP22" i="6" s="1"/>
  <c r="BP23" i="6" s="1"/>
  <c r="BR8" i="6"/>
  <c r="BQ9" i="6"/>
  <c r="BQ33" i="6" s="1"/>
  <c r="BQ34" i="6" s="1"/>
  <c r="BQ35" i="6" s="1"/>
  <c r="BR30" i="6"/>
  <c r="BR38" i="6" s="1"/>
  <c r="BR40" i="6" s="1"/>
  <c r="BR41" i="6" s="1"/>
  <c r="BR31" i="6"/>
  <c r="BR37" i="6" s="1"/>
  <c r="BK154" i="5"/>
  <c r="BM13" i="1"/>
  <c r="BL14" i="1"/>
  <c r="BO64" i="5"/>
  <c r="BR34" i="5"/>
  <c r="BR38" i="5" s="1"/>
  <c r="BS33" i="5"/>
  <c r="BP42" i="5"/>
  <c r="BP43" i="5" s="1"/>
  <c r="BP45" i="5" s="1"/>
  <c r="BP56" i="5"/>
  <c r="BQ54" i="5"/>
  <c r="BP59" i="5"/>
  <c r="BW40" i="5"/>
  <c r="BQ57" i="5"/>
  <c r="BP61" i="5"/>
  <c r="BP62" i="5" s="1"/>
  <c r="BP63" i="5" s="1"/>
  <c r="BP58" i="5"/>
  <c r="BP60" i="5" s="1"/>
  <c r="BP46" i="5" s="1"/>
  <c r="BP48" i="5" s="1"/>
  <c r="BP49" i="5" s="1"/>
  <c r="BP53" i="5" s="1"/>
  <c r="BP90" i="5" s="1"/>
  <c r="BT50" i="5"/>
  <c r="BS51" i="5"/>
  <c r="BS52" i="5" s="1"/>
  <c r="BR35" i="5"/>
  <c r="BQ36" i="5"/>
  <c r="BQ39" i="5" s="1"/>
  <c r="BP131" i="5"/>
  <c r="BP132" i="5" s="1"/>
  <c r="BP29" i="5"/>
  <c r="BP31" i="5" s="1"/>
  <c r="BP32" i="5" s="1"/>
  <c r="BP150" i="5"/>
  <c r="BP151" i="5" s="1"/>
  <c r="BP147" i="5"/>
  <c r="BP149" i="5" s="1"/>
  <c r="BP135" i="5" s="1"/>
  <c r="BP137" i="5" s="1"/>
  <c r="BP138" i="5" s="1"/>
  <c r="BP142" i="5" s="1"/>
  <c r="BP91" i="5" s="1"/>
  <c r="BQ146" i="5"/>
  <c r="BE46" i="3"/>
  <c r="BE48" i="3" s="1"/>
  <c r="BQ130" i="5"/>
  <c r="BO152" i="5"/>
  <c r="BO153" i="5" s="1"/>
  <c r="BD46" i="3"/>
  <c r="BD48" i="3" s="1"/>
  <c r="BD50" i="3" s="1"/>
  <c r="BP134" i="5"/>
  <c r="BS122" i="5"/>
  <c r="BR123" i="5"/>
  <c r="BR127" i="5" s="1"/>
  <c r="BB25" i="3"/>
  <c r="AZ2" i="4" s="1"/>
  <c r="BB29" i="3"/>
  <c r="BB57" i="3"/>
  <c r="BB31" i="3"/>
  <c r="BB32" i="3" s="1"/>
  <c r="BB106" i="1"/>
  <c r="BR124" i="5"/>
  <c r="BQ125" i="5"/>
  <c r="BQ128" i="5" s="1"/>
  <c r="BS129" i="5"/>
  <c r="BQ140" i="5"/>
  <c r="BQ141" i="5" s="1"/>
  <c r="BR139" i="5"/>
  <c r="BP148" i="5"/>
  <c r="BP145" i="5"/>
  <c r="BQ143" i="5"/>
  <c r="AZ39" i="3"/>
  <c r="AZ40" i="3" s="1"/>
  <c r="BA36" i="3" s="1"/>
  <c r="BC50" i="3"/>
  <c r="BC58" i="3"/>
  <c r="BC59" i="3"/>
  <c r="BA70" i="3"/>
  <c r="BA76" i="3" s="1"/>
  <c r="BA71" i="3"/>
  <c r="BA77" i="3" s="1"/>
  <c r="BA72" i="3"/>
  <c r="BA78" i="3" s="1"/>
  <c r="BA73" i="3"/>
  <c r="BA79" i="3" s="1"/>
  <c r="BA69" i="3"/>
  <c r="BA75" i="3" s="1"/>
  <c r="BD35" i="1"/>
  <c r="BD37" i="1" s="1"/>
  <c r="BF17" i="1"/>
  <c r="BS19" i="5"/>
  <c r="BR22" i="5"/>
  <c r="BA27" i="3"/>
  <c r="BB24" i="3" s="1"/>
  <c r="BA37" i="3"/>
  <c r="AY9" i="4"/>
  <c r="AX23" i="4"/>
  <c r="AX24" i="4" s="1"/>
  <c r="BL115" i="5"/>
  <c r="BL116" i="5" s="1"/>
  <c r="BL117" i="5" s="1"/>
  <c r="BL104" i="5"/>
  <c r="BL154" i="5" s="1"/>
  <c r="BN73" i="5"/>
  <c r="BN74" i="5" s="1"/>
  <c r="BN75" i="5" s="1"/>
  <c r="BN76" i="5" s="1"/>
  <c r="BN77" i="5" s="1"/>
  <c r="BM74" i="5"/>
  <c r="BM75" i="5" s="1"/>
  <c r="BM76" i="5" s="1"/>
  <c r="BM77" i="5" s="1"/>
  <c r="BT99" i="5"/>
  <c r="BF47" i="3"/>
  <c r="BF23" i="1"/>
  <c r="BF36" i="1" s="1"/>
  <c r="BQ103" i="6"/>
  <c r="BR78" i="6"/>
  <c r="BS42" i="6"/>
  <c r="BR43" i="6"/>
  <c r="BR44" i="6" s="1"/>
  <c r="BR45" i="6" s="1"/>
  <c r="BS15" i="5"/>
  <c r="BR16" i="5"/>
  <c r="BR41" i="5" s="1"/>
  <c r="BR110" i="6"/>
  <c r="BR111" i="6" s="1"/>
  <c r="BR112" i="6" s="1"/>
  <c r="BS109" i="6"/>
  <c r="BS107" i="5"/>
  <c r="BS109" i="5" s="1"/>
  <c r="BT105" i="5"/>
  <c r="BT30" i="5"/>
  <c r="BU84" i="6"/>
  <c r="BT85" i="6"/>
  <c r="BQ73" i="6"/>
  <c r="BQ75" i="6" s="1"/>
  <c r="BR71" i="6"/>
  <c r="BS66" i="5"/>
  <c r="BR67" i="5"/>
  <c r="BR68" i="5"/>
  <c r="BO61" i="6"/>
  <c r="BS96" i="6"/>
  <c r="BR98" i="6"/>
  <c r="BR100" i="6" s="1"/>
  <c r="BE22" i="4"/>
  <c r="BE25" i="4" s="1"/>
  <c r="BE26" i="4" s="1"/>
  <c r="BF10" i="4"/>
  <c r="BE12" i="4"/>
  <c r="BO70" i="5"/>
  <c r="BO71" i="5" s="1"/>
  <c r="BO72" i="5" s="1"/>
  <c r="BN2" i="3"/>
  <c r="BL1" i="4"/>
  <c r="BO5" i="3"/>
  <c r="BQ110" i="5"/>
  <c r="BQ111" i="5" s="1"/>
  <c r="BQ85" i="5"/>
  <c r="BQ86" i="5" s="1"/>
  <c r="BQ26" i="5"/>
  <c r="BQ18" i="5"/>
  <c r="BQ23" i="5" s="1"/>
  <c r="BQ24" i="5" s="1"/>
  <c r="BP88" i="5"/>
  <c r="BP89" i="5" s="1"/>
  <c r="BO113" i="5"/>
  <c r="BO114" i="5" s="1"/>
  <c r="BX11" i="7"/>
  <c r="BR31" i="1" s="1"/>
  <c r="BP6" i="4"/>
  <c r="BR19" i="3"/>
  <c r="BR21" i="3" s="1"/>
  <c r="BQ69" i="5"/>
  <c r="BP106" i="6"/>
  <c r="BP107" i="6" s="1"/>
  <c r="BP82" i="6"/>
  <c r="BK11" i="4"/>
  <c r="BQ107" i="1"/>
  <c r="BQ30" i="3"/>
  <c r="BQ26" i="3"/>
  <c r="BS17" i="3"/>
  <c r="BS16" i="3"/>
  <c r="BT4" i="3"/>
  <c r="BR32" i="6"/>
  <c r="BQ92" i="6"/>
  <c r="BQ93" i="6" s="1"/>
  <c r="BQ94" i="6" s="1"/>
  <c r="BQ143" i="6" s="1"/>
  <c r="BQ87" i="6"/>
  <c r="BQ88" i="6" s="1"/>
  <c r="BR86" i="6"/>
  <c r="BQ80" i="5"/>
  <c r="BP82" i="5"/>
  <c r="BP84" i="5" s="1"/>
  <c r="BT93" i="5"/>
  <c r="BS94" i="5"/>
  <c r="BN62" i="6"/>
  <c r="BN63" i="6" s="1"/>
  <c r="BN64" i="6" s="1"/>
  <c r="BN65" i="6" s="1"/>
  <c r="BN66" i="6" s="1"/>
  <c r="BN67" i="6" s="1"/>
  <c r="BH22" i="1" s="1"/>
  <c r="BQ118" i="5"/>
  <c r="BP119" i="5"/>
  <c r="BP120" i="5" s="1"/>
  <c r="BP121" i="5" s="1"/>
  <c r="BN104" i="6"/>
  <c r="BN105" i="6" s="1"/>
  <c r="BN108" i="6" s="1"/>
  <c r="BO79" i="6"/>
  <c r="BN80" i="6"/>
  <c r="BN95" i="6" s="1"/>
  <c r="BQ47" i="6"/>
  <c r="BP48" i="6"/>
  <c r="BP54" i="6" s="1"/>
  <c r="BP55" i="6" s="1"/>
  <c r="BP96" i="5"/>
  <c r="BP97" i="5" s="1"/>
  <c r="BP101" i="5"/>
  <c r="BP102" i="5" s="1"/>
  <c r="BP103" i="5" s="1"/>
  <c r="BQ95" i="5"/>
  <c r="BQ126" i="6" l="1"/>
  <c r="BQ134" i="6"/>
  <c r="BQ144" i="6" s="1"/>
  <c r="BP144" i="6"/>
  <c r="BR122" i="6"/>
  <c r="BR123" i="6" s="1"/>
  <c r="BR124" i="6" s="1"/>
  <c r="BS121" i="6"/>
  <c r="BU131" i="6"/>
  <c r="BT132" i="6"/>
  <c r="BT133" i="6" s="1"/>
  <c r="BV113" i="6"/>
  <c r="BU115" i="6"/>
  <c r="BR120" i="6"/>
  <c r="BR126" i="6" s="1"/>
  <c r="BR119" i="6"/>
  <c r="BR127" i="6" s="1"/>
  <c r="BR129" i="6" s="1"/>
  <c r="BR130" i="6" s="1"/>
  <c r="BS137" i="6"/>
  <c r="BT136" i="6"/>
  <c r="BS118" i="6"/>
  <c r="BT116" i="6"/>
  <c r="BQ101" i="6"/>
  <c r="BQ76" i="6"/>
  <c r="BQ77" i="6" s="1"/>
  <c r="BQ19" i="6"/>
  <c r="BQ22" i="6" s="1"/>
  <c r="BQ23" i="6" s="1"/>
  <c r="BS8" i="6"/>
  <c r="BR9" i="6"/>
  <c r="BR33" i="6" s="1"/>
  <c r="BR34" i="6" s="1"/>
  <c r="BR35" i="6" s="1"/>
  <c r="BT29" i="6"/>
  <c r="BU27" i="6"/>
  <c r="BS30" i="6"/>
  <c r="BS38" i="6" s="1"/>
  <c r="BS40" i="6" s="1"/>
  <c r="BS41" i="6" s="1"/>
  <c r="BS31" i="6"/>
  <c r="BS37" i="6" s="1"/>
  <c r="BN13" i="1"/>
  <c r="BM14" i="1"/>
  <c r="BR54" i="5"/>
  <c r="BQ56" i="5"/>
  <c r="BQ59" i="5"/>
  <c r="BT33" i="5"/>
  <c r="BS34" i="5"/>
  <c r="BS38" i="5" s="1"/>
  <c r="BQ42" i="5"/>
  <c r="BQ43" i="5" s="1"/>
  <c r="BQ45" i="5" s="1"/>
  <c r="BR57" i="5"/>
  <c r="BQ61" i="5"/>
  <c r="BQ62" i="5" s="1"/>
  <c r="BQ63" i="5" s="1"/>
  <c r="BQ58" i="5"/>
  <c r="BQ60" i="5" s="1"/>
  <c r="BQ46" i="5" s="1"/>
  <c r="BQ48" i="5" s="1"/>
  <c r="BQ49" i="5" s="1"/>
  <c r="BQ53" i="5" s="1"/>
  <c r="BQ90" i="5" s="1"/>
  <c r="BU50" i="5"/>
  <c r="BT51" i="5"/>
  <c r="BT52" i="5" s="1"/>
  <c r="BS35" i="5"/>
  <c r="BR36" i="5"/>
  <c r="BR39" i="5" s="1"/>
  <c r="BP64" i="5"/>
  <c r="BX40" i="5"/>
  <c r="BE18" i="1"/>
  <c r="BE35" i="1" s="1"/>
  <c r="BE37" i="1" s="1"/>
  <c r="BR69" i="5"/>
  <c r="BP152" i="5"/>
  <c r="BP153" i="5" s="1"/>
  <c r="BQ29" i="5"/>
  <c r="BQ31" i="5" s="1"/>
  <c r="BQ32" i="5" s="1"/>
  <c r="BQ147" i="5"/>
  <c r="BQ149" i="5" s="1"/>
  <c r="BQ135" i="5" s="1"/>
  <c r="BQ137" i="5" s="1"/>
  <c r="BQ138" i="5" s="1"/>
  <c r="BQ142" i="5" s="1"/>
  <c r="BQ91" i="5" s="1"/>
  <c r="BR146" i="5"/>
  <c r="BQ150" i="5"/>
  <c r="BQ151" i="5" s="1"/>
  <c r="BD58" i="3"/>
  <c r="BR130" i="5"/>
  <c r="BD59" i="3"/>
  <c r="BT122" i="5"/>
  <c r="BS123" i="5"/>
  <c r="BS127" i="5" s="1"/>
  <c r="BB72" i="3"/>
  <c r="BB78" i="3" s="1"/>
  <c r="BB70" i="3"/>
  <c r="BB76" i="3" s="1"/>
  <c r="BB71" i="3"/>
  <c r="BB77" i="3" s="1"/>
  <c r="BB73" i="3"/>
  <c r="BB79" i="3" s="1"/>
  <c r="BB69" i="3"/>
  <c r="BB75" i="3" s="1"/>
  <c r="BS124" i="5"/>
  <c r="BR125" i="5"/>
  <c r="BR128" i="5" s="1"/>
  <c r="BT129" i="5"/>
  <c r="BR140" i="5"/>
  <c r="BR141" i="5" s="1"/>
  <c r="BS139" i="5"/>
  <c r="BQ148" i="5"/>
  <c r="BQ145" i="5"/>
  <c r="BR143" i="5"/>
  <c r="BQ131" i="5"/>
  <c r="BQ132" i="5" s="1"/>
  <c r="BQ134" i="5" s="1"/>
  <c r="BA39" i="3"/>
  <c r="BS22" i="5"/>
  <c r="BT19" i="5"/>
  <c r="BB37" i="3"/>
  <c r="BB27" i="3"/>
  <c r="BC24" i="3" s="1"/>
  <c r="BG17" i="1"/>
  <c r="BD31" i="3"/>
  <c r="BD57" i="3"/>
  <c r="BD29" i="3"/>
  <c r="BD106" i="1"/>
  <c r="BD25" i="3"/>
  <c r="BB2" i="4" s="1"/>
  <c r="BC25" i="3"/>
  <c r="BA2" i="4" s="1"/>
  <c r="BC29" i="3"/>
  <c r="BC31" i="3"/>
  <c r="BC32" i="3" s="1"/>
  <c r="BC57" i="3"/>
  <c r="BC106" i="1"/>
  <c r="BM104" i="5"/>
  <c r="BM115" i="5"/>
  <c r="BM116" i="5" s="1"/>
  <c r="BM117" i="5" s="1"/>
  <c r="AZ9" i="4"/>
  <c r="AY23" i="4"/>
  <c r="AY24" i="4" s="1"/>
  <c r="BE59" i="3"/>
  <c r="BE50" i="3"/>
  <c r="BE58" i="3"/>
  <c r="BG10" i="4"/>
  <c r="BF12" i="4"/>
  <c r="BF22" i="4"/>
  <c r="BF25" i="4" s="1"/>
  <c r="BF26" i="4" s="1"/>
  <c r="BQ101" i="5"/>
  <c r="BQ102" i="5" s="1"/>
  <c r="BQ103" i="5" s="1"/>
  <c r="BQ96" i="5"/>
  <c r="BQ97" i="5" s="1"/>
  <c r="BR95" i="5"/>
  <c r="BR80" i="5"/>
  <c r="BQ82" i="5"/>
  <c r="BQ84" i="5" s="1"/>
  <c r="BR73" i="6"/>
  <c r="BR75" i="6" s="1"/>
  <c r="BS71" i="6"/>
  <c r="BO104" i="6"/>
  <c r="BO105" i="6" s="1"/>
  <c r="BO108" i="6" s="1"/>
  <c r="BP79" i="6"/>
  <c r="BO80" i="6"/>
  <c r="BO95" i="6" s="1"/>
  <c r="BS32" i="6"/>
  <c r="BR81" i="6"/>
  <c r="BY11" i="7"/>
  <c r="BS31" i="1" s="1"/>
  <c r="BQ6" i="4"/>
  <c r="BS19" i="3"/>
  <c r="BS21" i="3" s="1"/>
  <c r="BG47" i="3"/>
  <c r="BG23" i="1"/>
  <c r="BT15" i="5"/>
  <c r="BS16" i="5"/>
  <c r="BS41" i="5" s="1"/>
  <c r="BR92" i="6"/>
  <c r="BR93" i="6" s="1"/>
  <c r="BR94" i="6" s="1"/>
  <c r="BR143" i="6" s="1"/>
  <c r="BR87" i="6"/>
  <c r="BR88" i="6" s="1"/>
  <c r="BS86" i="6"/>
  <c r="BL11" i="4"/>
  <c r="BV84" i="6"/>
  <c r="BU85" i="6"/>
  <c r="BM1" i="4"/>
  <c r="BP5" i="3"/>
  <c r="BO2" i="3"/>
  <c r="BT42" i="6"/>
  <c r="BS43" i="6"/>
  <c r="BS44" i="6" s="1"/>
  <c r="BT17" i="3"/>
  <c r="BT16" i="3"/>
  <c r="BU4" i="3"/>
  <c r="BP61" i="6"/>
  <c r="BR110" i="5"/>
  <c r="BR111" i="5" s="1"/>
  <c r="BR26" i="5"/>
  <c r="BR85" i="5"/>
  <c r="BR86" i="5" s="1"/>
  <c r="BR18" i="5"/>
  <c r="BR23" i="5" s="1"/>
  <c r="BR24" i="5" s="1"/>
  <c r="BR103" i="6"/>
  <c r="BS78" i="6"/>
  <c r="BQ88" i="5"/>
  <c r="BP113" i="5"/>
  <c r="BP114" i="5" s="1"/>
  <c r="BS98" i="6"/>
  <c r="BS100" i="6" s="1"/>
  <c r="BT96" i="6"/>
  <c r="BU105" i="5"/>
  <c r="BT107" i="5"/>
  <c r="BT109" i="5" s="1"/>
  <c r="BT66" i="5"/>
  <c r="BS67" i="5"/>
  <c r="BS68" i="5"/>
  <c r="BQ106" i="6"/>
  <c r="BQ107" i="6" s="1"/>
  <c r="BQ82" i="6"/>
  <c r="BU93" i="5"/>
  <c r="BT94" i="5"/>
  <c r="BO62" i="6"/>
  <c r="BO63" i="6" s="1"/>
  <c r="BO64" i="6" s="1"/>
  <c r="BO65" i="6" s="1"/>
  <c r="BO66" i="6" s="1"/>
  <c r="BO67" i="6" s="1"/>
  <c r="BI22" i="1" s="1"/>
  <c r="BO73" i="5"/>
  <c r="BO74" i="5" s="1"/>
  <c r="BO75" i="5" s="1"/>
  <c r="BO76" i="5" s="1"/>
  <c r="BO77" i="5" s="1"/>
  <c r="BR118" i="5"/>
  <c r="BQ119" i="5"/>
  <c r="BQ120" i="5" s="1"/>
  <c r="BQ121" i="5" s="1"/>
  <c r="BR30" i="3"/>
  <c r="BR26" i="3"/>
  <c r="BR107" i="1"/>
  <c r="BQ48" i="6"/>
  <c r="BQ54" i="6" s="1"/>
  <c r="BQ55" i="6" s="1"/>
  <c r="BR47" i="6"/>
  <c r="BP70" i="5"/>
  <c r="BP71" i="5" s="1"/>
  <c r="BP72" i="5" s="1"/>
  <c r="BU30" i="5"/>
  <c r="BT109" i="6"/>
  <c r="BS110" i="6"/>
  <c r="BS111" i="6" s="1"/>
  <c r="BS112" i="6" s="1"/>
  <c r="BU99" i="5"/>
  <c r="BR134" i="6" l="1"/>
  <c r="BW113" i="6"/>
  <c r="BV115" i="6"/>
  <c r="BT118" i="6"/>
  <c r="BU116" i="6"/>
  <c r="BS122" i="6"/>
  <c r="BS123" i="6" s="1"/>
  <c r="BS124" i="6" s="1"/>
  <c r="BT121" i="6"/>
  <c r="BS120" i="6"/>
  <c r="BS119" i="6"/>
  <c r="BS127" i="6" s="1"/>
  <c r="BS129" i="6" s="1"/>
  <c r="BS130" i="6" s="1"/>
  <c r="BV131" i="6"/>
  <c r="BU132" i="6"/>
  <c r="BU133" i="6" s="1"/>
  <c r="BT137" i="6"/>
  <c r="BU136" i="6"/>
  <c r="BR144" i="6"/>
  <c r="BT30" i="6"/>
  <c r="BT38" i="6" s="1"/>
  <c r="BT40" i="6" s="1"/>
  <c r="BT41" i="6" s="1"/>
  <c r="G41" i="6" s="1"/>
  <c r="BT31" i="6"/>
  <c r="BT37" i="6" s="1"/>
  <c r="BS45" i="6"/>
  <c r="BU29" i="6"/>
  <c r="BV27" i="6"/>
  <c r="BR101" i="6"/>
  <c r="BR19" i="6"/>
  <c r="BR22" i="6" s="1"/>
  <c r="BR23" i="6" s="1"/>
  <c r="BR76" i="6"/>
  <c r="BR77" i="6" s="1"/>
  <c r="BS9" i="6"/>
  <c r="BS33" i="6" s="1"/>
  <c r="BS34" i="6" s="1"/>
  <c r="BS35" i="6" s="1"/>
  <c r="BT8" i="6"/>
  <c r="BM154" i="5"/>
  <c r="BO13" i="1"/>
  <c r="BN14" i="1"/>
  <c r="BU33" i="5"/>
  <c r="BT34" i="5"/>
  <c r="BT38" i="5" s="1"/>
  <c r="BS54" i="5"/>
  <c r="BR56" i="5"/>
  <c r="BR59" i="5"/>
  <c r="BY40" i="5"/>
  <c r="BU51" i="5"/>
  <c r="BU52" i="5" s="1"/>
  <c r="BV50" i="5"/>
  <c r="BR58" i="5"/>
  <c r="BR60" i="5" s="1"/>
  <c r="BR46" i="5" s="1"/>
  <c r="BR48" i="5" s="1"/>
  <c r="BR49" i="5" s="1"/>
  <c r="BR53" i="5" s="1"/>
  <c r="BR90" i="5" s="1"/>
  <c r="BR61" i="5"/>
  <c r="BR62" i="5" s="1"/>
  <c r="BS57" i="5"/>
  <c r="BQ64" i="5"/>
  <c r="BR42" i="5"/>
  <c r="BR43" i="5" s="1"/>
  <c r="BR45" i="5" s="1"/>
  <c r="BS36" i="5"/>
  <c r="BS39" i="5" s="1"/>
  <c r="BT35" i="5"/>
  <c r="BQ152" i="5"/>
  <c r="BQ153" i="5"/>
  <c r="BR29" i="5"/>
  <c r="BR31" i="5" s="1"/>
  <c r="BS146" i="5"/>
  <c r="BR150" i="5"/>
  <c r="BR151" i="5" s="1"/>
  <c r="BR147" i="5"/>
  <c r="BR149" i="5" s="1"/>
  <c r="BR135" i="5" s="1"/>
  <c r="BR137" i="5" s="1"/>
  <c r="BR138" i="5" s="1"/>
  <c r="BR142" i="5" s="1"/>
  <c r="BR91" i="5" s="1"/>
  <c r="BR131" i="5"/>
  <c r="BR132" i="5" s="1"/>
  <c r="BR134" i="5" s="1"/>
  <c r="BS130" i="5"/>
  <c r="BU122" i="5"/>
  <c r="BT123" i="5"/>
  <c r="BT127" i="5" s="1"/>
  <c r="BA40" i="3"/>
  <c r="BB36" i="3" s="1"/>
  <c r="BB39" i="3" s="1"/>
  <c r="BB40" i="3" s="1"/>
  <c r="BS140" i="5"/>
  <c r="BS141" i="5" s="1"/>
  <c r="BT139" i="5"/>
  <c r="BU129" i="5"/>
  <c r="BR148" i="5"/>
  <c r="BR145" i="5"/>
  <c r="BS143" i="5"/>
  <c r="BS125" i="5"/>
  <c r="BS128" i="5" s="1"/>
  <c r="BT124" i="5"/>
  <c r="BS69" i="5"/>
  <c r="BH17" i="1"/>
  <c r="BI23" i="1"/>
  <c r="BU19" i="5"/>
  <c r="BT22" i="5"/>
  <c r="BF46" i="3"/>
  <c r="BF48" i="3" s="1"/>
  <c r="BF18" i="1"/>
  <c r="BF35" i="1" s="1"/>
  <c r="BF37" i="1" s="1"/>
  <c r="BC69" i="3"/>
  <c r="BC75" i="3" s="1"/>
  <c r="BC70" i="3"/>
  <c r="BC76" i="3" s="1"/>
  <c r="BC71" i="3"/>
  <c r="BC77" i="3" s="1"/>
  <c r="BC73" i="3"/>
  <c r="BC79" i="3" s="1"/>
  <c r="BC72" i="3"/>
  <c r="BC78" i="3" s="1"/>
  <c r="BD72" i="3"/>
  <c r="BD78" i="3" s="1"/>
  <c r="BD69" i="3"/>
  <c r="BD75" i="3" s="1"/>
  <c r="BD71" i="3"/>
  <c r="BD77" i="3" s="1"/>
  <c r="BD70" i="3"/>
  <c r="BD76" i="3" s="1"/>
  <c r="BD73" i="3"/>
  <c r="BD79" i="3" s="1"/>
  <c r="BA9" i="4"/>
  <c r="AZ23" i="4"/>
  <c r="AZ24" i="4" s="1"/>
  <c r="BD32" i="3"/>
  <c r="BE31" i="3"/>
  <c r="BE106" i="1"/>
  <c r="BE25" i="3"/>
  <c r="BC2" i="4" s="1"/>
  <c r="BE29" i="3"/>
  <c r="BE57" i="3"/>
  <c r="BC27" i="3"/>
  <c r="BD24" i="3" s="1"/>
  <c r="BD27" i="3" s="1"/>
  <c r="BE24" i="3" s="1"/>
  <c r="BN104" i="5"/>
  <c r="BN154" i="5" s="1"/>
  <c r="BN115" i="5"/>
  <c r="BN116" i="5" s="1"/>
  <c r="BN117" i="5" s="1"/>
  <c r="BN1" i="4"/>
  <c r="BQ5" i="3"/>
  <c r="BP2" i="3"/>
  <c r="BW84" i="6"/>
  <c r="BV85" i="6"/>
  <c r="BR106" i="6"/>
  <c r="BR107" i="6" s="1"/>
  <c r="BR82" i="6"/>
  <c r="BT110" i="6"/>
  <c r="BT111" i="6" s="1"/>
  <c r="BT112" i="6" s="1"/>
  <c r="BU109" i="6"/>
  <c r="BV105" i="5"/>
  <c r="BU107" i="5"/>
  <c r="BU109" i="5" s="1"/>
  <c r="BQ113" i="5"/>
  <c r="BQ114" i="5" s="1"/>
  <c r="BR88" i="5"/>
  <c r="BS110" i="5"/>
  <c r="BS111" i="5" s="1"/>
  <c r="BS26" i="5"/>
  <c r="BS85" i="5"/>
  <c r="BS86" i="5" s="1"/>
  <c r="BS18" i="5"/>
  <c r="BS23" i="5" s="1"/>
  <c r="BS24" i="5" s="1"/>
  <c r="BH10" i="4"/>
  <c r="BG12" i="4"/>
  <c r="BG22" i="4"/>
  <c r="BG25" i="4" s="1"/>
  <c r="BG26" i="4" s="1"/>
  <c r="BP73" i="5"/>
  <c r="BP74" i="5" s="1"/>
  <c r="BP75" i="5" s="1"/>
  <c r="BP76" i="5" s="1"/>
  <c r="BP77" i="5" s="1"/>
  <c r="BM11" i="4"/>
  <c r="BP104" i="6"/>
  <c r="BP105" i="6" s="1"/>
  <c r="BP108" i="6" s="1"/>
  <c r="BQ79" i="6"/>
  <c r="BP80" i="6"/>
  <c r="BP95" i="6" s="1"/>
  <c r="BS103" i="6"/>
  <c r="BT78" i="6"/>
  <c r="BQ89" i="5"/>
  <c r="BU66" i="5"/>
  <c r="BT67" i="5"/>
  <c r="BT68" i="5"/>
  <c r="BT98" i="6"/>
  <c r="BT100" i="6" s="1"/>
  <c r="BU96" i="6"/>
  <c r="BQ61" i="6"/>
  <c r="BQ62" i="6" s="1"/>
  <c r="BQ63" i="6" s="1"/>
  <c r="BT71" i="6"/>
  <c r="BS73" i="6"/>
  <c r="BS75" i="6" s="1"/>
  <c r="BG36" i="1"/>
  <c r="BR48" i="6"/>
  <c r="BR54" i="6" s="1"/>
  <c r="BR55" i="6" s="1"/>
  <c r="BS47" i="6"/>
  <c r="BT32" i="6"/>
  <c r="BV30" i="5"/>
  <c r="BU17" i="3"/>
  <c r="BU16" i="3"/>
  <c r="BV4" i="3"/>
  <c r="BU15" i="5"/>
  <c r="BT16" i="5"/>
  <c r="BT41" i="5" s="1"/>
  <c r="BH47" i="3"/>
  <c r="BH23" i="1"/>
  <c r="BH36" i="1" s="1"/>
  <c r="BR32" i="5"/>
  <c r="BS81" i="6"/>
  <c r="BS30" i="3"/>
  <c r="BS107" i="1"/>
  <c r="BS26" i="3"/>
  <c r="BS118" i="5"/>
  <c r="BR119" i="5"/>
  <c r="BR120" i="5" s="1"/>
  <c r="BR121" i="5" s="1"/>
  <c r="BR82" i="5"/>
  <c r="BR84" i="5" s="1"/>
  <c r="BS80" i="5"/>
  <c r="BV93" i="5"/>
  <c r="BU94" i="5"/>
  <c r="BR101" i="5"/>
  <c r="BR102" i="5" s="1"/>
  <c r="BR103" i="5" s="1"/>
  <c r="BS95" i="5"/>
  <c r="BR96" i="5"/>
  <c r="BR97" i="5" s="1"/>
  <c r="BQ70" i="5"/>
  <c r="BQ71" i="5" s="1"/>
  <c r="BQ72" i="5" s="1"/>
  <c r="BZ11" i="7"/>
  <c r="BT31" i="1" s="1"/>
  <c r="BR6" i="4"/>
  <c r="BT19" i="3"/>
  <c r="BT21" i="3" s="1"/>
  <c r="BS92" i="6"/>
  <c r="BS93" i="6" s="1"/>
  <c r="BS94" i="6" s="1"/>
  <c r="BS143" i="6" s="1"/>
  <c r="BS87" i="6"/>
  <c r="BS88" i="6" s="1"/>
  <c r="BT86" i="6"/>
  <c r="BV99" i="5"/>
  <c r="BP62" i="6"/>
  <c r="BP63" i="6" s="1"/>
  <c r="BP64" i="6" s="1"/>
  <c r="BU42" i="6"/>
  <c r="BT43" i="6"/>
  <c r="BT44" i="6" s="1"/>
  <c r="BT45" i="6" l="1"/>
  <c r="BS134" i="6"/>
  <c r="BS126" i="6"/>
  <c r="BT122" i="6"/>
  <c r="BT123" i="6" s="1"/>
  <c r="BT124" i="6" s="1"/>
  <c r="BU121" i="6"/>
  <c r="BU137" i="6"/>
  <c r="BV136" i="6"/>
  <c r="BT120" i="6"/>
  <c r="BT119" i="6"/>
  <c r="BT127" i="6" s="1"/>
  <c r="BT129" i="6" s="1"/>
  <c r="BT130" i="6" s="1"/>
  <c r="BV132" i="6"/>
  <c r="BV133" i="6" s="1"/>
  <c r="BW131" i="6"/>
  <c r="BU118" i="6"/>
  <c r="BV116" i="6"/>
  <c r="BS144" i="6"/>
  <c r="BW115" i="6"/>
  <c r="BX113" i="6"/>
  <c r="BU8" i="6"/>
  <c r="BT9" i="6"/>
  <c r="BT33" i="6" s="1"/>
  <c r="BT34" i="6" s="1"/>
  <c r="BT35" i="6" s="1"/>
  <c r="BV29" i="6"/>
  <c r="BW27" i="6"/>
  <c r="BU30" i="6"/>
  <c r="BU38" i="6" s="1"/>
  <c r="BU40" i="6" s="1"/>
  <c r="BU41" i="6" s="1"/>
  <c r="BU31" i="6"/>
  <c r="BU37" i="6" s="1"/>
  <c r="BS101" i="6"/>
  <c r="BS76" i="6"/>
  <c r="BS77" i="6" s="1"/>
  <c r="BS19" i="6"/>
  <c r="BS22" i="6" s="1"/>
  <c r="BS23" i="6" s="1"/>
  <c r="BO14" i="1"/>
  <c r="BP13" i="1"/>
  <c r="BR63" i="5"/>
  <c r="BR64" i="5"/>
  <c r="BT54" i="5"/>
  <c r="BS59" i="5"/>
  <c r="BS56" i="5"/>
  <c r="BV33" i="5"/>
  <c r="BU34" i="5"/>
  <c r="BU38" i="5" s="1"/>
  <c r="BT42" i="5"/>
  <c r="BT43" i="5" s="1"/>
  <c r="BT36" i="5"/>
  <c r="BT39" i="5" s="1"/>
  <c r="BU35" i="5"/>
  <c r="BZ40" i="5"/>
  <c r="BV51" i="5"/>
  <c r="BV52" i="5" s="1"/>
  <c r="BW50" i="5"/>
  <c r="BS58" i="5"/>
  <c r="BS60" i="5" s="1"/>
  <c r="BS46" i="5" s="1"/>
  <c r="BS48" i="5" s="1"/>
  <c r="BS49" i="5" s="1"/>
  <c r="BS53" i="5" s="1"/>
  <c r="BS90" i="5" s="1"/>
  <c r="BT57" i="5"/>
  <c r="BS61" i="5"/>
  <c r="BS62" i="5" s="1"/>
  <c r="BS63" i="5" s="1"/>
  <c r="BS42" i="5"/>
  <c r="BS43" i="5" s="1"/>
  <c r="BS45" i="5" s="1"/>
  <c r="BR152" i="5"/>
  <c r="BR153" i="5" s="1"/>
  <c r="BS29" i="5"/>
  <c r="BS31" i="5" s="1"/>
  <c r="BS32" i="5" s="1"/>
  <c r="BS147" i="5"/>
  <c r="BS149" i="5" s="1"/>
  <c r="BS135" i="5" s="1"/>
  <c r="BS137" i="5" s="1"/>
  <c r="BS138" i="5" s="1"/>
  <c r="BS142" i="5" s="1"/>
  <c r="BS91" i="5" s="1"/>
  <c r="BT146" i="5"/>
  <c r="BS150" i="5"/>
  <c r="BS151" i="5" s="1"/>
  <c r="BT130" i="5"/>
  <c r="BU123" i="5"/>
  <c r="BU127" i="5" s="1"/>
  <c r="BV122" i="5"/>
  <c r="BJ23" i="1"/>
  <c r="BT125" i="5"/>
  <c r="BT128" i="5" s="1"/>
  <c r="BU124" i="5"/>
  <c r="BV129" i="5"/>
  <c r="BU139" i="5"/>
  <c r="BT140" i="5"/>
  <c r="BT141" i="5" s="1"/>
  <c r="BS148" i="5"/>
  <c r="BS145" i="5"/>
  <c r="BT143" i="5"/>
  <c r="BS131" i="5"/>
  <c r="BS132" i="5" s="1"/>
  <c r="BS134" i="5" s="1"/>
  <c r="BI47" i="3"/>
  <c r="BE32" i="3"/>
  <c r="BI36" i="1"/>
  <c r="BE27" i="3"/>
  <c r="BF24" i="3" s="1"/>
  <c r="BG46" i="3"/>
  <c r="BG48" i="3" s="1"/>
  <c r="BG18" i="1"/>
  <c r="BG35" i="1" s="1"/>
  <c r="BG37" i="1" s="1"/>
  <c r="BF58" i="3"/>
  <c r="BF50" i="3"/>
  <c r="BF59" i="3"/>
  <c r="BE73" i="3"/>
  <c r="BE79" i="3" s="1"/>
  <c r="BE72" i="3"/>
  <c r="BE78" i="3" s="1"/>
  <c r="BE71" i="3"/>
  <c r="BE77" i="3" s="1"/>
  <c r="BE70" i="3"/>
  <c r="BE76" i="3" s="1"/>
  <c r="BE69" i="3"/>
  <c r="BE75" i="3" s="1"/>
  <c r="BB9" i="4"/>
  <c r="BA23" i="4"/>
  <c r="BA24" i="4" s="1"/>
  <c r="BV19" i="5"/>
  <c r="BU22" i="5"/>
  <c r="BI17" i="1"/>
  <c r="BO115" i="5"/>
  <c r="BO116" i="5" s="1"/>
  <c r="BO117" i="5" s="1"/>
  <c r="BO104" i="5"/>
  <c r="BT69" i="5"/>
  <c r="BQ64" i="6"/>
  <c r="BQ65" i="6"/>
  <c r="BQ66" i="6" s="1"/>
  <c r="BQ67" i="6" s="1"/>
  <c r="BK22" i="1" s="1"/>
  <c r="BP65" i="6"/>
  <c r="BP66" i="6" s="1"/>
  <c r="BP67" i="6" s="1"/>
  <c r="BJ22" i="1" s="1"/>
  <c r="BT92" i="6"/>
  <c r="BT93" i="6" s="1"/>
  <c r="BT94" i="6" s="1"/>
  <c r="BT143" i="6" s="1"/>
  <c r="BU86" i="6"/>
  <c r="BT87" i="6"/>
  <c r="BT88" i="6" s="1"/>
  <c r="BS101" i="5"/>
  <c r="BS102" i="5" s="1"/>
  <c r="BS103" i="5" s="1"/>
  <c r="BT95" i="5"/>
  <c r="BS96" i="5"/>
  <c r="BS97" i="5" s="1"/>
  <c r="BW30" i="5"/>
  <c r="BR113" i="5"/>
  <c r="BR114" i="5" s="1"/>
  <c r="BS88" i="5"/>
  <c r="BO1" i="4"/>
  <c r="BR5" i="3"/>
  <c r="BQ2" i="3"/>
  <c r="BQ73" i="5"/>
  <c r="BQ74" i="5" s="1"/>
  <c r="BQ75" i="5" s="1"/>
  <c r="BQ76" i="5" s="1"/>
  <c r="BQ77" i="5" s="1"/>
  <c r="BU71" i="6"/>
  <c r="BT73" i="6"/>
  <c r="BT75" i="6" s="1"/>
  <c r="BT30" i="3"/>
  <c r="BT26" i="3"/>
  <c r="BT107" i="1"/>
  <c r="BT81" i="6"/>
  <c r="BR61" i="6"/>
  <c r="BR62" i="6"/>
  <c r="BR63" i="6" s="1"/>
  <c r="BW105" i="5"/>
  <c r="BV107" i="5"/>
  <c r="BV109" i="5" s="1"/>
  <c r="BW93" i="5"/>
  <c r="BV94" i="5"/>
  <c r="BX84" i="6"/>
  <c r="BW85" i="6"/>
  <c r="BV15" i="5"/>
  <c r="BU16" i="5"/>
  <c r="BU41" i="5" s="1"/>
  <c r="BN11" i="4"/>
  <c r="BU110" i="6"/>
  <c r="BU111" i="6" s="1"/>
  <c r="BU112" i="6" s="1"/>
  <c r="BV109" i="6"/>
  <c r="BU32" i="6"/>
  <c r="BU67" i="5"/>
  <c r="BU68" i="5"/>
  <c r="BV66" i="5"/>
  <c r="BV17" i="3"/>
  <c r="BV16" i="3"/>
  <c r="BW4" i="3"/>
  <c r="BT103" i="6"/>
  <c r="BU78" i="6"/>
  <c r="CA11" i="7"/>
  <c r="BU31" i="1" s="1"/>
  <c r="BS6" i="4"/>
  <c r="BU19" i="3"/>
  <c r="BU21" i="3" s="1"/>
  <c r="BS48" i="6"/>
  <c r="BS54" i="6" s="1"/>
  <c r="BS55" i="6" s="1"/>
  <c r="BT47" i="6"/>
  <c r="BU98" i="6"/>
  <c r="BU100" i="6" s="1"/>
  <c r="BV96" i="6"/>
  <c r="BQ104" i="6"/>
  <c r="BQ105" i="6" s="1"/>
  <c r="BQ108" i="6" s="1"/>
  <c r="BR79" i="6"/>
  <c r="BQ80" i="6"/>
  <c r="BQ95" i="6" s="1"/>
  <c r="BH12" i="4"/>
  <c r="BI10" i="4"/>
  <c r="BH22" i="4"/>
  <c r="BH25" i="4" s="1"/>
  <c r="BH26" i="4" s="1"/>
  <c r="BU43" i="6"/>
  <c r="BU44" i="6" s="1"/>
  <c r="BU45" i="6" s="1"/>
  <c r="BV42" i="6"/>
  <c r="BS106" i="6"/>
  <c r="BS107" i="6" s="1"/>
  <c r="BS82" i="6"/>
  <c r="BR89" i="5"/>
  <c r="BS82" i="5"/>
  <c r="BS84" i="5" s="1"/>
  <c r="BT80" i="5"/>
  <c r="BW99" i="5"/>
  <c r="BR70" i="5"/>
  <c r="BS119" i="5"/>
  <c r="BS120" i="5" s="1"/>
  <c r="BS121" i="5" s="1"/>
  <c r="BT118" i="5"/>
  <c r="BT110" i="5"/>
  <c r="BT111" i="5" s="1"/>
  <c r="BT85" i="5"/>
  <c r="BT86" i="5" s="1"/>
  <c r="BT26" i="5"/>
  <c r="BT18" i="5"/>
  <c r="BT23" i="5" s="1"/>
  <c r="BT24" i="5" s="1"/>
  <c r="BT126" i="6" l="1"/>
  <c r="G130" i="6"/>
  <c r="BT134" i="6"/>
  <c r="BT144" i="6" s="1"/>
  <c r="BX115" i="6"/>
  <c r="BY113" i="6"/>
  <c r="BV137" i="6"/>
  <c r="BW136" i="6"/>
  <c r="BV118" i="6"/>
  <c r="BW116" i="6"/>
  <c r="BU119" i="6"/>
  <c r="BU127" i="6" s="1"/>
  <c r="BU129" i="6" s="1"/>
  <c r="BU130" i="6" s="1"/>
  <c r="BU134" i="6" s="1"/>
  <c r="BU120" i="6"/>
  <c r="BU126" i="6" s="1"/>
  <c r="BV121" i="6"/>
  <c r="BU122" i="6"/>
  <c r="BU123" i="6" s="1"/>
  <c r="BU124" i="6" s="1"/>
  <c r="BX131" i="6"/>
  <c r="BW132" i="6"/>
  <c r="BW133" i="6" s="1"/>
  <c r="BV31" i="6"/>
  <c r="BV37" i="6" s="1"/>
  <c r="BV30" i="6"/>
  <c r="BV38" i="6" s="1"/>
  <c r="BV40" i="6" s="1"/>
  <c r="BV41" i="6" s="1"/>
  <c r="BX27" i="6"/>
  <c r="BW29" i="6"/>
  <c r="BT101" i="6"/>
  <c r="BT76" i="6"/>
  <c r="BT77" i="6" s="1"/>
  <c r="BT19" i="6"/>
  <c r="BT22" i="6" s="1"/>
  <c r="BT23" i="6" s="1"/>
  <c r="BV8" i="6"/>
  <c r="BU9" i="6"/>
  <c r="BO154" i="5"/>
  <c r="BI46" i="3" s="1"/>
  <c r="BI48" i="3" s="1"/>
  <c r="BQ13" i="1"/>
  <c r="BP14" i="1"/>
  <c r="BS64" i="5"/>
  <c r="BW33" i="5"/>
  <c r="BV34" i="5"/>
  <c r="BV38" i="5" s="1"/>
  <c r="BT59" i="5"/>
  <c r="BU54" i="5"/>
  <c r="BT56" i="5"/>
  <c r="CA40" i="5"/>
  <c r="BU36" i="5"/>
  <c r="BU39" i="5" s="1"/>
  <c r="BV35" i="5"/>
  <c r="BX50" i="5"/>
  <c r="BW51" i="5"/>
  <c r="BW52" i="5" s="1"/>
  <c r="BT58" i="5"/>
  <c r="BT60" i="5" s="1"/>
  <c r="BT46" i="5" s="1"/>
  <c r="BT48" i="5" s="1"/>
  <c r="BT49" i="5" s="1"/>
  <c r="BT53" i="5" s="1"/>
  <c r="BT90" i="5" s="1"/>
  <c r="BU57" i="5"/>
  <c r="BT61" i="5"/>
  <c r="BT62" i="5" s="1"/>
  <c r="BT45" i="5"/>
  <c r="BS152" i="5"/>
  <c r="BS153" i="5" s="1"/>
  <c r="BU69" i="5"/>
  <c r="BT29" i="5"/>
  <c r="BT31" i="5" s="1"/>
  <c r="BT32" i="5" s="1"/>
  <c r="BU146" i="5"/>
  <c r="BT150" i="5"/>
  <c r="BT151" i="5" s="1"/>
  <c r="BT147" i="5"/>
  <c r="BT149" i="5" s="1"/>
  <c r="BT135" i="5" s="1"/>
  <c r="BT137" i="5" s="1"/>
  <c r="BT138" i="5" s="1"/>
  <c r="BT142" i="5" s="1"/>
  <c r="BT91" i="5" s="1"/>
  <c r="BU130" i="5"/>
  <c r="BT131" i="5"/>
  <c r="BT132" i="5" s="1"/>
  <c r="BT134" i="5" s="1"/>
  <c r="BV123" i="5"/>
  <c r="BV127" i="5" s="1"/>
  <c r="BW122" i="5"/>
  <c r="BJ47" i="3"/>
  <c r="BW129" i="5"/>
  <c r="BV139" i="5"/>
  <c r="BU140" i="5"/>
  <c r="BU141" i="5" s="1"/>
  <c r="BT148" i="5"/>
  <c r="BU143" i="5"/>
  <c r="BT145" i="5"/>
  <c r="BV124" i="5"/>
  <c r="BU125" i="5"/>
  <c r="BU128" i="5" s="1"/>
  <c r="BK47" i="3"/>
  <c r="BJ17" i="1"/>
  <c r="BF106" i="1"/>
  <c r="BF31" i="3"/>
  <c r="BF32" i="3" s="1"/>
  <c r="BF29" i="3"/>
  <c r="BF57" i="3"/>
  <c r="BF25" i="3"/>
  <c r="BV22" i="5"/>
  <c r="BW19" i="5"/>
  <c r="BJ36" i="1"/>
  <c r="BH46" i="3"/>
  <c r="BH48" i="3" s="1"/>
  <c r="BH18" i="1"/>
  <c r="BH35" i="1" s="1"/>
  <c r="BH37" i="1" s="1"/>
  <c r="BP115" i="5"/>
  <c r="BP116" i="5" s="1"/>
  <c r="BP117" i="5" s="1"/>
  <c r="BP104" i="5"/>
  <c r="BP154" i="5" s="1"/>
  <c r="BC9" i="4"/>
  <c r="BB23" i="4"/>
  <c r="BB24" i="4" s="1"/>
  <c r="BG58" i="3"/>
  <c r="BG59" i="3"/>
  <c r="BG50" i="3"/>
  <c r="BV68" i="5"/>
  <c r="BV67" i="5"/>
  <c r="BW66" i="5"/>
  <c r="BV16" i="5"/>
  <c r="BW15" i="5"/>
  <c r="BW107" i="5"/>
  <c r="BW109" i="5" s="1"/>
  <c r="BX105" i="5"/>
  <c r="BU92" i="6"/>
  <c r="BU93" i="6" s="1"/>
  <c r="BU94" i="6" s="1"/>
  <c r="BU143" i="6" s="1"/>
  <c r="BV86" i="6"/>
  <c r="BU87" i="6"/>
  <c r="BU88" i="6" s="1"/>
  <c r="BU110" i="5"/>
  <c r="BU111" i="5" s="1"/>
  <c r="BU85" i="5"/>
  <c r="BU86" i="5" s="1"/>
  <c r="BU26" i="5"/>
  <c r="BU18" i="5"/>
  <c r="BU23" i="5" s="1"/>
  <c r="BU24" i="5" s="1"/>
  <c r="BV71" i="6"/>
  <c r="BU73" i="6"/>
  <c r="BU75" i="6" s="1"/>
  <c r="BX99" i="5"/>
  <c r="BS113" i="5"/>
  <c r="BS114" i="5" s="1"/>
  <c r="BT88" i="5"/>
  <c r="BS61" i="6"/>
  <c r="BS62" i="6"/>
  <c r="BS63" i="6" s="1"/>
  <c r="BO11" i="4"/>
  <c r="BW94" i="5"/>
  <c r="BX93" i="5"/>
  <c r="BT101" i="5"/>
  <c r="BT102" i="5" s="1"/>
  <c r="BT103" i="5" s="1"/>
  <c r="BU95" i="5"/>
  <c r="BT96" i="5"/>
  <c r="BT97" i="5" s="1"/>
  <c r="BS70" i="5"/>
  <c r="BS71" i="5" s="1"/>
  <c r="BS72" i="5" s="1"/>
  <c r="BP1" i="4"/>
  <c r="BS5" i="3"/>
  <c r="BR2" i="3"/>
  <c r="BU103" i="6"/>
  <c r="BV78" i="6"/>
  <c r="BV110" i="6"/>
  <c r="BV111" i="6" s="1"/>
  <c r="BV112" i="6" s="1"/>
  <c r="BW109" i="6"/>
  <c r="BV43" i="6"/>
  <c r="BV44" i="6" s="1"/>
  <c r="BV45" i="6" s="1"/>
  <c r="BW42" i="6"/>
  <c r="BT119" i="5"/>
  <c r="BT120" i="5" s="1"/>
  <c r="BT121" i="5" s="1"/>
  <c r="BU118" i="5"/>
  <c r="CB11" i="7"/>
  <c r="BV31" i="1" s="1"/>
  <c r="BV19" i="3"/>
  <c r="BV21" i="3" s="1"/>
  <c r="BT6" i="4"/>
  <c r="BX85" i="6"/>
  <c r="BY84" i="6"/>
  <c r="BT82" i="5"/>
  <c r="BT84" i="5" s="1"/>
  <c r="BU80" i="5"/>
  <c r="BR104" i="6"/>
  <c r="BR105" i="6" s="1"/>
  <c r="BR108" i="6" s="1"/>
  <c r="BS79" i="6"/>
  <c r="BR80" i="6"/>
  <c r="BR95" i="6" s="1"/>
  <c r="BV32" i="6"/>
  <c r="BU33" i="6"/>
  <c r="BU34" i="6" s="1"/>
  <c r="BU35" i="6" s="1"/>
  <c r="BS89" i="5"/>
  <c r="BW96" i="6"/>
  <c r="BV98" i="6"/>
  <c r="BV100" i="6" s="1"/>
  <c r="BI12" i="4"/>
  <c r="BI22" i="4"/>
  <c r="BI25" i="4" s="1"/>
  <c r="BI26" i="4" s="1"/>
  <c r="BJ10" i="4"/>
  <c r="BU81" i="6"/>
  <c r="BX4" i="3"/>
  <c r="BW17" i="3"/>
  <c r="BW16" i="3"/>
  <c r="BT48" i="6"/>
  <c r="BT54" i="6" s="1"/>
  <c r="BT55" i="6" s="1"/>
  <c r="BU47" i="6"/>
  <c r="BT106" i="6"/>
  <c r="BT107" i="6" s="1"/>
  <c r="BT82" i="6"/>
  <c r="BR71" i="5"/>
  <c r="BR72" i="5" s="1"/>
  <c r="BR73" i="5" s="1"/>
  <c r="BR74" i="5" s="1"/>
  <c r="BR75" i="5" s="1"/>
  <c r="BR76" i="5" s="1"/>
  <c r="BR77" i="5" s="1"/>
  <c r="BU26" i="3"/>
  <c r="BU30" i="3"/>
  <c r="BU107" i="1"/>
  <c r="BX30" i="5"/>
  <c r="BR64" i="6"/>
  <c r="BR65" i="6" s="1"/>
  <c r="BR66" i="6" s="1"/>
  <c r="BR67" i="6" s="1"/>
  <c r="BL22" i="1" s="1"/>
  <c r="BV119" i="6" l="1"/>
  <c r="BV127" i="6" s="1"/>
  <c r="BV129" i="6" s="1"/>
  <c r="BV130" i="6" s="1"/>
  <c r="BV120" i="6"/>
  <c r="BX136" i="6"/>
  <c r="BW137" i="6"/>
  <c r="BY131" i="6"/>
  <c r="BX132" i="6"/>
  <c r="BX133" i="6" s="1"/>
  <c r="BY115" i="6"/>
  <c r="BZ113" i="6"/>
  <c r="BW121" i="6"/>
  <c r="BV122" i="6"/>
  <c r="BV123" i="6" s="1"/>
  <c r="BV124" i="6" s="1"/>
  <c r="BU144" i="6"/>
  <c r="BX116" i="6"/>
  <c r="BW118" i="6"/>
  <c r="BW8" i="6"/>
  <c r="BV9" i="6"/>
  <c r="BV33" i="6" s="1"/>
  <c r="BV34" i="6" s="1"/>
  <c r="BV35" i="6" s="1"/>
  <c r="BY27" i="6"/>
  <c r="BX29" i="6"/>
  <c r="BW30" i="6"/>
  <c r="BW38" i="6" s="1"/>
  <c r="BW40" i="6" s="1"/>
  <c r="BW41" i="6" s="1"/>
  <c r="BW31" i="6"/>
  <c r="BW37" i="6" s="1"/>
  <c r="BU76" i="6"/>
  <c r="BU77" i="6" s="1"/>
  <c r="BU19" i="6"/>
  <c r="BU22" i="6" s="1"/>
  <c r="BU23" i="6" s="1"/>
  <c r="BU101" i="6"/>
  <c r="BI18" i="1"/>
  <c r="BQ14" i="1"/>
  <c r="BR13" i="1"/>
  <c r="BU56" i="5"/>
  <c r="BU59" i="5"/>
  <c r="BV54" i="5"/>
  <c r="BT64" i="5"/>
  <c r="BX33" i="5"/>
  <c r="BW34" i="5"/>
  <c r="BW38" i="5" s="1"/>
  <c r="BT63" i="5"/>
  <c r="BU42" i="5"/>
  <c r="BU43" i="5" s="1"/>
  <c r="BU45" i="5" s="1"/>
  <c r="BV130" i="5"/>
  <c r="BV41" i="5"/>
  <c r="BW35" i="5"/>
  <c r="BV36" i="5"/>
  <c r="BV39" i="5" s="1"/>
  <c r="CB40" i="5"/>
  <c r="BY50" i="5"/>
  <c r="BX51" i="5"/>
  <c r="BX52" i="5" s="1"/>
  <c r="BV57" i="5"/>
  <c r="BU61" i="5"/>
  <c r="BU62" i="5" s="1"/>
  <c r="BU63" i="5" s="1"/>
  <c r="BU58" i="5"/>
  <c r="BU60" i="5" s="1"/>
  <c r="BU46" i="5" s="1"/>
  <c r="BU48" i="5" s="1"/>
  <c r="BU49" i="5" s="1"/>
  <c r="BU53" i="5" s="1"/>
  <c r="BU90" i="5" s="1"/>
  <c r="BK23" i="1"/>
  <c r="BK36" i="1" s="1"/>
  <c r="BU29" i="5"/>
  <c r="BU31" i="5" s="1"/>
  <c r="BU32" i="5" s="1"/>
  <c r="BV146" i="5"/>
  <c r="BU150" i="5"/>
  <c r="BU151" i="5" s="1"/>
  <c r="BU147" i="5"/>
  <c r="BU149" i="5" s="1"/>
  <c r="BU135" i="5" s="1"/>
  <c r="BU137" i="5" s="1"/>
  <c r="BU138" i="5" s="1"/>
  <c r="BU142" i="5" s="1"/>
  <c r="BU91" i="5" s="1"/>
  <c r="BT152" i="5"/>
  <c r="BT153" i="5" s="1"/>
  <c r="BJ18" i="1"/>
  <c r="BJ35" i="1" s="1"/>
  <c r="BJ37" i="1" s="1"/>
  <c r="BI35" i="1"/>
  <c r="BI37" i="1" s="1"/>
  <c r="BX122" i="5"/>
  <c r="BW123" i="5"/>
  <c r="BW127" i="5" s="1"/>
  <c r="BL47" i="3"/>
  <c r="BU131" i="5"/>
  <c r="BU132" i="5" s="1"/>
  <c r="BU134" i="5" s="1"/>
  <c r="BW139" i="5"/>
  <c r="BV140" i="5"/>
  <c r="BV141" i="5" s="1"/>
  <c r="BX129" i="5"/>
  <c r="BV125" i="5"/>
  <c r="BV128" i="5" s="1"/>
  <c r="BW124" i="5"/>
  <c r="BU148" i="5"/>
  <c r="BV143" i="5"/>
  <c r="BU145" i="5"/>
  <c r="BF70" i="3"/>
  <c r="BF76" i="3" s="1"/>
  <c r="BF69" i="3"/>
  <c r="BF75" i="3" s="1"/>
  <c r="BF71" i="3"/>
  <c r="BF77" i="3" s="1"/>
  <c r="BF73" i="3"/>
  <c r="BF79" i="3" s="1"/>
  <c r="BF72" i="3"/>
  <c r="BF78" i="3" s="1"/>
  <c r="BF27" i="3"/>
  <c r="BG24" i="3" s="1"/>
  <c r="BD2" i="4"/>
  <c r="BD9" i="4" s="1"/>
  <c r="BQ115" i="5"/>
  <c r="BQ116" i="5" s="1"/>
  <c r="BQ117" i="5" s="1"/>
  <c r="BQ104" i="5"/>
  <c r="BI50" i="3"/>
  <c r="BI58" i="3"/>
  <c r="BI59" i="3"/>
  <c r="BX19" i="5"/>
  <c r="BW22" i="5"/>
  <c r="BG25" i="3"/>
  <c r="BE2" i="4" s="1"/>
  <c r="BG106" i="1"/>
  <c r="BG29" i="3"/>
  <c r="BG57" i="3"/>
  <c r="BG31" i="3"/>
  <c r="BG32" i="3" s="1"/>
  <c r="BK17" i="1"/>
  <c r="BH58" i="3"/>
  <c r="BH50" i="3"/>
  <c r="BH59" i="3"/>
  <c r="BC23" i="4"/>
  <c r="BC24" i="4" s="1"/>
  <c r="BZ84" i="6"/>
  <c r="BY85" i="6"/>
  <c r="BT113" i="5"/>
  <c r="BT114" i="5" s="1"/>
  <c r="BU88" i="5"/>
  <c r="BU89" i="5" s="1"/>
  <c r="BW86" i="6"/>
  <c r="BV92" i="6"/>
  <c r="BV93" i="6" s="1"/>
  <c r="BV94" i="6" s="1"/>
  <c r="BV143" i="6" s="1"/>
  <c r="BV87" i="6"/>
  <c r="BV88" i="6" s="1"/>
  <c r="BX17" i="3"/>
  <c r="BX16" i="3"/>
  <c r="BY4" i="3"/>
  <c r="BW32" i="6"/>
  <c r="BW43" i="6"/>
  <c r="BW44" i="6" s="1"/>
  <c r="BW45" i="6" s="1"/>
  <c r="BX42" i="6"/>
  <c r="BQ1" i="4"/>
  <c r="BS2" i="3"/>
  <c r="BT5" i="3"/>
  <c r="BV110" i="5"/>
  <c r="BV111" i="5" s="1"/>
  <c r="BV85" i="5"/>
  <c r="BV86" i="5" s="1"/>
  <c r="BV26" i="5"/>
  <c r="BV18" i="5"/>
  <c r="BV23" i="5" s="1"/>
  <c r="BV24" i="5" s="1"/>
  <c r="BY99" i="5"/>
  <c r="BW16" i="5"/>
  <c r="BW41" i="5" s="1"/>
  <c r="BX15" i="5"/>
  <c r="BV103" i="6"/>
  <c r="BW78" i="6"/>
  <c r="BP11" i="4"/>
  <c r="BV69" i="5"/>
  <c r="BU48" i="6"/>
  <c r="BU54" i="6" s="1"/>
  <c r="BU55" i="6" s="1"/>
  <c r="BV47" i="6"/>
  <c r="BU106" i="6"/>
  <c r="BU107" i="6" s="1"/>
  <c r="BU82" i="6"/>
  <c r="BV26" i="3"/>
  <c r="BV107" i="1"/>
  <c r="BV30" i="3"/>
  <c r="BY93" i="5"/>
  <c r="BX94" i="5"/>
  <c r="BX96" i="6"/>
  <c r="BW98" i="6"/>
  <c r="BW100" i="6" s="1"/>
  <c r="BX107" i="5"/>
  <c r="BX109" i="5" s="1"/>
  <c r="BY105" i="5"/>
  <c r="BS73" i="5"/>
  <c r="BV81" i="6"/>
  <c r="BW71" i="6"/>
  <c r="BV73" i="6"/>
  <c r="BV75" i="6" s="1"/>
  <c r="BX109" i="6"/>
  <c r="BW110" i="6"/>
  <c r="BW111" i="6" s="1"/>
  <c r="BW112" i="6" s="1"/>
  <c r="BT61" i="6"/>
  <c r="BW67" i="5"/>
  <c r="BW68" i="5"/>
  <c r="BX66" i="5"/>
  <c r="BS104" i="6"/>
  <c r="BS105" i="6" s="1"/>
  <c r="BS108" i="6" s="1"/>
  <c r="BT79" i="6"/>
  <c r="BS80" i="6"/>
  <c r="BS95" i="6" s="1"/>
  <c r="BT70" i="5"/>
  <c r="BS64" i="6"/>
  <c r="BS65" i="6" s="1"/>
  <c r="BS66" i="6" s="1"/>
  <c r="BS67" i="6" s="1"/>
  <c r="BM22" i="1" s="1"/>
  <c r="BJ22" i="4"/>
  <c r="BJ25" i="4" s="1"/>
  <c r="BJ26" i="4" s="1"/>
  <c r="BJ12" i="4"/>
  <c r="BK10" i="4"/>
  <c r="BV80" i="5"/>
  <c r="BU82" i="5"/>
  <c r="BU84" i="5" s="1"/>
  <c r="BY30" i="5"/>
  <c r="CC11" i="7"/>
  <c r="BW31" i="1" s="1"/>
  <c r="BW19" i="3"/>
  <c r="BW21" i="3" s="1"/>
  <c r="BU6" i="4"/>
  <c r="BU119" i="5"/>
  <c r="BU120" i="5" s="1"/>
  <c r="BU121" i="5" s="1"/>
  <c r="BV118" i="5"/>
  <c r="BT89" i="5"/>
  <c r="BU101" i="5"/>
  <c r="BU102" i="5" s="1"/>
  <c r="BU103" i="5" s="1"/>
  <c r="BV95" i="5"/>
  <c r="BU96" i="5"/>
  <c r="BU97" i="5" s="1"/>
  <c r="BV134" i="6" l="1"/>
  <c r="BV126" i="6"/>
  <c r="BY136" i="6"/>
  <c r="BX137" i="6"/>
  <c r="BW120" i="6"/>
  <c r="BW126" i="6" s="1"/>
  <c r="BW119" i="6"/>
  <c r="BW127" i="6" s="1"/>
  <c r="BW129" i="6" s="1"/>
  <c r="BW130" i="6" s="1"/>
  <c r="BW134" i="6" s="1"/>
  <c r="BY132" i="6"/>
  <c r="BY133" i="6" s="1"/>
  <c r="BZ131" i="6"/>
  <c r="BY116" i="6"/>
  <c r="BX118" i="6"/>
  <c r="BX121" i="6"/>
  <c r="BW122" i="6"/>
  <c r="BW123" i="6" s="1"/>
  <c r="BW124" i="6" s="1"/>
  <c r="CA113" i="6"/>
  <c r="BZ115" i="6"/>
  <c r="BV144" i="6"/>
  <c r="BY29" i="6"/>
  <c r="BZ27" i="6"/>
  <c r="BV76" i="6"/>
  <c r="BV77" i="6" s="1"/>
  <c r="BV19" i="6"/>
  <c r="BV22" i="6" s="1"/>
  <c r="BV23" i="6" s="1"/>
  <c r="BV101" i="6"/>
  <c r="BX30" i="6"/>
  <c r="BX38" i="6" s="1"/>
  <c r="BX40" i="6" s="1"/>
  <c r="BX41" i="6" s="1"/>
  <c r="BX31" i="6"/>
  <c r="BX37" i="6" s="1"/>
  <c r="BX8" i="6"/>
  <c r="BW9" i="6"/>
  <c r="BU64" i="5"/>
  <c r="BS13" i="1"/>
  <c r="BR14" i="1"/>
  <c r="BQ154" i="5"/>
  <c r="BV42" i="5"/>
  <c r="BV43" i="5" s="1"/>
  <c r="BV45" i="5" s="1"/>
  <c r="BY33" i="5"/>
  <c r="BX34" i="5"/>
  <c r="BX38" i="5" s="1"/>
  <c r="BV56" i="5"/>
  <c r="BV59" i="5"/>
  <c r="BW54" i="5"/>
  <c r="BZ50" i="5"/>
  <c r="BY51" i="5"/>
  <c r="BY52" i="5" s="1"/>
  <c r="CC40" i="5"/>
  <c r="BW57" i="5"/>
  <c r="BV61" i="5"/>
  <c r="BV62" i="5" s="1"/>
  <c r="BV58" i="5"/>
  <c r="BV60" i="5" s="1"/>
  <c r="BV46" i="5" s="1"/>
  <c r="BV48" i="5" s="1"/>
  <c r="BV49" i="5" s="1"/>
  <c r="BV53" i="5" s="1"/>
  <c r="BV90" i="5" s="1"/>
  <c r="BX35" i="5"/>
  <c r="BW36" i="5"/>
  <c r="BW39" i="5" s="1"/>
  <c r="BW69" i="5"/>
  <c r="BL23" i="1"/>
  <c r="BL36" i="1" s="1"/>
  <c r="BJ46" i="3"/>
  <c r="BJ48" i="3" s="1"/>
  <c r="BJ58" i="3" s="1"/>
  <c r="BV29" i="5"/>
  <c r="BV31" i="5" s="1"/>
  <c r="BV32" i="5" s="1"/>
  <c r="BV150" i="5"/>
  <c r="BV151" i="5" s="1"/>
  <c r="BW146" i="5"/>
  <c r="BV147" i="5"/>
  <c r="BV149" i="5" s="1"/>
  <c r="BV135" i="5" s="1"/>
  <c r="BV137" i="5" s="1"/>
  <c r="BV138" i="5" s="1"/>
  <c r="BV142" i="5" s="1"/>
  <c r="BV91" i="5" s="1"/>
  <c r="BW130" i="5"/>
  <c r="BV131" i="5"/>
  <c r="BV132" i="5" s="1"/>
  <c r="BV134" i="5" s="1"/>
  <c r="BU152" i="5"/>
  <c r="BU153" i="5" s="1"/>
  <c r="BY122" i="5"/>
  <c r="BX123" i="5"/>
  <c r="BX127" i="5" s="1"/>
  <c r="BW125" i="5"/>
  <c r="BW128" i="5" s="1"/>
  <c r="BX124" i="5"/>
  <c r="BV148" i="5"/>
  <c r="BV145" i="5"/>
  <c r="BW143" i="5"/>
  <c r="BX139" i="5"/>
  <c r="BW140" i="5"/>
  <c r="BW141" i="5" s="1"/>
  <c r="BY129" i="5"/>
  <c r="BK18" i="1"/>
  <c r="BK35" i="1" s="1"/>
  <c r="BK37" i="1" s="1"/>
  <c r="BM47" i="3"/>
  <c r="BE9" i="4"/>
  <c r="BD23" i="4"/>
  <c r="BD24" i="4" s="1"/>
  <c r="BH57" i="3"/>
  <c r="BH25" i="3"/>
  <c r="BF2" i="4" s="1"/>
  <c r="BH31" i="3"/>
  <c r="BH32" i="3" s="1"/>
  <c r="BH29" i="3"/>
  <c r="BH106" i="1"/>
  <c r="BI57" i="3"/>
  <c r="BI106" i="1"/>
  <c r="BI25" i="3"/>
  <c r="BG2" i="4" s="1"/>
  <c r="BI31" i="3"/>
  <c r="BI29" i="3"/>
  <c r="BR115" i="5"/>
  <c r="BR116" i="5" s="1"/>
  <c r="BR117" i="5" s="1"/>
  <c r="BR104" i="5"/>
  <c r="BR154" i="5" s="1"/>
  <c r="BL17" i="1"/>
  <c r="BX22" i="5"/>
  <c r="BY19" i="5"/>
  <c r="BG71" i="3"/>
  <c r="BG77" i="3" s="1"/>
  <c r="BG69" i="3"/>
  <c r="BG75" i="3" s="1"/>
  <c r="BG72" i="3"/>
  <c r="BG78" i="3" s="1"/>
  <c r="BG70" i="3"/>
  <c r="BG76" i="3" s="1"/>
  <c r="BG73" i="3"/>
  <c r="BG79" i="3" s="1"/>
  <c r="BG27" i="3"/>
  <c r="BH24" i="3" s="1"/>
  <c r="BW73" i="6"/>
  <c r="BW75" i="6" s="1"/>
  <c r="BX71" i="6"/>
  <c r="BR1" i="4"/>
  <c r="BU5" i="3"/>
  <c r="BT2" i="3"/>
  <c r="BY16" i="3"/>
  <c r="BY17" i="3"/>
  <c r="BZ4" i="3"/>
  <c r="CD11" i="7"/>
  <c r="BX31" i="1" s="1"/>
  <c r="BV6" i="4"/>
  <c r="BX19" i="3"/>
  <c r="BX21" i="3" s="1"/>
  <c r="BW26" i="3"/>
  <c r="BW107" i="1"/>
  <c r="BW30" i="3"/>
  <c r="BY107" i="5"/>
  <c r="BY109" i="5" s="1"/>
  <c r="BZ105" i="5"/>
  <c r="BZ93" i="5"/>
  <c r="BY94" i="5"/>
  <c r="BQ11" i="4"/>
  <c r="BW110" i="5"/>
  <c r="BW111" i="5" s="1"/>
  <c r="BW85" i="5"/>
  <c r="BW86" i="5" s="1"/>
  <c r="BW26" i="5"/>
  <c r="BW18" i="5"/>
  <c r="BW23" i="5" s="1"/>
  <c r="BW24" i="5" s="1"/>
  <c r="BW103" i="6"/>
  <c r="BX78" i="6"/>
  <c r="BW81" i="6"/>
  <c r="BW47" i="6"/>
  <c r="BV48" i="6"/>
  <c r="BV54" i="6" s="1"/>
  <c r="BV55" i="6" s="1"/>
  <c r="BX16" i="5"/>
  <c r="BX41" i="5" s="1"/>
  <c r="BY15" i="5"/>
  <c r="BX43" i="6"/>
  <c r="BX44" i="6" s="1"/>
  <c r="BY42" i="6"/>
  <c r="BZ30" i="5"/>
  <c r="BY109" i="6"/>
  <c r="BX110" i="6"/>
  <c r="BX111" i="6" s="1"/>
  <c r="BX112" i="6" s="1"/>
  <c r="BV106" i="6"/>
  <c r="BV107" i="6" s="1"/>
  <c r="BV82" i="6"/>
  <c r="BV119" i="5"/>
  <c r="BV120" i="5" s="1"/>
  <c r="BV121" i="5" s="1"/>
  <c r="BW118" i="5"/>
  <c r="BY96" i="6"/>
  <c r="BX98" i="6"/>
  <c r="BX100" i="6" s="1"/>
  <c r="BZ99" i="5"/>
  <c r="BX86" i="6"/>
  <c r="BW92" i="6"/>
  <c r="BW93" i="6" s="1"/>
  <c r="BW94" i="6" s="1"/>
  <c r="BW143" i="6" s="1"/>
  <c r="BW87" i="6"/>
  <c r="BW88" i="6" s="1"/>
  <c r="BW80" i="5"/>
  <c r="BV82" i="5"/>
  <c r="BV84" i="5" s="1"/>
  <c r="BU70" i="5"/>
  <c r="BK22" i="4"/>
  <c r="BK25" i="4" s="1"/>
  <c r="BK26" i="4" s="1"/>
  <c r="BK12" i="4"/>
  <c r="BL10" i="4"/>
  <c r="BT104" i="6"/>
  <c r="BT105" i="6" s="1"/>
  <c r="BT108" i="6" s="1"/>
  <c r="BU79" i="6"/>
  <c r="BT80" i="6"/>
  <c r="BT95" i="6" s="1"/>
  <c r="BU61" i="6"/>
  <c r="CA84" i="6"/>
  <c r="BZ85" i="6"/>
  <c r="BV96" i="5"/>
  <c r="BV97" i="5" s="1"/>
  <c r="BV101" i="5"/>
  <c r="BV102" i="5" s="1"/>
  <c r="BV103" i="5" s="1"/>
  <c r="BW95" i="5"/>
  <c r="BT62" i="6"/>
  <c r="BT63" i="6" s="1"/>
  <c r="BT64" i="6" s="1"/>
  <c r="BT71" i="5"/>
  <c r="BT72" i="5" s="1"/>
  <c r="BT73" i="5" s="1"/>
  <c r="BX68" i="5"/>
  <c r="BX67" i="5"/>
  <c r="BY66" i="5"/>
  <c r="BS74" i="5"/>
  <c r="BS75" i="5" s="1"/>
  <c r="BS76" i="5" s="1"/>
  <c r="BS77" i="5" s="1"/>
  <c r="BW33" i="6"/>
  <c r="BW34" i="6" s="1"/>
  <c r="BW35" i="6" s="1"/>
  <c r="BX32" i="6"/>
  <c r="BU113" i="5"/>
  <c r="BU114" i="5" s="1"/>
  <c r="BV88" i="5"/>
  <c r="BW144" i="6" l="1"/>
  <c r="CB113" i="6"/>
  <c r="CA115" i="6"/>
  <c r="BZ116" i="6"/>
  <c r="BY118" i="6"/>
  <c r="BZ132" i="6"/>
  <c r="BZ133" i="6" s="1"/>
  <c r="CA131" i="6"/>
  <c r="BY121" i="6"/>
  <c r="BX122" i="6"/>
  <c r="BX123" i="6" s="1"/>
  <c r="BX124" i="6" s="1"/>
  <c r="BX120" i="6"/>
  <c r="BX126" i="6" s="1"/>
  <c r="BX119" i="6"/>
  <c r="BX127" i="6" s="1"/>
  <c r="BX129" i="6" s="1"/>
  <c r="BX130" i="6" s="1"/>
  <c r="BX134" i="6" s="1"/>
  <c r="BY137" i="6"/>
  <c r="BZ136" i="6"/>
  <c r="BX9" i="6"/>
  <c r="BX33" i="6" s="1"/>
  <c r="BX34" i="6" s="1"/>
  <c r="BX35" i="6" s="1"/>
  <c r="BY8" i="6"/>
  <c r="BX45" i="6"/>
  <c r="CA27" i="6"/>
  <c r="BZ29" i="6"/>
  <c r="BW101" i="6"/>
  <c r="BW76" i="6"/>
  <c r="BW77" i="6" s="1"/>
  <c r="BW19" i="6"/>
  <c r="BW22" i="6" s="1"/>
  <c r="BW23" i="6" s="1"/>
  <c r="BY31" i="6"/>
  <c r="BY37" i="6" s="1"/>
  <c r="BY30" i="6"/>
  <c r="BY38" i="6" s="1"/>
  <c r="BY40" i="6" s="1"/>
  <c r="BY41" i="6" s="1"/>
  <c r="BS14" i="1"/>
  <c r="BT13" i="1"/>
  <c r="BV63" i="5"/>
  <c r="BV64" i="5" s="1"/>
  <c r="BW56" i="5"/>
  <c r="BW59" i="5"/>
  <c r="BX54" i="5"/>
  <c r="BW42" i="5"/>
  <c r="BW43" i="5" s="1"/>
  <c r="BW45" i="5" s="1"/>
  <c r="BZ33" i="5"/>
  <c r="BY34" i="5"/>
  <c r="BY38" i="5" s="1"/>
  <c r="BY35" i="5"/>
  <c r="BX36" i="5"/>
  <c r="BX39" i="5" s="1"/>
  <c r="BX57" i="5"/>
  <c r="BW58" i="5"/>
  <c r="BW60" i="5" s="1"/>
  <c r="BW46" i="5" s="1"/>
  <c r="BW48" i="5" s="1"/>
  <c r="BW49" i="5" s="1"/>
  <c r="BW53" i="5" s="1"/>
  <c r="BW90" i="5" s="1"/>
  <c r="BW61" i="5"/>
  <c r="BW62" i="5" s="1"/>
  <c r="BW63" i="5" s="1"/>
  <c r="BX42" i="5"/>
  <c r="BX43" i="5" s="1"/>
  <c r="CD40" i="5"/>
  <c r="CA50" i="5"/>
  <c r="BZ51" i="5"/>
  <c r="BZ52" i="5" s="1"/>
  <c r="BJ50" i="3"/>
  <c r="BJ31" i="3" s="1"/>
  <c r="BJ59" i="3"/>
  <c r="BL18" i="1"/>
  <c r="BV152" i="5"/>
  <c r="BV153" i="5" s="1"/>
  <c r="BW29" i="5"/>
  <c r="BW31" i="5" s="1"/>
  <c r="BW32" i="5" s="1"/>
  <c r="BW147" i="5"/>
  <c r="BW149" i="5" s="1"/>
  <c r="BW135" i="5" s="1"/>
  <c r="BW137" i="5" s="1"/>
  <c r="BW138" i="5" s="1"/>
  <c r="BW142" i="5" s="1"/>
  <c r="BW91" i="5" s="1"/>
  <c r="BW150" i="5"/>
  <c r="BW151" i="5" s="1"/>
  <c r="BX146" i="5"/>
  <c r="BH27" i="3"/>
  <c r="BI24" i="3" s="1"/>
  <c r="BI27" i="3" s="1"/>
  <c r="BJ24" i="3" s="1"/>
  <c r="BM23" i="1"/>
  <c r="BM36" i="1" s="1"/>
  <c r="BX130" i="5"/>
  <c r="BW131" i="5"/>
  <c r="BW132" i="5" s="1"/>
  <c r="BW134" i="5" s="1"/>
  <c r="BZ122" i="5"/>
  <c r="BY123" i="5"/>
  <c r="BY127" i="5" s="1"/>
  <c r="BK46" i="3"/>
  <c r="BK48" i="3" s="1"/>
  <c r="BK59" i="3" s="1"/>
  <c r="BW148" i="5"/>
  <c r="BW145" i="5"/>
  <c r="BX143" i="5"/>
  <c r="BY124" i="5"/>
  <c r="BX125" i="5"/>
  <c r="BX128" i="5" s="1"/>
  <c r="BZ129" i="5"/>
  <c r="BX140" i="5"/>
  <c r="BX141" i="5" s="1"/>
  <c r="BY139" i="5"/>
  <c r="BM17" i="1"/>
  <c r="BI32" i="3"/>
  <c r="BH73" i="3"/>
  <c r="BH79" i="3" s="1"/>
  <c r="BH70" i="3"/>
  <c r="BH76" i="3" s="1"/>
  <c r="BH71" i="3"/>
  <c r="BH77" i="3" s="1"/>
  <c r="BH69" i="3"/>
  <c r="BH75" i="3" s="1"/>
  <c r="BH72" i="3"/>
  <c r="BH78" i="3" s="1"/>
  <c r="BF9" i="4"/>
  <c r="BE23" i="4"/>
  <c r="BE24" i="4" s="1"/>
  <c r="BJ29" i="3"/>
  <c r="BY22" i="5"/>
  <c r="BZ19" i="5"/>
  <c r="BS115" i="5"/>
  <c r="BS116" i="5" s="1"/>
  <c r="BS117" i="5" s="1"/>
  <c r="BS104" i="5"/>
  <c r="BS154" i="5" s="1"/>
  <c r="BI72" i="3"/>
  <c r="BI78" i="3" s="1"/>
  <c r="BI70" i="3"/>
  <c r="BI76" i="3" s="1"/>
  <c r="BI71" i="3"/>
  <c r="BI77" i="3" s="1"/>
  <c r="BI69" i="3"/>
  <c r="BI75" i="3" s="1"/>
  <c r="BI73" i="3"/>
  <c r="BI79" i="3" s="1"/>
  <c r="BN47" i="3"/>
  <c r="BT74" i="5"/>
  <c r="BT75" i="5" s="1"/>
  <c r="BT76" i="5" s="1"/>
  <c r="BT77" i="5" s="1"/>
  <c r="CB84" i="6"/>
  <c r="CA85" i="6"/>
  <c r="BY86" i="6"/>
  <c r="BX92" i="6"/>
  <c r="BX93" i="6" s="1"/>
  <c r="BX94" i="6" s="1"/>
  <c r="BX143" i="6" s="1"/>
  <c r="BX87" i="6"/>
  <c r="BX88" i="6" s="1"/>
  <c r="BV61" i="6"/>
  <c r="BZ109" i="6"/>
  <c r="BY110" i="6"/>
  <c r="BY111" i="6" s="1"/>
  <c r="BY112" i="6" s="1"/>
  <c r="CE11" i="7"/>
  <c r="BY31" i="1" s="1"/>
  <c r="BW6" i="4"/>
  <c r="BY19" i="3"/>
  <c r="BY21" i="3" s="1"/>
  <c r="BU62" i="6"/>
  <c r="BU63" i="6" s="1"/>
  <c r="BU64" i="6" s="1"/>
  <c r="CA99" i="5"/>
  <c r="BV70" i="5"/>
  <c r="BV71" i="5" s="1"/>
  <c r="BV72" i="5" s="1"/>
  <c r="CA30" i="5"/>
  <c r="BY16" i="5"/>
  <c r="BZ15" i="5"/>
  <c r="BU2" i="3"/>
  <c r="BV5" i="3"/>
  <c r="BS1" i="4"/>
  <c r="BZ66" i="5"/>
  <c r="BY68" i="5"/>
  <c r="BY67" i="5"/>
  <c r="BW106" i="6"/>
  <c r="BW107" i="6" s="1"/>
  <c r="BW82" i="6"/>
  <c r="BR11" i="4"/>
  <c r="BZ96" i="6"/>
  <c r="BY98" i="6"/>
  <c r="BY100" i="6" s="1"/>
  <c r="BY43" i="6"/>
  <c r="BY44" i="6" s="1"/>
  <c r="BZ42" i="6"/>
  <c r="BV113" i="5"/>
  <c r="BV114" i="5" s="1"/>
  <c r="BW88" i="5"/>
  <c r="BX103" i="6"/>
  <c r="BY78" i="6"/>
  <c r="BY32" i="6"/>
  <c r="BW96" i="5"/>
  <c r="BW97" i="5" s="1"/>
  <c r="BX95" i="5"/>
  <c r="BW101" i="5"/>
  <c r="BW102" i="5" s="1"/>
  <c r="BW103" i="5" s="1"/>
  <c r="BX110" i="5"/>
  <c r="BX111" i="5" s="1"/>
  <c r="BX85" i="5"/>
  <c r="BX86" i="5" s="1"/>
  <c r="BX26" i="5"/>
  <c r="BX18" i="5"/>
  <c r="BX23" i="5" s="1"/>
  <c r="BX24" i="5" s="1"/>
  <c r="BX69" i="5"/>
  <c r="BX80" i="5"/>
  <c r="BW82" i="5"/>
  <c r="BW84" i="5" s="1"/>
  <c r="BX81" i="6"/>
  <c r="CA93" i="5"/>
  <c r="BZ94" i="5"/>
  <c r="BX47" i="6"/>
  <c r="BW48" i="6"/>
  <c r="BW54" i="6" s="1"/>
  <c r="BW55" i="6" s="1"/>
  <c r="BT65" i="6"/>
  <c r="BT66" i="6" s="1"/>
  <c r="BT67" i="6" s="1"/>
  <c r="BN22" i="1" s="1"/>
  <c r="BU104" i="6"/>
  <c r="BU105" i="6" s="1"/>
  <c r="BU108" i="6" s="1"/>
  <c r="BV79" i="6"/>
  <c r="BU80" i="6"/>
  <c r="BU95" i="6" s="1"/>
  <c r="BU71" i="5"/>
  <c r="BU72" i="5" s="1"/>
  <c r="BU73" i="5" s="1"/>
  <c r="BX118" i="5"/>
  <c r="BW119" i="5"/>
  <c r="BW120" i="5" s="1"/>
  <c r="BW121" i="5" s="1"/>
  <c r="BX30" i="3"/>
  <c r="BX26" i="3"/>
  <c r="BX107" i="1"/>
  <c r="BX73" i="6"/>
  <c r="BX75" i="6" s="1"/>
  <c r="BY71" i="6"/>
  <c r="BL22" i="4"/>
  <c r="BL25" i="4" s="1"/>
  <c r="BL26" i="4" s="1"/>
  <c r="BL12" i="4"/>
  <c r="BM10" i="4"/>
  <c r="BV89" i="5"/>
  <c r="CA105" i="5"/>
  <c r="BZ107" i="5"/>
  <c r="BZ109" i="5" s="1"/>
  <c r="BZ17" i="3"/>
  <c r="BZ16" i="3"/>
  <c r="CA4" i="3"/>
  <c r="BX144" i="6" l="1"/>
  <c r="BY45" i="6"/>
  <c r="BZ121" i="6"/>
  <c r="BY122" i="6"/>
  <c r="BY123" i="6" s="1"/>
  <c r="BY124" i="6" s="1"/>
  <c r="CA132" i="6"/>
  <c r="CA133" i="6" s="1"/>
  <c r="CB131" i="6"/>
  <c r="CA136" i="6"/>
  <c r="BZ137" i="6"/>
  <c r="BY120" i="6"/>
  <c r="BY119" i="6"/>
  <c r="BY127" i="6" s="1"/>
  <c r="BY129" i="6" s="1"/>
  <c r="BY130" i="6" s="1"/>
  <c r="CA116" i="6"/>
  <c r="BZ118" i="6"/>
  <c r="CC113" i="6"/>
  <c r="CB115" i="6"/>
  <c r="BZ31" i="6"/>
  <c r="BZ37" i="6" s="1"/>
  <c r="BZ30" i="6"/>
  <c r="BZ38" i="6" s="1"/>
  <c r="BZ40" i="6" s="1"/>
  <c r="BZ41" i="6" s="1"/>
  <c r="BY9" i="6"/>
  <c r="BZ8" i="6"/>
  <c r="CB27" i="6"/>
  <c r="CA29" i="6"/>
  <c r="BX19" i="6"/>
  <c r="BX22" i="6" s="1"/>
  <c r="BX23" i="6" s="1"/>
  <c r="BX101" i="6"/>
  <c r="BX76" i="6"/>
  <c r="BX77" i="6" s="1"/>
  <c r="BT14" i="1"/>
  <c r="BU13" i="1"/>
  <c r="BZ34" i="5"/>
  <c r="BZ38" i="5" s="1"/>
  <c r="CA33" i="5"/>
  <c r="BY54" i="5"/>
  <c r="BX59" i="5"/>
  <c r="BX56" i="5"/>
  <c r="BW64" i="5"/>
  <c r="BY57" i="5"/>
  <c r="BX58" i="5"/>
  <c r="BX60" i="5" s="1"/>
  <c r="BX46" i="5" s="1"/>
  <c r="BX48" i="5" s="1"/>
  <c r="BX49" i="5" s="1"/>
  <c r="BX53" i="5" s="1"/>
  <c r="BX90" i="5" s="1"/>
  <c r="BX61" i="5"/>
  <c r="BX62" i="5" s="1"/>
  <c r="BY130" i="5"/>
  <c r="BY41" i="5"/>
  <c r="CE40" i="5"/>
  <c r="BX45" i="5"/>
  <c r="CB50" i="5"/>
  <c r="CA51" i="5"/>
  <c r="CA52" i="5" s="1"/>
  <c r="BZ35" i="5"/>
  <c r="BY36" i="5"/>
  <c r="BY39" i="5" s="1"/>
  <c r="BJ106" i="1"/>
  <c r="BJ57" i="3"/>
  <c r="BJ71" i="3" s="1"/>
  <c r="BJ77" i="3" s="1"/>
  <c r="BJ25" i="3"/>
  <c r="BH2" i="4" s="1"/>
  <c r="BL46" i="3"/>
  <c r="BL48" i="3" s="1"/>
  <c r="BL58" i="3" s="1"/>
  <c r="BW152" i="5"/>
  <c r="BW153" i="5" s="1"/>
  <c r="BX29" i="5"/>
  <c r="BX31" i="5" s="1"/>
  <c r="BX32" i="5" s="1"/>
  <c r="BX150" i="5"/>
  <c r="BX151" i="5" s="1"/>
  <c r="BY146" i="5"/>
  <c r="BX147" i="5"/>
  <c r="BX149" i="5" s="1"/>
  <c r="BX135" i="5" s="1"/>
  <c r="BX137" i="5" s="1"/>
  <c r="BX138" i="5" s="1"/>
  <c r="BX142" i="5" s="1"/>
  <c r="BX91" i="5" s="1"/>
  <c r="BK58" i="3"/>
  <c r="CA122" i="5"/>
  <c r="BZ123" i="5"/>
  <c r="BZ127" i="5" s="1"/>
  <c r="BK50" i="3"/>
  <c r="BK29" i="3" s="1"/>
  <c r="BX148" i="5"/>
  <c r="BX145" i="5"/>
  <c r="BY143" i="5"/>
  <c r="BZ124" i="5"/>
  <c r="BY125" i="5"/>
  <c r="BY128" i="5" s="1"/>
  <c r="CA129" i="5"/>
  <c r="BY140" i="5"/>
  <c r="BY141" i="5" s="1"/>
  <c r="BZ139" i="5"/>
  <c r="BX131" i="5"/>
  <c r="BX132" i="5" s="1"/>
  <c r="BJ32" i="3"/>
  <c r="BT115" i="5"/>
  <c r="BT116" i="5" s="1"/>
  <c r="BT117" i="5" s="1"/>
  <c r="BT104" i="5"/>
  <c r="BT154" i="5" s="1"/>
  <c r="BY69" i="5"/>
  <c r="BN23" i="1"/>
  <c r="BN36" i="1" s="1"/>
  <c r="BG9" i="4"/>
  <c r="BF23" i="4"/>
  <c r="BF24" i="4" s="1"/>
  <c r="BL35" i="1"/>
  <c r="BL37" i="1" s="1"/>
  <c r="BN17" i="1"/>
  <c r="CA19" i="5"/>
  <c r="BZ22" i="5"/>
  <c r="BV73" i="5"/>
  <c r="BV74" i="5" s="1"/>
  <c r="BV75" i="5" s="1"/>
  <c r="BV76" i="5" s="1"/>
  <c r="BV77" i="5" s="1"/>
  <c r="BU74" i="5"/>
  <c r="BU75" i="5" s="1"/>
  <c r="BU76" i="5" s="1"/>
  <c r="BU77" i="5" s="1"/>
  <c r="BW113" i="5"/>
  <c r="BW114" i="5" s="1"/>
  <c r="BX88" i="5"/>
  <c r="BX89" i="5" s="1"/>
  <c r="CA17" i="3"/>
  <c r="CA16" i="3"/>
  <c r="CB4" i="3"/>
  <c r="BZ71" i="6"/>
  <c r="BY73" i="6"/>
  <c r="BY75" i="6" s="1"/>
  <c r="BY80" i="5"/>
  <c r="BX82" i="5"/>
  <c r="BX84" i="5" s="1"/>
  <c r="BV104" i="6"/>
  <c r="BV105" i="6" s="1"/>
  <c r="BV108" i="6" s="1"/>
  <c r="BW79" i="6"/>
  <c r="BV80" i="6"/>
  <c r="BV95" i="6" s="1"/>
  <c r="BY81" i="6"/>
  <c r="CB99" i="5"/>
  <c r="BY92" i="6"/>
  <c r="BY93" i="6" s="1"/>
  <c r="BY94" i="6" s="1"/>
  <c r="BY143" i="6" s="1"/>
  <c r="BZ86" i="6"/>
  <c r="BY87" i="6"/>
  <c r="BY88" i="6" s="1"/>
  <c r="BM22" i="4"/>
  <c r="BM25" i="4" s="1"/>
  <c r="BM26" i="4" s="1"/>
  <c r="BN10" i="4"/>
  <c r="BM12" i="4"/>
  <c r="BU65" i="6"/>
  <c r="BU66" i="6" s="1"/>
  <c r="BU67" i="6" s="1"/>
  <c r="BO22" i="1" s="1"/>
  <c r="BZ16" i="5"/>
  <c r="BZ41" i="5" s="1"/>
  <c r="CA15" i="5"/>
  <c r="BZ110" i="6"/>
  <c r="BZ111" i="6" s="1"/>
  <c r="BZ112" i="6" s="1"/>
  <c r="CA109" i="6"/>
  <c r="BS11" i="4"/>
  <c r="BT1" i="4"/>
  <c r="BV2" i="3"/>
  <c r="BW5" i="3"/>
  <c r="BW89" i="5"/>
  <c r="BW61" i="6"/>
  <c r="BW62" i="6" s="1"/>
  <c r="BW63" i="6" s="1"/>
  <c r="CB30" i="5"/>
  <c r="BV62" i="6"/>
  <c r="BV63" i="6" s="1"/>
  <c r="BV64" i="6" s="1"/>
  <c r="CF11" i="7"/>
  <c r="BZ31" i="1" s="1"/>
  <c r="BX6" i="4"/>
  <c r="BZ19" i="3"/>
  <c r="BZ21" i="3" s="1"/>
  <c r="CB93" i="5"/>
  <c r="CA94" i="5"/>
  <c r="BY33" i="6"/>
  <c r="BY34" i="6" s="1"/>
  <c r="BY35" i="6" s="1"/>
  <c r="BZ32" i="6"/>
  <c r="CA107" i="5"/>
  <c r="CA109" i="5" s="1"/>
  <c r="CB105" i="5"/>
  <c r="CA96" i="6"/>
  <c r="BZ98" i="6"/>
  <c r="BZ100" i="6" s="1"/>
  <c r="BY110" i="5"/>
  <c r="BY111" i="5" s="1"/>
  <c r="BY85" i="5"/>
  <c r="BY86" i="5" s="1"/>
  <c r="BY26" i="5"/>
  <c r="BY18" i="5"/>
  <c r="BY23" i="5" s="1"/>
  <c r="BY24" i="5" s="1"/>
  <c r="CC84" i="6"/>
  <c r="CB85" i="6"/>
  <c r="BY118" i="5"/>
  <c r="BX119" i="5"/>
  <c r="BX120" i="5" s="1"/>
  <c r="BX121" i="5" s="1"/>
  <c r="BY47" i="6"/>
  <c r="BX48" i="6"/>
  <c r="BX54" i="6" s="1"/>
  <c r="BX55" i="6" s="1"/>
  <c r="BX106" i="6"/>
  <c r="BX107" i="6" s="1"/>
  <c r="BX82" i="6"/>
  <c r="BZ43" i="6"/>
  <c r="BZ44" i="6" s="1"/>
  <c r="BZ45" i="6" s="1"/>
  <c r="CA42" i="6"/>
  <c r="BZ68" i="5"/>
  <c r="CA66" i="5"/>
  <c r="BZ67" i="5"/>
  <c r="BY95" i="5"/>
  <c r="BX101" i="5"/>
  <c r="BX102" i="5" s="1"/>
  <c r="BX103" i="5" s="1"/>
  <c r="BX96" i="5"/>
  <c r="BX97" i="5" s="1"/>
  <c r="BY103" i="6"/>
  <c r="BZ78" i="6"/>
  <c r="BW70" i="5"/>
  <c r="BY26" i="3"/>
  <c r="BY30" i="3"/>
  <c r="BY107" i="1"/>
  <c r="BY126" i="6" l="1"/>
  <c r="BY134" i="6"/>
  <c r="CA137" i="6"/>
  <c r="CB136" i="6"/>
  <c r="CD113" i="6"/>
  <c r="CC115" i="6"/>
  <c r="CB132" i="6"/>
  <c r="CB133" i="6" s="1"/>
  <c r="CC131" i="6"/>
  <c r="BZ120" i="6"/>
  <c r="BZ119" i="6"/>
  <c r="BZ127" i="6" s="1"/>
  <c r="BZ129" i="6" s="1"/>
  <c r="BZ130" i="6" s="1"/>
  <c r="CA118" i="6"/>
  <c r="CB116" i="6"/>
  <c r="BY144" i="6"/>
  <c r="BZ122" i="6"/>
  <c r="BZ123" i="6" s="1"/>
  <c r="BZ124" i="6" s="1"/>
  <c r="CA121" i="6"/>
  <c r="CA31" i="6"/>
  <c r="CA37" i="6" s="1"/>
  <c r="CA30" i="6"/>
  <c r="CA38" i="6" s="1"/>
  <c r="CA40" i="6" s="1"/>
  <c r="CA41" i="6" s="1"/>
  <c r="BY76" i="6"/>
  <c r="BY77" i="6" s="1"/>
  <c r="BY19" i="6"/>
  <c r="BY22" i="6" s="1"/>
  <c r="BY23" i="6" s="1"/>
  <c r="BY101" i="6"/>
  <c r="CB29" i="6"/>
  <c r="CC27" i="6"/>
  <c r="CA8" i="6"/>
  <c r="BZ9" i="6"/>
  <c r="BU14" i="1"/>
  <c r="BV13" i="1"/>
  <c r="CA34" i="5"/>
  <c r="CA38" i="5" s="1"/>
  <c r="CB33" i="5"/>
  <c r="BX63" i="5"/>
  <c r="BX64" i="5" s="1"/>
  <c r="BZ54" i="5"/>
  <c r="BY59" i="5"/>
  <c r="BY56" i="5"/>
  <c r="CC50" i="5"/>
  <c r="CB51" i="5"/>
  <c r="CB52" i="5" s="1"/>
  <c r="BZ57" i="5"/>
  <c r="BY58" i="5"/>
  <c r="BY60" i="5" s="1"/>
  <c r="BY46" i="5" s="1"/>
  <c r="BY48" i="5" s="1"/>
  <c r="BY49" i="5" s="1"/>
  <c r="BY53" i="5" s="1"/>
  <c r="BY90" i="5" s="1"/>
  <c r="BY61" i="5"/>
  <c r="BY62" i="5" s="1"/>
  <c r="BJ70" i="3"/>
  <c r="BJ76" i="3" s="1"/>
  <c r="CA35" i="5"/>
  <c r="BZ36" i="5"/>
  <c r="BZ39" i="5" s="1"/>
  <c r="BY42" i="5"/>
  <c r="BY43" i="5" s="1"/>
  <c r="BY45" i="5" s="1"/>
  <c r="BJ73" i="3"/>
  <c r="BJ79" i="3" s="1"/>
  <c r="CF40" i="5"/>
  <c r="BJ69" i="3"/>
  <c r="BJ75" i="3" s="1"/>
  <c r="BJ72" i="3"/>
  <c r="BJ78" i="3" s="1"/>
  <c r="BJ27" i="3"/>
  <c r="BK24" i="3" s="1"/>
  <c r="BL59" i="3"/>
  <c r="BL50" i="3"/>
  <c r="BL57" i="3" s="1"/>
  <c r="BX152" i="5"/>
  <c r="BY29" i="5"/>
  <c r="BY31" i="5" s="1"/>
  <c r="BY32" i="5" s="1"/>
  <c r="BZ146" i="5"/>
  <c r="BY150" i="5"/>
  <c r="BY151" i="5" s="1"/>
  <c r="BY147" i="5"/>
  <c r="BY149" i="5" s="1"/>
  <c r="BY135" i="5" s="1"/>
  <c r="BY137" i="5" s="1"/>
  <c r="BY138" i="5" s="1"/>
  <c r="BY142" i="5" s="1"/>
  <c r="BY91" i="5" s="1"/>
  <c r="BK106" i="1"/>
  <c r="BK57" i="3"/>
  <c r="BK73" i="3" s="1"/>
  <c r="BK79" i="3" s="1"/>
  <c r="BZ130" i="5"/>
  <c r="BK25" i="3"/>
  <c r="BI2" i="4" s="1"/>
  <c r="BK31" i="3"/>
  <c r="BK32" i="3" s="1"/>
  <c r="BX134" i="5"/>
  <c r="BX153" i="5" s="1"/>
  <c r="BY131" i="5"/>
  <c r="BY132" i="5" s="1"/>
  <c r="BY134" i="5" s="1"/>
  <c r="CA123" i="5"/>
  <c r="CA127" i="5" s="1"/>
  <c r="CB122" i="5"/>
  <c r="BN46" i="3"/>
  <c r="BN48" i="3" s="1"/>
  <c r="CB129" i="5"/>
  <c r="BY148" i="5"/>
  <c r="BY145" i="5"/>
  <c r="BZ143" i="5"/>
  <c r="BZ140" i="5"/>
  <c r="BZ141" i="5" s="1"/>
  <c r="CA139" i="5"/>
  <c r="CA124" i="5"/>
  <c r="BZ125" i="5"/>
  <c r="BZ128" i="5" s="1"/>
  <c r="BO17" i="1"/>
  <c r="BG23" i="4"/>
  <c r="BG24" i="4" s="1"/>
  <c r="BH9" i="4"/>
  <c r="CA22" i="5"/>
  <c r="CB19" i="5"/>
  <c r="BM46" i="3"/>
  <c r="BM48" i="3" s="1"/>
  <c r="BM18" i="1"/>
  <c r="BM35" i="1" s="1"/>
  <c r="BM37" i="1" s="1"/>
  <c r="BU104" i="5"/>
  <c r="BU115" i="5"/>
  <c r="BU116" i="5" s="1"/>
  <c r="BU117" i="5" s="1"/>
  <c r="BZ30" i="3"/>
  <c r="BZ107" i="1"/>
  <c r="BZ26" i="3"/>
  <c r="CD84" i="6"/>
  <c r="CC85" i="6"/>
  <c r="BZ81" i="6"/>
  <c r="BW64" i="6"/>
  <c r="BW65" i="6" s="1"/>
  <c r="BW66" i="6" s="1"/>
  <c r="BW67" i="6" s="1"/>
  <c r="BQ22" i="1" s="1"/>
  <c r="CB109" i="6"/>
  <c r="CA110" i="6"/>
  <c r="CA111" i="6" s="1"/>
  <c r="CA112" i="6" s="1"/>
  <c r="CG11" i="7"/>
  <c r="CA31" i="1" s="1"/>
  <c r="BY6" i="4"/>
  <c r="CA19" i="3"/>
  <c r="CA21" i="3" s="1"/>
  <c r="CC99" i="5"/>
  <c r="BZ95" i="5"/>
  <c r="BY101" i="5"/>
  <c r="BY102" i="5" s="1"/>
  <c r="BY103" i="5" s="1"/>
  <c r="BY96" i="5"/>
  <c r="BY97" i="5" s="1"/>
  <c r="BZ118" i="5"/>
  <c r="BY119" i="5"/>
  <c r="BY120" i="5" s="1"/>
  <c r="BY121" i="5" s="1"/>
  <c r="CA32" i="6"/>
  <c r="BZ33" i="6"/>
  <c r="BZ34" i="6" s="1"/>
  <c r="BZ35" i="6" s="1"/>
  <c r="BY106" i="6"/>
  <c r="BY107" i="6" s="1"/>
  <c r="BY82" i="6"/>
  <c r="BU1" i="4"/>
  <c r="BW2" i="3"/>
  <c r="BX5" i="3"/>
  <c r="BO47" i="3"/>
  <c r="BO23" i="1"/>
  <c r="BO36" i="1" s="1"/>
  <c r="CC105" i="5"/>
  <c r="CB107" i="5"/>
  <c r="CB109" i="5" s="1"/>
  <c r="BT11" i="4"/>
  <c r="BZ80" i="5"/>
  <c r="BY82" i="5"/>
  <c r="BY84" i="5" s="1"/>
  <c r="CB66" i="5"/>
  <c r="CA68" i="5"/>
  <c r="CA67" i="5"/>
  <c r="BZ69" i="5"/>
  <c r="CB15" i="5"/>
  <c r="CA16" i="5"/>
  <c r="CA41" i="5" s="1"/>
  <c r="BZ103" i="6"/>
  <c r="CA78" i="6"/>
  <c r="BZ110" i="5"/>
  <c r="BZ111" i="5" s="1"/>
  <c r="BZ85" i="5"/>
  <c r="BZ86" i="5" s="1"/>
  <c r="BZ26" i="5"/>
  <c r="BZ18" i="5"/>
  <c r="BZ23" i="5" s="1"/>
  <c r="BZ24" i="5" s="1"/>
  <c r="BZ92" i="6"/>
  <c r="BZ93" i="6" s="1"/>
  <c r="BZ94" i="6" s="1"/>
  <c r="BZ143" i="6" s="1"/>
  <c r="BZ87" i="6"/>
  <c r="BZ88" i="6" s="1"/>
  <c r="CA86" i="6"/>
  <c r="BZ73" i="6"/>
  <c r="BZ75" i="6" s="1"/>
  <c r="CA71" i="6"/>
  <c r="CA43" i="6"/>
  <c r="CA44" i="6" s="1"/>
  <c r="CA45" i="6" s="1"/>
  <c r="CB42" i="6"/>
  <c r="BX61" i="6"/>
  <c r="BO10" i="4"/>
  <c r="BN12" i="4"/>
  <c r="BN22" i="4"/>
  <c r="BN25" i="4" s="1"/>
  <c r="BN26" i="4" s="1"/>
  <c r="BV65" i="6"/>
  <c r="BV66" i="6" s="1"/>
  <c r="BV67" i="6" s="1"/>
  <c r="BP22" i="1" s="1"/>
  <c r="BX70" i="5"/>
  <c r="BW71" i="5"/>
  <c r="BW72" i="5" s="1"/>
  <c r="BW73" i="5" s="1"/>
  <c r="BY48" i="6"/>
  <c r="BY54" i="6" s="1"/>
  <c r="BY55" i="6" s="1"/>
  <c r="BZ47" i="6"/>
  <c r="CA98" i="6"/>
  <c r="CA100" i="6" s="1"/>
  <c r="CB96" i="6"/>
  <c r="CC93" i="5"/>
  <c r="CB94" i="5"/>
  <c r="CC30" i="5"/>
  <c r="BW104" i="6"/>
  <c r="BW105" i="6" s="1"/>
  <c r="BW108" i="6" s="1"/>
  <c r="BX79" i="6"/>
  <c r="BW80" i="6"/>
  <c r="BW95" i="6" s="1"/>
  <c r="CB17" i="3"/>
  <c r="CB16" i="3"/>
  <c r="CC4" i="3"/>
  <c r="BX113" i="5"/>
  <c r="BX114" i="5" s="1"/>
  <c r="BY88" i="5"/>
  <c r="BY89" i="5" s="1"/>
  <c r="BZ134" i="6" l="1"/>
  <c r="BZ126" i="6"/>
  <c r="CA122" i="6"/>
  <c r="CA123" i="6" s="1"/>
  <c r="CA124" i="6" s="1"/>
  <c r="CB121" i="6"/>
  <c r="CC132" i="6"/>
  <c r="CC133" i="6" s="1"/>
  <c r="CD131" i="6"/>
  <c r="CB118" i="6"/>
  <c r="CC116" i="6"/>
  <c r="CE113" i="6"/>
  <c r="CD115" i="6"/>
  <c r="CA120" i="6"/>
  <c r="CA119" i="6"/>
  <c r="CA127" i="6" s="1"/>
  <c r="CA129" i="6" s="1"/>
  <c r="CA130" i="6" s="1"/>
  <c r="CB137" i="6"/>
  <c r="CC136" i="6"/>
  <c r="CB8" i="6"/>
  <c r="CA9" i="6"/>
  <c r="CD27" i="6"/>
  <c r="CC29" i="6"/>
  <c r="CB31" i="6"/>
  <c r="CB37" i="6" s="1"/>
  <c r="CB30" i="6"/>
  <c r="CB38" i="6" s="1"/>
  <c r="CB40" i="6" s="1"/>
  <c r="CB41" i="6" s="1"/>
  <c r="BZ76" i="6"/>
  <c r="BZ77" i="6" s="1"/>
  <c r="BZ19" i="6"/>
  <c r="BZ22" i="6" s="1"/>
  <c r="BZ23" i="6" s="1"/>
  <c r="BZ101" i="6"/>
  <c r="BU154" i="5"/>
  <c r="BV14" i="1"/>
  <c r="BW13" i="1"/>
  <c r="BY63" i="5"/>
  <c r="BZ56" i="5"/>
  <c r="BZ59" i="5"/>
  <c r="CA54" i="5"/>
  <c r="BK27" i="3"/>
  <c r="BL24" i="3" s="1"/>
  <c r="CC33" i="5"/>
  <c r="CB34" i="5"/>
  <c r="CB38" i="5" s="1"/>
  <c r="BZ42" i="5"/>
  <c r="BZ43" i="5" s="1"/>
  <c r="CA36" i="5"/>
  <c r="CA39" i="5" s="1"/>
  <c r="CB35" i="5"/>
  <c r="CA42" i="5"/>
  <c r="CA43" i="5" s="1"/>
  <c r="BY64" i="5"/>
  <c r="BZ58" i="5"/>
  <c r="BZ60" i="5" s="1"/>
  <c r="BZ46" i="5" s="1"/>
  <c r="BZ48" i="5" s="1"/>
  <c r="BZ49" i="5" s="1"/>
  <c r="BZ53" i="5" s="1"/>
  <c r="BZ90" i="5" s="1"/>
  <c r="CA57" i="5"/>
  <c r="BZ61" i="5"/>
  <c r="BZ62" i="5" s="1"/>
  <c r="BZ63" i="5" s="1"/>
  <c r="CD50" i="5"/>
  <c r="CC51" i="5"/>
  <c r="CC52" i="5" s="1"/>
  <c r="CG40" i="5"/>
  <c r="BZ45" i="5"/>
  <c r="BL106" i="1"/>
  <c r="BL25" i="3"/>
  <c r="BJ2" i="4" s="1"/>
  <c r="BL29" i="3"/>
  <c r="BL31" i="3"/>
  <c r="BL32" i="3" s="1"/>
  <c r="BN18" i="1"/>
  <c r="BN35" i="1" s="1"/>
  <c r="BN37" i="1" s="1"/>
  <c r="BK70" i="3"/>
  <c r="BK76" i="3" s="1"/>
  <c r="BY152" i="5"/>
  <c r="BY153" i="5" s="1"/>
  <c r="BZ29" i="5"/>
  <c r="BZ31" i="5" s="1"/>
  <c r="BZ32" i="5" s="1"/>
  <c r="BZ150" i="5"/>
  <c r="BZ151" i="5" s="1"/>
  <c r="CA146" i="5"/>
  <c r="BZ147" i="5"/>
  <c r="BZ149" i="5" s="1"/>
  <c r="BZ135" i="5" s="1"/>
  <c r="BZ137" i="5" s="1"/>
  <c r="BZ138" i="5" s="1"/>
  <c r="BZ142" i="5" s="1"/>
  <c r="BZ91" i="5" s="1"/>
  <c r="BK71" i="3"/>
  <c r="BK77" i="3" s="1"/>
  <c r="BK72" i="3"/>
  <c r="BK78" i="3" s="1"/>
  <c r="BK69" i="3"/>
  <c r="BK75" i="3" s="1"/>
  <c r="CA130" i="5"/>
  <c r="CB123" i="5"/>
  <c r="CB127" i="5" s="1"/>
  <c r="CC122" i="5"/>
  <c r="BZ148" i="5"/>
  <c r="BZ145" i="5"/>
  <c r="CA143" i="5"/>
  <c r="CA125" i="5"/>
  <c r="CA128" i="5" s="1"/>
  <c r="CB124" i="5"/>
  <c r="BZ131" i="5"/>
  <c r="BZ132" i="5" s="1"/>
  <c r="BZ134" i="5" s="1"/>
  <c r="CB139" i="5"/>
  <c r="CA140" i="5"/>
  <c r="CA141" i="5" s="1"/>
  <c r="CC129" i="5"/>
  <c r="BP17" i="1"/>
  <c r="BL69" i="3"/>
  <c r="BL75" i="3" s="1"/>
  <c r="BL70" i="3"/>
  <c r="BL76" i="3" s="1"/>
  <c r="BL72" i="3"/>
  <c r="BL78" i="3" s="1"/>
  <c r="BL71" i="3"/>
  <c r="BL77" i="3" s="1"/>
  <c r="BL73" i="3"/>
  <c r="BL79" i="3" s="1"/>
  <c r="BM59" i="3"/>
  <c r="BM58" i="3"/>
  <c r="BM50" i="3"/>
  <c r="CC19" i="5"/>
  <c r="CB22" i="5"/>
  <c r="BQ47" i="3"/>
  <c r="BH23" i="4"/>
  <c r="BH24" i="4" s="1"/>
  <c r="BI9" i="4"/>
  <c r="BV115" i="5"/>
  <c r="BV116" i="5" s="1"/>
  <c r="BV117" i="5" s="1"/>
  <c r="BV104" i="5"/>
  <c r="BN50" i="3"/>
  <c r="BN59" i="3"/>
  <c r="BN58" i="3"/>
  <c r="BW74" i="5"/>
  <c r="BW75" i="5" s="1"/>
  <c r="BW76" i="5" s="1"/>
  <c r="BW77" i="5" s="1"/>
  <c r="CA110" i="5"/>
  <c r="CA111" i="5" s="1"/>
  <c r="CA26" i="5"/>
  <c r="CA85" i="5"/>
  <c r="CA86" i="5" s="1"/>
  <c r="CA18" i="5"/>
  <c r="CA23" i="5" s="1"/>
  <c r="CA24" i="5" s="1"/>
  <c r="CA47" i="6"/>
  <c r="BZ48" i="6"/>
  <c r="BZ54" i="6" s="1"/>
  <c r="BZ55" i="6" s="1"/>
  <c r="CD99" i="5"/>
  <c r="BY70" i="5"/>
  <c r="BY71" i="5" s="1"/>
  <c r="BY72" i="5" s="1"/>
  <c r="CC42" i="6"/>
  <c r="CB43" i="6"/>
  <c r="CB44" i="6" s="1"/>
  <c r="BU11" i="4"/>
  <c r="CA30" i="3"/>
  <c r="CA107" i="1"/>
  <c r="CA26" i="3"/>
  <c r="CA73" i="6"/>
  <c r="CA75" i="6" s="1"/>
  <c r="CB71" i="6"/>
  <c r="CC66" i="5"/>
  <c r="CB68" i="5"/>
  <c r="CB67" i="5"/>
  <c r="BV1" i="4"/>
  <c r="BY5" i="3"/>
  <c r="BX2" i="3"/>
  <c r="CC94" i="5"/>
  <c r="CD93" i="5"/>
  <c r="CA33" i="6"/>
  <c r="CA34" i="6" s="1"/>
  <c r="CA35" i="6" s="1"/>
  <c r="CB32" i="6"/>
  <c r="CB110" i="6"/>
  <c r="CB111" i="6" s="1"/>
  <c r="CB112" i="6" s="1"/>
  <c r="CC109" i="6"/>
  <c r="BY61" i="6"/>
  <c r="BZ82" i="5"/>
  <c r="BZ84" i="5" s="1"/>
  <c r="CA80" i="5"/>
  <c r="BY113" i="5"/>
  <c r="BY114" i="5" s="1"/>
  <c r="BZ88" i="5"/>
  <c r="BZ89" i="5" s="1"/>
  <c r="BX62" i="6"/>
  <c r="BX63" i="6" s="1"/>
  <c r="BX64" i="6" s="1"/>
  <c r="CA87" i="6"/>
  <c r="CA88" i="6" s="1"/>
  <c r="CA92" i="6"/>
  <c r="CA93" i="6" s="1"/>
  <c r="CA94" i="6" s="1"/>
  <c r="CA143" i="6" s="1"/>
  <c r="CB86" i="6"/>
  <c r="CA118" i="5"/>
  <c r="BZ119" i="5"/>
  <c r="BZ120" i="5" s="1"/>
  <c r="BZ121" i="5" s="1"/>
  <c r="CH11" i="7"/>
  <c r="CB31" i="1" s="1"/>
  <c r="BZ6" i="4"/>
  <c r="CB19" i="3"/>
  <c r="CB21" i="3" s="1"/>
  <c r="BX71" i="5"/>
  <c r="BX72" i="5" s="1"/>
  <c r="BX73" i="5" s="1"/>
  <c r="CA81" i="6"/>
  <c r="CA103" i="6"/>
  <c r="CB78" i="6"/>
  <c r="BZ101" i="5"/>
  <c r="BZ102" i="5" s="1"/>
  <c r="BZ103" i="5" s="1"/>
  <c r="CA95" i="5"/>
  <c r="BZ96" i="5"/>
  <c r="BZ97" i="5" s="1"/>
  <c r="BX104" i="6"/>
  <c r="BX105" i="6" s="1"/>
  <c r="BX108" i="6" s="1"/>
  <c r="BY79" i="6"/>
  <c r="BX80" i="6"/>
  <c r="BX95" i="6" s="1"/>
  <c r="CB98" i="6"/>
  <c r="CB100" i="6" s="1"/>
  <c r="CC96" i="6"/>
  <c r="BP10" i="4"/>
  <c r="BO12" i="4"/>
  <c r="BO22" i="4"/>
  <c r="BO25" i="4" s="1"/>
  <c r="BO26" i="4" s="1"/>
  <c r="BP23" i="1"/>
  <c r="BP36" i="1" s="1"/>
  <c r="BP47" i="3"/>
  <c r="CC15" i="5"/>
  <c r="CB16" i="5"/>
  <c r="CB41" i="5" s="1"/>
  <c r="CD30" i="5"/>
  <c r="BZ106" i="6"/>
  <c r="BZ107" i="6" s="1"/>
  <c r="BZ82" i="6"/>
  <c r="CC17" i="3"/>
  <c r="CC16" i="3"/>
  <c r="CD4" i="3"/>
  <c r="CA69" i="5"/>
  <c r="CD105" i="5"/>
  <c r="CC107" i="5"/>
  <c r="CC109" i="5" s="1"/>
  <c r="CE84" i="6"/>
  <c r="CD85" i="6"/>
  <c r="CA126" i="6" l="1"/>
  <c r="CA134" i="6"/>
  <c r="CA144" i="6" s="1"/>
  <c r="BZ144" i="6"/>
  <c r="CD132" i="6"/>
  <c r="CD133" i="6" s="1"/>
  <c r="CE131" i="6"/>
  <c r="CE115" i="6"/>
  <c r="CF113" i="6"/>
  <c r="CC118" i="6"/>
  <c r="CD116" i="6"/>
  <c r="CB119" i="6"/>
  <c r="CB127" i="6" s="1"/>
  <c r="CB129" i="6" s="1"/>
  <c r="CB130" i="6" s="1"/>
  <c r="CB120" i="6"/>
  <c r="CC137" i="6"/>
  <c r="CD136" i="6"/>
  <c r="CB122" i="6"/>
  <c r="CB123" i="6" s="1"/>
  <c r="CB124" i="6" s="1"/>
  <c r="CC121" i="6"/>
  <c r="CB45" i="6"/>
  <c r="CE27" i="6"/>
  <c r="CD29" i="6"/>
  <c r="CA101" i="6"/>
  <c r="CA76" i="6"/>
  <c r="CA77" i="6" s="1"/>
  <c r="CA19" i="6"/>
  <c r="CA22" i="6" s="1"/>
  <c r="CA23" i="6" s="1"/>
  <c r="CC31" i="6"/>
  <c r="CC37" i="6" s="1"/>
  <c r="CC30" i="6"/>
  <c r="CC38" i="6" s="1"/>
  <c r="CC40" i="6" s="1"/>
  <c r="CC41" i="6" s="1"/>
  <c r="CB9" i="6"/>
  <c r="CC8" i="6"/>
  <c r="BV154" i="5"/>
  <c r="BX13" i="1"/>
  <c r="BW14" i="1"/>
  <c r="CD33" i="5"/>
  <c r="CC34" i="5"/>
  <c r="CC38" i="5" s="1"/>
  <c r="CA59" i="5"/>
  <c r="CB54" i="5"/>
  <c r="CA56" i="5"/>
  <c r="BZ64" i="5"/>
  <c r="CA58" i="5"/>
  <c r="CA60" i="5" s="1"/>
  <c r="CA46" i="5" s="1"/>
  <c r="CA48" i="5" s="1"/>
  <c r="CA49" i="5" s="1"/>
  <c r="CA53" i="5" s="1"/>
  <c r="CA90" i="5" s="1"/>
  <c r="CB57" i="5"/>
  <c r="CA61" i="5"/>
  <c r="CA62" i="5" s="1"/>
  <c r="CA63" i="5" s="1"/>
  <c r="CB36" i="5"/>
  <c r="CB39" i="5" s="1"/>
  <c r="CC35" i="5"/>
  <c r="CE50" i="5"/>
  <c r="CD51" i="5"/>
  <c r="CD52" i="5" s="1"/>
  <c r="BL27" i="3"/>
  <c r="BM24" i="3" s="1"/>
  <c r="CH40" i="5"/>
  <c r="CA45" i="5"/>
  <c r="BZ152" i="5"/>
  <c r="BZ153" i="5" s="1"/>
  <c r="CA29" i="5"/>
  <c r="CA31" i="5" s="1"/>
  <c r="CA150" i="5"/>
  <c r="CA151" i="5" s="1"/>
  <c r="CA147" i="5"/>
  <c r="CA149" i="5" s="1"/>
  <c r="CA135" i="5" s="1"/>
  <c r="CA137" i="5" s="1"/>
  <c r="CA138" i="5" s="1"/>
  <c r="CA142" i="5" s="1"/>
  <c r="CA91" i="5" s="1"/>
  <c r="CB146" i="5"/>
  <c r="CB130" i="5"/>
  <c r="CC123" i="5"/>
  <c r="CC127" i="5" s="1"/>
  <c r="CD122" i="5"/>
  <c r="CC139" i="5"/>
  <c r="CB140" i="5"/>
  <c r="CB141" i="5" s="1"/>
  <c r="CA148" i="5"/>
  <c r="CA145" i="5"/>
  <c r="CB143" i="5"/>
  <c r="CB125" i="5"/>
  <c r="CB128" i="5" s="1"/>
  <c r="CC124" i="5"/>
  <c r="CD129" i="5"/>
  <c r="CA131" i="5"/>
  <c r="CA132" i="5" s="1"/>
  <c r="CA134" i="5" s="1"/>
  <c r="BP18" i="1"/>
  <c r="BQ23" i="1"/>
  <c r="BQ36" i="1" s="1"/>
  <c r="BQ17" i="1"/>
  <c r="BM31" i="3"/>
  <c r="BM32" i="3" s="1"/>
  <c r="BM106" i="1"/>
  <c r="BM25" i="3"/>
  <c r="BK2" i="4" s="1"/>
  <c r="BM29" i="3"/>
  <c r="BM57" i="3"/>
  <c r="BN31" i="3"/>
  <c r="BN29" i="3"/>
  <c r="BN57" i="3"/>
  <c r="BN25" i="3"/>
  <c r="BL2" i="4" s="1"/>
  <c r="BN106" i="1"/>
  <c r="BW115" i="5"/>
  <c r="BW116" i="5" s="1"/>
  <c r="BW117" i="5" s="1"/>
  <c r="BW104" i="5"/>
  <c r="BW154" i="5" s="1"/>
  <c r="CA32" i="5"/>
  <c r="CD19" i="5"/>
  <c r="CC22" i="5"/>
  <c r="BI23" i="4"/>
  <c r="BI24" i="4" s="1"/>
  <c r="BJ9" i="4"/>
  <c r="BO46" i="3"/>
  <c r="BO48" i="3" s="1"/>
  <c r="BO18" i="1"/>
  <c r="BX65" i="6"/>
  <c r="BX66" i="6" s="1"/>
  <c r="BX67" i="6" s="1"/>
  <c r="BR22" i="1" s="1"/>
  <c r="BY73" i="5"/>
  <c r="BY74" i="5" s="1"/>
  <c r="BY75" i="5" s="1"/>
  <c r="BY76" i="5" s="1"/>
  <c r="BY77" i="5" s="1"/>
  <c r="BX74" i="5"/>
  <c r="BX75" i="5" s="1"/>
  <c r="BX76" i="5" s="1"/>
  <c r="BX77" i="5" s="1"/>
  <c r="BZ61" i="6"/>
  <c r="BZ62" i="6" s="1"/>
  <c r="BZ63" i="6" s="1"/>
  <c r="CB73" i="6"/>
  <c r="CB75" i="6" s="1"/>
  <c r="CC71" i="6"/>
  <c r="CD16" i="3"/>
  <c r="CE4" i="3"/>
  <c r="CD17" i="3"/>
  <c r="CB81" i="6"/>
  <c r="CI11" i="7"/>
  <c r="CC31" i="1" s="1"/>
  <c r="CA6" i="4"/>
  <c r="CC19" i="3"/>
  <c r="CC21" i="3" s="1"/>
  <c r="BP12" i="4"/>
  <c r="BQ10" i="4"/>
  <c r="BP22" i="4"/>
  <c r="BP25" i="4" s="1"/>
  <c r="BP26" i="4" s="1"/>
  <c r="BY62" i="6"/>
  <c r="BY63" i="6" s="1"/>
  <c r="BY64" i="6" s="1"/>
  <c r="CC67" i="5"/>
  <c r="CD66" i="5"/>
  <c r="CC68" i="5"/>
  <c r="BV11" i="4"/>
  <c r="CE99" i="5"/>
  <c r="CC98" i="6"/>
  <c r="CC100" i="6" s="1"/>
  <c r="CD96" i="6"/>
  <c r="CE30" i="5"/>
  <c r="CD15" i="5"/>
  <c r="CC16" i="5"/>
  <c r="CE105" i="5"/>
  <c r="CD107" i="5"/>
  <c r="CD109" i="5" s="1"/>
  <c r="CA119" i="5"/>
  <c r="CA120" i="5" s="1"/>
  <c r="CA121" i="5" s="1"/>
  <c r="CB118" i="5"/>
  <c r="BZ113" i="5"/>
  <c r="BZ114" i="5" s="1"/>
  <c r="CA88" i="5"/>
  <c r="BZ70" i="5"/>
  <c r="BZ71" i="5" s="1"/>
  <c r="BZ72" i="5" s="1"/>
  <c r="CF84" i="6"/>
  <c r="CE85" i="6"/>
  <c r="CA101" i="5"/>
  <c r="CA102" i="5" s="1"/>
  <c r="CA103" i="5" s="1"/>
  <c r="CA96" i="5"/>
  <c r="CA97" i="5" s="1"/>
  <c r="CB95" i="5"/>
  <c r="CC43" i="6"/>
  <c r="CC44" i="6" s="1"/>
  <c r="CD42" i="6"/>
  <c r="CC32" i="6"/>
  <c r="CB33" i="6"/>
  <c r="CB34" i="6" s="1"/>
  <c r="CB35" i="6" s="1"/>
  <c r="CB30" i="3"/>
  <c r="CB26" i="3"/>
  <c r="CB107" i="1"/>
  <c r="CB87" i="6"/>
  <c r="CB88" i="6" s="1"/>
  <c r="CB92" i="6"/>
  <c r="CB93" i="6" s="1"/>
  <c r="CB94" i="6" s="1"/>
  <c r="CB143" i="6" s="1"/>
  <c r="CC86" i="6"/>
  <c r="CA82" i="5"/>
  <c r="CA84" i="5" s="1"/>
  <c r="CB80" i="5"/>
  <c r="CA106" i="6"/>
  <c r="CA107" i="6" s="1"/>
  <c r="CA82" i="6"/>
  <c r="CB110" i="5"/>
  <c r="CB111" i="5" s="1"/>
  <c r="CB26" i="5"/>
  <c r="CB85" i="5"/>
  <c r="CB86" i="5" s="1"/>
  <c r="CB18" i="5"/>
  <c r="CB23" i="5" s="1"/>
  <c r="CB24" i="5" s="1"/>
  <c r="CC110" i="6"/>
  <c r="CC111" i="6" s="1"/>
  <c r="CC112" i="6" s="1"/>
  <c r="CD109" i="6"/>
  <c r="CA48" i="6"/>
  <c r="CA54" i="6" s="1"/>
  <c r="CA55" i="6" s="1"/>
  <c r="CB47" i="6"/>
  <c r="BW1" i="4"/>
  <c r="BZ5" i="3"/>
  <c r="BY2" i="3"/>
  <c r="BY104" i="6"/>
  <c r="BY105" i="6" s="1"/>
  <c r="BY108" i="6" s="1"/>
  <c r="BZ79" i="6"/>
  <c r="BY80" i="6"/>
  <c r="BY95" i="6" s="1"/>
  <c r="CB103" i="6"/>
  <c r="CC78" i="6"/>
  <c r="CE93" i="5"/>
  <c r="CD94" i="5"/>
  <c r="CB69" i="5"/>
  <c r="CB126" i="6" l="1"/>
  <c r="CB134" i="6"/>
  <c r="CD121" i="6"/>
  <c r="CC122" i="6"/>
  <c r="CC123" i="6" s="1"/>
  <c r="CC124" i="6" s="1"/>
  <c r="CB144" i="6"/>
  <c r="CE116" i="6"/>
  <c r="CD118" i="6"/>
  <c r="CC120" i="6"/>
  <c r="CC119" i="6"/>
  <c r="CC127" i="6" s="1"/>
  <c r="CC129" i="6" s="1"/>
  <c r="CC130" i="6" s="1"/>
  <c r="CF115" i="6"/>
  <c r="CG113" i="6"/>
  <c r="CD137" i="6"/>
  <c r="CE136" i="6"/>
  <c r="CF131" i="6"/>
  <c r="CE132" i="6"/>
  <c r="CE133" i="6" s="1"/>
  <c r="CC45" i="6"/>
  <c r="CC9" i="6"/>
  <c r="CD8" i="6"/>
  <c r="CF27" i="6"/>
  <c r="CE29" i="6"/>
  <c r="CD30" i="6"/>
  <c r="CD38" i="6" s="1"/>
  <c r="CD40" i="6" s="1"/>
  <c r="CD41" i="6" s="1"/>
  <c r="CD31" i="6"/>
  <c r="CD37" i="6" s="1"/>
  <c r="CB101" i="6"/>
  <c r="CB76" i="6"/>
  <c r="CB77" i="6" s="1"/>
  <c r="CB19" i="6"/>
  <c r="CB22" i="6" s="1"/>
  <c r="CB23" i="6" s="1"/>
  <c r="BX14" i="1"/>
  <c r="BY13" i="1"/>
  <c r="CB59" i="5"/>
  <c r="CC54" i="5"/>
  <c r="CB56" i="5"/>
  <c r="CB42" i="5"/>
  <c r="CB43" i="5" s="1"/>
  <c r="CB45" i="5" s="1"/>
  <c r="CB64" i="5" s="1"/>
  <c r="CD34" i="5"/>
  <c r="CD38" i="5" s="1"/>
  <c r="CE33" i="5"/>
  <c r="CA64" i="5"/>
  <c r="CC36" i="5"/>
  <c r="CC39" i="5" s="1"/>
  <c r="CD35" i="5"/>
  <c r="CC130" i="5"/>
  <c r="CC41" i="5"/>
  <c r="CC42" i="5" s="1"/>
  <c r="CC43" i="5" s="1"/>
  <c r="CI40" i="5"/>
  <c r="CE51" i="5"/>
  <c r="CE52" i="5" s="1"/>
  <c r="CF50" i="5"/>
  <c r="CA152" i="5"/>
  <c r="CB58" i="5"/>
  <c r="CB60" i="5" s="1"/>
  <c r="CB46" i="5" s="1"/>
  <c r="CB48" i="5" s="1"/>
  <c r="CB49" i="5" s="1"/>
  <c r="CB53" i="5" s="1"/>
  <c r="CB90" i="5" s="1"/>
  <c r="CB61" i="5"/>
  <c r="CB62" i="5" s="1"/>
  <c r="CB63" i="5" s="1"/>
  <c r="CC57" i="5"/>
  <c r="CB29" i="5"/>
  <c r="CB31" i="5" s="1"/>
  <c r="CB147" i="5"/>
  <c r="CB149" i="5" s="1"/>
  <c r="CB135" i="5" s="1"/>
  <c r="CB137" i="5" s="1"/>
  <c r="CB138" i="5" s="1"/>
  <c r="CB142" i="5" s="1"/>
  <c r="CB91" i="5" s="1"/>
  <c r="CC146" i="5"/>
  <c r="CB150" i="5"/>
  <c r="CB151" i="5" s="1"/>
  <c r="CB131" i="5"/>
  <c r="CB132" i="5" s="1"/>
  <c r="CB134" i="5" s="1"/>
  <c r="CD123" i="5"/>
  <c r="CD127" i="5" s="1"/>
  <c r="CE122" i="5"/>
  <c r="CA153" i="5"/>
  <c r="BP46" i="3"/>
  <c r="BP48" i="3" s="1"/>
  <c r="BP58" i="3" s="1"/>
  <c r="CE129" i="5"/>
  <c r="CD139" i="5"/>
  <c r="CC140" i="5"/>
  <c r="CC141" i="5" s="1"/>
  <c r="CB148" i="5"/>
  <c r="CB145" i="5"/>
  <c r="CC143" i="5"/>
  <c r="CC125" i="5"/>
  <c r="CC128" i="5" s="1"/>
  <c r="CD124" i="5"/>
  <c r="BQ18" i="1"/>
  <c r="BQ35" i="1" s="1"/>
  <c r="BQ37" i="1" s="1"/>
  <c r="BN32" i="3"/>
  <c r="BS47" i="3"/>
  <c r="BX115" i="5"/>
  <c r="BX116" i="5" s="1"/>
  <c r="BX117" i="5" s="1"/>
  <c r="BX104" i="5"/>
  <c r="BX154" i="5" s="1"/>
  <c r="BP35" i="1"/>
  <c r="BP37" i="1" s="1"/>
  <c r="BO35" i="1"/>
  <c r="BO37" i="1" s="1"/>
  <c r="BM69" i="3"/>
  <c r="BM75" i="3" s="1"/>
  <c r="BM70" i="3"/>
  <c r="BM76" i="3" s="1"/>
  <c r="BM72" i="3"/>
  <c r="BM78" i="3" s="1"/>
  <c r="BM73" i="3"/>
  <c r="BM79" i="3" s="1"/>
  <c r="BM71" i="3"/>
  <c r="BM77" i="3" s="1"/>
  <c r="BO58" i="3"/>
  <c r="BO59" i="3"/>
  <c r="BO50" i="3"/>
  <c r="BR17" i="1"/>
  <c r="BK9" i="4"/>
  <c r="BJ23" i="4"/>
  <c r="BJ24" i="4" s="1"/>
  <c r="CE19" i="5"/>
  <c r="CD22" i="5"/>
  <c r="BM27" i="3"/>
  <c r="BN24" i="3" s="1"/>
  <c r="BN27" i="3" s="1"/>
  <c r="BO24" i="3" s="1"/>
  <c r="BN69" i="3"/>
  <c r="BN75" i="3" s="1"/>
  <c r="BN72" i="3"/>
  <c r="BN78" i="3" s="1"/>
  <c r="BN73" i="3"/>
  <c r="BN79" i="3" s="1"/>
  <c r="BN71" i="3"/>
  <c r="BN77" i="3" s="1"/>
  <c r="BN70" i="3"/>
  <c r="BN76" i="3" s="1"/>
  <c r="BZ64" i="6"/>
  <c r="BZ65" i="6" s="1"/>
  <c r="BZ66" i="6" s="1"/>
  <c r="BZ67" i="6" s="1"/>
  <c r="BT22" i="1" s="1"/>
  <c r="BY65" i="6"/>
  <c r="BY66" i="6" s="1"/>
  <c r="BY67" i="6" s="1"/>
  <c r="BS22" i="1" s="1"/>
  <c r="CA113" i="5"/>
  <c r="CA114" i="5" s="1"/>
  <c r="CB88" i="5"/>
  <c r="CD68" i="5"/>
  <c r="CE66" i="5"/>
  <c r="CD67" i="5"/>
  <c r="CB82" i="5"/>
  <c r="CB84" i="5" s="1"/>
  <c r="CC80" i="5"/>
  <c r="CB106" i="6"/>
  <c r="CB107" i="6" s="1"/>
  <c r="CB82" i="6"/>
  <c r="CE94" i="5"/>
  <c r="CF93" i="5"/>
  <c r="BR23" i="1"/>
  <c r="BR36" i="1" s="1"/>
  <c r="BR47" i="3"/>
  <c r="CC110" i="5"/>
  <c r="CC111" i="5" s="1"/>
  <c r="CC85" i="5"/>
  <c r="CC86" i="5" s="1"/>
  <c r="CC26" i="5"/>
  <c r="CC18" i="5"/>
  <c r="CC23" i="5" s="1"/>
  <c r="CC24" i="5" s="1"/>
  <c r="CC26" i="3"/>
  <c r="CC30" i="3"/>
  <c r="CC107" i="1"/>
  <c r="CF4" i="3"/>
  <c r="CE16" i="3"/>
  <c r="CE17" i="3"/>
  <c r="CA89" i="5"/>
  <c r="CD71" i="6"/>
  <c r="CC73" i="6"/>
  <c r="CC75" i="6" s="1"/>
  <c r="CD16" i="5"/>
  <c r="CD41" i="5" s="1"/>
  <c r="CE15" i="5"/>
  <c r="CC81" i="6"/>
  <c r="CF99" i="5"/>
  <c r="CD110" i="6"/>
  <c r="CD111" i="6" s="1"/>
  <c r="CD112" i="6" s="1"/>
  <c r="CE109" i="6"/>
  <c r="CG84" i="6"/>
  <c r="CF85" i="6"/>
  <c r="BQ12" i="4"/>
  <c r="BQ22" i="4"/>
  <c r="BQ25" i="4" s="1"/>
  <c r="BQ26" i="4" s="1"/>
  <c r="BR10" i="4"/>
  <c r="CJ11" i="7"/>
  <c r="CD31" i="1" s="1"/>
  <c r="CB6" i="4"/>
  <c r="CD19" i="3"/>
  <c r="CD21" i="3" s="1"/>
  <c r="CE107" i="5"/>
  <c r="CE109" i="5" s="1"/>
  <c r="CF105" i="5"/>
  <c r="CD98" i="6"/>
  <c r="CD100" i="6" s="1"/>
  <c r="CE96" i="6"/>
  <c r="CC103" i="6"/>
  <c r="CD78" i="6"/>
  <c r="CC47" i="6"/>
  <c r="CB48" i="6"/>
  <c r="CB54" i="6" s="1"/>
  <c r="CB55" i="6" s="1"/>
  <c r="CB119" i="5"/>
  <c r="CB120" i="5" s="1"/>
  <c r="CB121" i="5" s="1"/>
  <c r="CC118" i="5"/>
  <c r="BX1" i="4"/>
  <c r="CA5" i="3"/>
  <c r="BZ2" i="3"/>
  <c r="CC87" i="6"/>
  <c r="CC88" i="6" s="1"/>
  <c r="CC92" i="6"/>
  <c r="CC93" i="6" s="1"/>
  <c r="CC94" i="6" s="1"/>
  <c r="CC143" i="6" s="1"/>
  <c r="CD86" i="6"/>
  <c r="CD43" i="6"/>
  <c r="CD44" i="6" s="1"/>
  <c r="CE42" i="6"/>
  <c r="CA61" i="6"/>
  <c r="CA62" i="6" s="1"/>
  <c r="CA63" i="6" s="1"/>
  <c r="BZ104" i="6"/>
  <c r="BZ105" i="6" s="1"/>
  <c r="BZ108" i="6" s="1"/>
  <c r="CA79" i="6"/>
  <c r="BZ80" i="6"/>
  <c r="BZ95" i="6" s="1"/>
  <c r="BW11" i="4"/>
  <c r="CB32" i="5"/>
  <c r="CD32" i="6"/>
  <c r="CC33" i="6"/>
  <c r="CC34" i="6" s="1"/>
  <c r="CC35" i="6" s="1"/>
  <c r="CB101" i="5"/>
  <c r="CB102" i="5" s="1"/>
  <c r="CB103" i="5" s="1"/>
  <c r="CC95" i="5"/>
  <c r="CB96" i="5"/>
  <c r="CB97" i="5" s="1"/>
  <c r="CA70" i="5"/>
  <c r="CA71" i="5" s="1"/>
  <c r="CA72" i="5" s="1"/>
  <c r="CF30" i="5"/>
  <c r="CC69" i="5"/>
  <c r="BZ73" i="5"/>
  <c r="BZ74" i="5" s="1"/>
  <c r="BZ75" i="5" s="1"/>
  <c r="BZ76" i="5" s="1"/>
  <c r="BZ77" i="5" s="1"/>
  <c r="CC134" i="6" l="1"/>
  <c r="CC126" i="6"/>
  <c r="CD120" i="6"/>
  <c r="CD126" i="6" s="1"/>
  <c r="CD119" i="6"/>
  <c r="CD127" i="6" s="1"/>
  <c r="CD129" i="6" s="1"/>
  <c r="CD130" i="6" s="1"/>
  <c r="CD134" i="6" s="1"/>
  <c r="CG131" i="6"/>
  <c r="CF132" i="6"/>
  <c r="CF133" i="6" s="1"/>
  <c r="CF116" i="6"/>
  <c r="CE118" i="6"/>
  <c r="CF136" i="6"/>
  <c r="CE137" i="6"/>
  <c r="CH113" i="6"/>
  <c r="CG115" i="6"/>
  <c r="CE121" i="6"/>
  <c r="CD122" i="6"/>
  <c r="CD123" i="6" s="1"/>
  <c r="CD124" i="6" s="1"/>
  <c r="CD9" i="6"/>
  <c r="CD33" i="6" s="1"/>
  <c r="CD34" i="6" s="1"/>
  <c r="CD35" i="6" s="1"/>
  <c r="CE8" i="6"/>
  <c r="CC101" i="6"/>
  <c r="CC76" i="6"/>
  <c r="CC77" i="6" s="1"/>
  <c r="CC19" i="6"/>
  <c r="CC22" i="6" s="1"/>
  <c r="CC23" i="6" s="1"/>
  <c r="CE30" i="6"/>
  <c r="CE38" i="6" s="1"/>
  <c r="CE40" i="6" s="1"/>
  <c r="CE41" i="6" s="1"/>
  <c r="CE31" i="6"/>
  <c r="CE37" i="6" s="1"/>
  <c r="CD45" i="6"/>
  <c r="CD81" i="6" s="1"/>
  <c r="CF29" i="6"/>
  <c r="CG27" i="6"/>
  <c r="BZ13" i="1"/>
  <c r="BY14" i="1"/>
  <c r="CE34" i="5"/>
  <c r="CE38" i="5" s="1"/>
  <c r="CF33" i="5"/>
  <c r="CC56" i="5"/>
  <c r="CD54" i="5"/>
  <c r="CC59" i="5"/>
  <c r="CJ40" i="5"/>
  <c r="CC61" i="5"/>
  <c r="CC62" i="5" s="1"/>
  <c r="CC63" i="5" s="1"/>
  <c r="CC58" i="5"/>
  <c r="CC60" i="5" s="1"/>
  <c r="CC46" i="5" s="1"/>
  <c r="CC48" i="5" s="1"/>
  <c r="CC49" i="5" s="1"/>
  <c r="CC53" i="5" s="1"/>
  <c r="CC90" i="5" s="1"/>
  <c r="CD57" i="5"/>
  <c r="CF51" i="5"/>
  <c r="CF52" i="5" s="1"/>
  <c r="CG50" i="5"/>
  <c r="CC45" i="5"/>
  <c r="CD36" i="5"/>
  <c r="CD39" i="5" s="1"/>
  <c r="CE35" i="5"/>
  <c r="CC29" i="5"/>
  <c r="CC31" i="5" s="1"/>
  <c r="CC32" i="5" s="1"/>
  <c r="CD146" i="5"/>
  <c r="CC150" i="5"/>
  <c r="CC151" i="5" s="1"/>
  <c r="CC147" i="5"/>
  <c r="CC149" i="5" s="1"/>
  <c r="CC135" i="5" s="1"/>
  <c r="CC137" i="5" s="1"/>
  <c r="CC138" i="5" s="1"/>
  <c r="CC142" i="5" s="1"/>
  <c r="CC91" i="5" s="1"/>
  <c r="CD130" i="5"/>
  <c r="BQ46" i="3"/>
  <c r="BQ48" i="3" s="1"/>
  <c r="BQ58" i="3" s="1"/>
  <c r="CB152" i="5"/>
  <c r="CB153" i="5" s="1"/>
  <c r="BP59" i="3"/>
  <c r="CF122" i="5"/>
  <c r="CE123" i="5"/>
  <c r="CE127" i="5" s="1"/>
  <c r="BP50" i="3"/>
  <c r="BP106" i="1" s="1"/>
  <c r="BT23" i="1"/>
  <c r="CD125" i="5"/>
  <c r="CD128" i="5" s="1"/>
  <c r="CE124" i="5"/>
  <c r="CF129" i="5"/>
  <c r="CE139" i="5"/>
  <c r="CD140" i="5"/>
  <c r="CD141" i="5" s="1"/>
  <c r="CC145" i="5"/>
  <c r="CC148" i="5"/>
  <c r="CD143" i="5"/>
  <c r="CC131" i="5"/>
  <c r="CC132" i="5" s="1"/>
  <c r="CC134" i="5" s="1"/>
  <c r="BS23" i="1"/>
  <c r="BS36" i="1" s="1"/>
  <c r="BS17" i="1"/>
  <c r="CF19" i="5"/>
  <c r="CE22" i="5"/>
  <c r="BY104" i="5"/>
  <c r="BY115" i="5"/>
  <c r="BY116" i="5" s="1"/>
  <c r="BY117" i="5" s="1"/>
  <c r="BK23" i="4"/>
  <c r="BK24" i="4" s="1"/>
  <c r="BL9" i="4"/>
  <c r="BO57" i="3"/>
  <c r="BO25" i="3"/>
  <c r="BM2" i="4" s="1"/>
  <c r="BO31" i="3"/>
  <c r="BO32" i="3" s="1"/>
  <c r="BO29" i="3"/>
  <c r="BO106" i="1"/>
  <c r="CE98" i="6"/>
  <c r="CE100" i="6" s="1"/>
  <c r="CF96" i="6"/>
  <c r="CK11" i="7"/>
  <c r="CE31" i="1" s="1"/>
  <c r="CC6" i="4"/>
  <c r="CE19" i="3"/>
  <c r="CE21" i="3" s="1"/>
  <c r="CG93" i="5"/>
  <c r="CF94" i="5"/>
  <c r="CB113" i="5"/>
  <c r="CB114" i="5" s="1"/>
  <c r="CC88" i="5"/>
  <c r="CC89" i="5" s="1"/>
  <c r="CB61" i="6"/>
  <c r="BX11" i="4"/>
  <c r="CC106" i="6"/>
  <c r="CC107" i="6" s="1"/>
  <c r="CC82" i="6"/>
  <c r="CB89" i="5"/>
  <c r="CE32" i="6"/>
  <c r="CE110" i="6"/>
  <c r="CE111" i="6" s="1"/>
  <c r="CE112" i="6" s="1"/>
  <c r="CF109" i="6"/>
  <c r="CF16" i="3"/>
  <c r="CG4" i="3"/>
  <c r="CF17" i="3"/>
  <c r="CE16" i="5"/>
  <c r="CE41" i="5" s="1"/>
  <c r="CF15" i="5"/>
  <c r="CG30" i="5"/>
  <c r="CA104" i="6"/>
  <c r="CA105" i="6" s="1"/>
  <c r="CA108" i="6" s="1"/>
  <c r="CB79" i="6"/>
  <c r="CA80" i="6"/>
  <c r="CA95" i="6" s="1"/>
  <c r="CC119" i="5"/>
  <c r="CC120" i="5" s="1"/>
  <c r="CC121" i="5" s="1"/>
  <c r="CD118" i="5"/>
  <c r="CC48" i="6"/>
  <c r="CC54" i="6" s="1"/>
  <c r="CC55" i="6" s="1"/>
  <c r="CD47" i="6"/>
  <c r="BS10" i="4"/>
  <c r="BR12" i="4"/>
  <c r="BR22" i="4"/>
  <c r="BR25" i="4" s="1"/>
  <c r="BR26" i="4" s="1"/>
  <c r="CD110" i="5"/>
  <c r="CD111" i="5" s="1"/>
  <c r="CD85" i="5"/>
  <c r="CD86" i="5" s="1"/>
  <c r="CD26" i="5"/>
  <c r="CD18" i="5"/>
  <c r="CD23" i="5" s="1"/>
  <c r="CD24" i="5" s="1"/>
  <c r="CE67" i="5"/>
  <c r="CE68" i="5"/>
  <c r="CF66" i="5"/>
  <c r="CC101" i="5"/>
  <c r="CC102" i="5" s="1"/>
  <c r="CC103" i="5" s="1"/>
  <c r="CD95" i="5"/>
  <c r="CC96" i="5"/>
  <c r="CC97" i="5" s="1"/>
  <c r="CD26" i="3"/>
  <c r="CD30" i="3"/>
  <c r="CD107" i="1"/>
  <c r="CG99" i="5"/>
  <c r="CA73" i="5"/>
  <c r="CA74" i="5" s="1"/>
  <c r="CA75" i="5" s="1"/>
  <c r="CA76" i="5" s="1"/>
  <c r="CA77" i="5" s="1"/>
  <c r="CH84" i="6"/>
  <c r="CG85" i="6"/>
  <c r="BY1" i="4"/>
  <c r="CB5" i="3"/>
  <c r="CA2" i="3"/>
  <c r="CF107" i="5"/>
  <c r="CF109" i="5" s="1"/>
  <c r="CG105" i="5"/>
  <c r="CD80" i="5"/>
  <c r="CC82" i="5"/>
  <c r="CC84" i="5" s="1"/>
  <c r="CE71" i="6"/>
  <c r="CD73" i="6"/>
  <c r="CD75" i="6" s="1"/>
  <c r="CE43" i="6"/>
  <c r="CE44" i="6" s="1"/>
  <c r="CF42" i="6"/>
  <c r="CB70" i="5"/>
  <c r="CD92" i="6"/>
  <c r="CD93" i="6" s="1"/>
  <c r="CD94" i="6" s="1"/>
  <c r="CD143" i="6" s="1"/>
  <c r="CE86" i="6"/>
  <c r="CD87" i="6"/>
  <c r="CD88" i="6" s="1"/>
  <c r="CD103" i="6"/>
  <c r="CE78" i="6"/>
  <c r="CD69" i="5"/>
  <c r="CA64" i="6"/>
  <c r="CA65" i="6" s="1"/>
  <c r="CA66" i="6" s="1"/>
  <c r="CA67" i="6" s="1"/>
  <c r="BU22" i="1" s="1"/>
  <c r="CD144" i="6" l="1"/>
  <c r="CC144" i="6"/>
  <c r="CG132" i="6"/>
  <c r="CG133" i="6" s="1"/>
  <c r="CH131" i="6"/>
  <c r="CG136" i="6"/>
  <c r="CF137" i="6"/>
  <c r="CE120" i="6"/>
  <c r="CE119" i="6"/>
  <c r="CE127" i="6" s="1"/>
  <c r="CE129" i="6" s="1"/>
  <c r="CE130" i="6" s="1"/>
  <c r="CG116" i="6"/>
  <c r="CF118" i="6"/>
  <c r="CF121" i="6"/>
  <c r="CE122" i="6"/>
  <c r="CE123" i="6" s="1"/>
  <c r="CE124" i="6" s="1"/>
  <c r="CH115" i="6"/>
  <c r="CI113" i="6"/>
  <c r="CE45" i="6"/>
  <c r="CE81" i="6" s="1"/>
  <c r="CG29" i="6"/>
  <c r="CH27" i="6"/>
  <c r="CE9" i="6"/>
  <c r="CF8" i="6"/>
  <c r="CF30" i="6"/>
  <c r="CF38" i="6" s="1"/>
  <c r="CF40" i="6" s="1"/>
  <c r="CF41" i="6" s="1"/>
  <c r="CF31" i="6"/>
  <c r="CF37" i="6" s="1"/>
  <c r="CD76" i="6"/>
  <c r="CD77" i="6" s="1"/>
  <c r="CD101" i="6"/>
  <c r="CD19" i="6"/>
  <c r="CD22" i="6" s="1"/>
  <c r="CD23" i="6" s="1"/>
  <c r="BY154" i="5"/>
  <c r="BZ14" i="1"/>
  <c r="CA13" i="1"/>
  <c r="CF34" i="5"/>
  <c r="CF38" i="5" s="1"/>
  <c r="CG33" i="5"/>
  <c r="CE54" i="5"/>
  <c r="CD59" i="5"/>
  <c r="CD56" i="5"/>
  <c r="CD61" i="5"/>
  <c r="CD62" i="5" s="1"/>
  <c r="CD58" i="5"/>
  <c r="CD60" i="5" s="1"/>
  <c r="CD46" i="5" s="1"/>
  <c r="CD48" i="5" s="1"/>
  <c r="CD49" i="5" s="1"/>
  <c r="CD53" i="5" s="1"/>
  <c r="CD90" i="5" s="1"/>
  <c r="CE57" i="5"/>
  <c r="CF35" i="5"/>
  <c r="CE36" i="5"/>
  <c r="CE39" i="5" s="1"/>
  <c r="CE42" i="5"/>
  <c r="CE43" i="5" s="1"/>
  <c r="CD42" i="5"/>
  <c r="CD43" i="5" s="1"/>
  <c r="CD45" i="5" s="1"/>
  <c r="CC64" i="5"/>
  <c r="CG51" i="5"/>
  <c r="CG52" i="5" s="1"/>
  <c r="CH50" i="5"/>
  <c r="CK40" i="5"/>
  <c r="BQ50" i="3"/>
  <c r="BQ57" i="3" s="1"/>
  <c r="BT47" i="3"/>
  <c r="BQ59" i="3"/>
  <c r="BT36" i="1"/>
  <c r="CD29" i="5"/>
  <c r="CD31" i="5" s="1"/>
  <c r="CD32" i="5" s="1"/>
  <c r="CE146" i="5"/>
  <c r="CD147" i="5"/>
  <c r="CD149" i="5" s="1"/>
  <c r="CD135" i="5" s="1"/>
  <c r="CD137" i="5" s="1"/>
  <c r="CD138" i="5" s="1"/>
  <c r="CD142" i="5" s="1"/>
  <c r="CD91" i="5" s="1"/>
  <c r="CD150" i="5"/>
  <c r="CD151" i="5" s="1"/>
  <c r="CC152" i="5"/>
  <c r="CC153" i="5" s="1"/>
  <c r="CD131" i="5"/>
  <c r="CD132" i="5" s="1"/>
  <c r="CD134" i="5" s="1"/>
  <c r="CE130" i="5"/>
  <c r="BP29" i="3"/>
  <c r="BP31" i="3"/>
  <c r="BP32" i="3" s="1"/>
  <c r="BP25" i="3"/>
  <c r="BN2" i="4" s="1"/>
  <c r="CF123" i="5"/>
  <c r="CF127" i="5" s="1"/>
  <c r="CG122" i="5"/>
  <c r="BP57" i="3"/>
  <c r="BP72" i="3" s="1"/>
  <c r="BP78" i="3" s="1"/>
  <c r="CE143" i="5"/>
  <c r="CD148" i="5"/>
  <c r="CD145" i="5"/>
  <c r="CG129" i="5"/>
  <c r="CF139" i="5"/>
  <c r="CE140" i="5"/>
  <c r="CE141" i="5" s="1"/>
  <c r="CE125" i="5"/>
  <c r="CE128" i="5" s="1"/>
  <c r="CF124" i="5"/>
  <c r="BO27" i="3"/>
  <c r="BP24" i="3" s="1"/>
  <c r="CE69" i="5"/>
  <c r="BR18" i="1"/>
  <c r="BR46" i="3"/>
  <c r="BR48" i="3" s="1"/>
  <c r="BO70" i="3"/>
  <c r="BO76" i="3" s="1"/>
  <c r="BO71" i="3"/>
  <c r="BO77" i="3" s="1"/>
  <c r="BO73" i="3"/>
  <c r="BO79" i="3" s="1"/>
  <c r="BO72" i="3"/>
  <c r="BO78" i="3" s="1"/>
  <c r="BO69" i="3"/>
  <c r="BO75" i="3" s="1"/>
  <c r="CG19" i="5"/>
  <c r="CF22" i="5"/>
  <c r="BM9" i="4"/>
  <c r="BL23" i="4"/>
  <c r="BL24" i="4" s="1"/>
  <c r="BZ115" i="5"/>
  <c r="BZ116" i="5" s="1"/>
  <c r="BZ117" i="5" s="1"/>
  <c r="BZ104" i="5"/>
  <c r="BT17" i="1"/>
  <c r="CC61" i="6"/>
  <c r="CC62" i="6" s="1"/>
  <c r="CC63" i="6" s="1"/>
  <c r="CB62" i="6"/>
  <c r="CB63" i="6" s="1"/>
  <c r="CB64" i="6" s="1"/>
  <c r="CC70" i="5"/>
  <c r="CC71" i="5" s="1"/>
  <c r="CC72" i="5" s="1"/>
  <c r="CD119" i="5"/>
  <c r="CD120" i="5" s="1"/>
  <c r="CD121" i="5" s="1"/>
  <c r="CE118" i="5"/>
  <c r="CE26" i="3"/>
  <c r="CE30" i="3"/>
  <c r="CE107" i="1"/>
  <c r="CB71" i="5"/>
  <c r="CB72" i="5" s="1"/>
  <c r="CB73" i="5" s="1"/>
  <c r="CH30" i="5"/>
  <c r="CF16" i="5"/>
  <c r="CF41" i="5" s="1"/>
  <c r="CG15" i="5"/>
  <c r="BY11" i="4"/>
  <c r="CE33" i="6"/>
  <c r="CE34" i="6" s="1"/>
  <c r="CE35" i="6" s="1"/>
  <c r="CF32" i="6"/>
  <c r="BZ1" i="4"/>
  <c r="CC5" i="3"/>
  <c r="CB2" i="3"/>
  <c r="CH99" i="5"/>
  <c r="CC113" i="5"/>
  <c r="CC114" i="5" s="1"/>
  <c r="CD88" i="5"/>
  <c r="CD89" i="5" s="1"/>
  <c r="CF43" i="6"/>
  <c r="CF44" i="6" s="1"/>
  <c r="CG42" i="6"/>
  <c r="CD82" i="6"/>
  <c r="CD106" i="6"/>
  <c r="CD107" i="6" s="1"/>
  <c r="CD82" i="5"/>
  <c r="CD84" i="5" s="1"/>
  <c r="CE80" i="5"/>
  <c r="BS22" i="4"/>
  <c r="BS25" i="4" s="1"/>
  <c r="BS26" i="4" s="1"/>
  <c r="BT10" i="4"/>
  <c r="BS12" i="4"/>
  <c r="CE110" i="5"/>
  <c r="CE111" i="5" s="1"/>
  <c r="CE85" i="5"/>
  <c r="CE86" i="5" s="1"/>
  <c r="CE26" i="5"/>
  <c r="CE18" i="5"/>
  <c r="CE23" i="5" s="1"/>
  <c r="CE24" i="5" s="1"/>
  <c r="CG96" i="6"/>
  <c r="CF98" i="6"/>
  <c r="CF100" i="6" s="1"/>
  <c r="CF68" i="5"/>
  <c r="CF67" i="5"/>
  <c r="CG66" i="5"/>
  <c r="CE47" i="6"/>
  <c r="CD48" i="6"/>
  <c r="CD54" i="6" s="1"/>
  <c r="CD55" i="6" s="1"/>
  <c r="CE73" i="6"/>
  <c r="CE75" i="6" s="1"/>
  <c r="CF71" i="6"/>
  <c r="CG17" i="3"/>
  <c r="CG16" i="3"/>
  <c r="CH4" i="3"/>
  <c r="CH93" i="5"/>
  <c r="CG94" i="5"/>
  <c r="CL11" i="7"/>
  <c r="CF31" i="1" s="1"/>
  <c r="CD6" i="4"/>
  <c r="CF19" i="3"/>
  <c r="CF21" i="3" s="1"/>
  <c r="CE103" i="6"/>
  <c r="CF78" i="6"/>
  <c r="CF110" i="6"/>
  <c r="CF111" i="6" s="1"/>
  <c r="CF112" i="6" s="1"/>
  <c r="CG109" i="6"/>
  <c r="CI84" i="6"/>
  <c r="CH85" i="6"/>
  <c r="CD96" i="5"/>
  <c r="CD97" i="5" s="1"/>
  <c r="CD101" i="5"/>
  <c r="CD102" i="5" s="1"/>
  <c r="CD103" i="5" s="1"/>
  <c r="CE95" i="5"/>
  <c r="CE92" i="6"/>
  <c r="CE93" i="6" s="1"/>
  <c r="CE94" i="6" s="1"/>
  <c r="CE143" i="6" s="1"/>
  <c r="CF86" i="6"/>
  <c r="CE87" i="6"/>
  <c r="CE88" i="6" s="1"/>
  <c r="CG107" i="5"/>
  <c r="CG109" i="5" s="1"/>
  <c r="CH105" i="5"/>
  <c r="CB104" i="6"/>
  <c r="CB105" i="6" s="1"/>
  <c r="CB108" i="6" s="1"/>
  <c r="CC79" i="6"/>
  <c r="CB80" i="6"/>
  <c r="CB95" i="6" s="1"/>
  <c r="CE126" i="6" l="1"/>
  <c r="CE134" i="6"/>
  <c r="CE144" i="6" s="1"/>
  <c r="CH116" i="6"/>
  <c r="CG118" i="6"/>
  <c r="CF120" i="6"/>
  <c r="CF126" i="6" s="1"/>
  <c r="CF119" i="6"/>
  <c r="CF127" i="6" s="1"/>
  <c r="CF129" i="6" s="1"/>
  <c r="CF130" i="6" s="1"/>
  <c r="CF134" i="6" s="1"/>
  <c r="CJ113" i="6"/>
  <c r="CI115" i="6"/>
  <c r="CI131" i="6"/>
  <c r="CH132" i="6"/>
  <c r="CH133" i="6" s="1"/>
  <c r="CH136" i="6"/>
  <c r="CG137" i="6"/>
  <c r="CG121" i="6"/>
  <c r="CF122" i="6"/>
  <c r="CF123" i="6" s="1"/>
  <c r="CF124" i="6" s="1"/>
  <c r="CF45" i="6"/>
  <c r="CF81" i="6" s="1"/>
  <c r="CH29" i="6"/>
  <c r="CI27" i="6"/>
  <c r="CG8" i="6"/>
  <c r="CF9" i="6"/>
  <c r="CE101" i="6"/>
  <c r="CE76" i="6"/>
  <c r="CE77" i="6" s="1"/>
  <c r="CE19" i="6"/>
  <c r="CE22" i="6" s="1"/>
  <c r="CE23" i="6" s="1"/>
  <c r="CG30" i="6"/>
  <c r="CG38" i="6" s="1"/>
  <c r="CG40" i="6" s="1"/>
  <c r="CG41" i="6" s="1"/>
  <c r="CG31" i="6"/>
  <c r="CG37" i="6" s="1"/>
  <c r="BZ154" i="5"/>
  <c r="CA14" i="1"/>
  <c r="CB13" i="1"/>
  <c r="CD63" i="5"/>
  <c r="CD64" i="5" s="1"/>
  <c r="CH33" i="5"/>
  <c r="CG34" i="5"/>
  <c r="CG38" i="5" s="1"/>
  <c r="CE59" i="5"/>
  <c r="CF54" i="5"/>
  <c r="CE56" i="5"/>
  <c r="CF57" i="5"/>
  <c r="CE61" i="5"/>
  <c r="CE62" i="5" s="1"/>
  <c r="CE58" i="5"/>
  <c r="CE60" i="5" s="1"/>
  <c r="CE46" i="5" s="1"/>
  <c r="CE48" i="5" s="1"/>
  <c r="CE49" i="5" s="1"/>
  <c r="CE53" i="5" s="1"/>
  <c r="CE90" i="5" s="1"/>
  <c r="CL40" i="5"/>
  <c r="CI50" i="5"/>
  <c r="CH51" i="5"/>
  <c r="CH52" i="5" s="1"/>
  <c r="CE45" i="5"/>
  <c r="CG35" i="5"/>
  <c r="CF36" i="5"/>
  <c r="CF39" i="5" s="1"/>
  <c r="BQ25" i="3"/>
  <c r="BO2" i="4" s="1"/>
  <c r="BQ29" i="3"/>
  <c r="BQ106" i="1"/>
  <c r="BQ31" i="3"/>
  <c r="BQ32" i="3" s="1"/>
  <c r="BP73" i="3"/>
  <c r="BP79" i="3" s="1"/>
  <c r="CE29" i="5"/>
  <c r="CE31" i="5" s="1"/>
  <c r="CE32" i="5" s="1"/>
  <c r="CE147" i="5"/>
  <c r="CE149" i="5" s="1"/>
  <c r="CE135" i="5" s="1"/>
  <c r="CE137" i="5" s="1"/>
  <c r="CE138" i="5" s="1"/>
  <c r="CE142" i="5" s="1"/>
  <c r="CE91" i="5" s="1"/>
  <c r="CF146" i="5"/>
  <c r="CE150" i="5"/>
  <c r="CE151" i="5" s="1"/>
  <c r="CF130" i="5"/>
  <c r="BP69" i="3"/>
  <c r="BP75" i="3" s="1"/>
  <c r="CD152" i="5"/>
  <c r="CD153" i="5" s="1"/>
  <c r="BP27" i="3"/>
  <c r="BQ24" i="3" s="1"/>
  <c r="CH122" i="5"/>
  <c r="CG123" i="5"/>
  <c r="CG127" i="5" s="1"/>
  <c r="BP70" i="3"/>
  <c r="BP76" i="3" s="1"/>
  <c r="BP71" i="3"/>
  <c r="BP77" i="3" s="1"/>
  <c r="CH129" i="5"/>
  <c r="CF140" i="5"/>
  <c r="CF141" i="5" s="1"/>
  <c r="CG139" i="5"/>
  <c r="CG124" i="5"/>
  <c r="CF125" i="5"/>
  <c r="CF128" i="5" s="1"/>
  <c r="CE148" i="5"/>
  <c r="CF143" i="5"/>
  <c r="CE145" i="5"/>
  <c r="CE152" i="5" s="1"/>
  <c r="CE131" i="5"/>
  <c r="CE132" i="5" s="1"/>
  <c r="CE134" i="5" s="1"/>
  <c r="BT18" i="1"/>
  <c r="BU17" i="1"/>
  <c r="BQ73" i="3"/>
  <c r="BQ79" i="3" s="1"/>
  <c r="BQ71" i="3"/>
  <c r="BQ77" i="3" s="1"/>
  <c r="BQ70" i="3"/>
  <c r="BQ76" i="3" s="1"/>
  <c r="BQ69" i="3"/>
  <c r="BQ75" i="3" s="1"/>
  <c r="BQ72" i="3"/>
  <c r="BQ78" i="3" s="1"/>
  <c r="CH19" i="5"/>
  <c r="CG22" i="5"/>
  <c r="CA104" i="5"/>
  <c r="CA115" i="5"/>
  <c r="CA116" i="5" s="1"/>
  <c r="CA117" i="5" s="1"/>
  <c r="BN9" i="4"/>
  <c r="BM23" i="4"/>
  <c r="BM24" i="4" s="1"/>
  <c r="BR50" i="3"/>
  <c r="BR59" i="3"/>
  <c r="BR58" i="3"/>
  <c r="BS46" i="3"/>
  <c r="BS48" i="3" s="1"/>
  <c r="BS18" i="1"/>
  <c r="BR35" i="1"/>
  <c r="BR37" i="1" s="1"/>
  <c r="CC73" i="5"/>
  <c r="CC74" i="5" s="1"/>
  <c r="CC75" i="5" s="1"/>
  <c r="CC76" i="5" s="1"/>
  <c r="CC77" i="5" s="1"/>
  <c r="CB74" i="5"/>
  <c r="CB75" i="5" s="1"/>
  <c r="CB76" i="5" s="1"/>
  <c r="CB77" i="5" s="1"/>
  <c r="CC64" i="6"/>
  <c r="CC65" i="6" s="1"/>
  <c r="CC66" i="6" s="1"/>
  <c r="CC67" i="6" s="1"/>
  <c r="BW22" i="1" s="1"/>
  <c r="CB65" i="6"/>
  <c r="CB66" i="6" s="1"/>
  <c r="CB67" i="6" s="1"/>
  <c r="BV22" i="1" s="1"/>
  <c r="CH96" i="6"/>
  <c r="CG98" i="6"/>
  <c r="CG100" i="6" s="1"/>
  <c r="CF107" i="1"/>
  <c r="CF30" i="3"/>
  <c r="CF26" i="3"/>
  <c r="CI30" i="5"/>
  <c r="CH109" i="6"/>
  <c r="CG110" i="6"/>
  <c r="CG111" i="6" s="1"/>
  <c r="CG112" i="6" s="1"/>
  <c r="CE48" i="6"/>
  <c r="CE54" i="6" s="1"/>
  <c r="CE55" i="6" s="1"/>
  <c r="CF47" i="6"/>
  <c r="CG43" i="6"/>
  <c r="CG44" i="6" s="1"/>
  <c r="CH42" i="6"/>
  <c r="BZ11" i="4"/>
  <c r="CH66" i="5"/>
  <c r="CG68" i="5"/>
  <c r="CG67" i="5"/>
  <c r="CD113" i="5"/>
  <c r="CD114" i="5" s="1"/>
  <c r="CE88" i="5"/>
  <c r="CE89" i="5" s="1"/>
  <c r="CJ84" i="6"/>
  <c r="CI85" i="6"/>
  <c r="CI93" i="5"/>
  <c r="CH94" i="5"/>
  <c r="CI99" i="5"/>
  <c r="CF118" i="5"/>
  <c r="CE119" i="5"/>
  <c r="CE120" i="5" s="1"/>
  <c r="CE121" i="5" s="1"/>
  <c r="CE96" i="5"/>
  <c r="CE97" i="5" s="1"/>
  <c r="CE101" i="5"/>
  <c r="CE102" i="5" s="1"/>
  <c r="CE103" i="5" s="1"/>
  <c r="CF95" i="5"/>
  <c r="BT22" i="4"/>
  <c r="BT25" i="4" s="1"/>
  <c r="BT26" i="4" s="1"/>
  <c r="BU10" i="4"/>
  <c r="BT12" i="4"/>
  <c r="CF80" i="5"/>
  <c r="CE82" i="5"/>
  <c r="CE84" i="5" s="1"/>
  <c r="CG16" i="5"/>
  <c r="CG41" i="5" s="1"/>
  <c r="CH15" i="5"/>
  <c r="CF103" i="6"/>
  <c r="CG78" i="6"/>
  <c r="CH17" i="3"/>
  <c r="CH16" i="3"/>
  <c r="CI4" i="3"/>
  <c r="CE106" i="6"/>
  <c r="CE107" i="6" s="1"/>
  <c r="CE82" i="6"/>
  <c r="CD70" i="5"/>
  <c r="CG86" i="6"/>
  <c r="CF92" i="6"/>
  <c r="CF93" i="6" s="1"/>
  <c r="CF94" i="6" s="1"/>
  <c r="CF143" i="6" s="1"/>
  <c r="CF87" i="6"/>
  <c r="CF88" i="6" s="1"/>
  <c r="CM11" i="7"/>
  <c r="CG31" i="1" s="1"/>
  <c r="CE6" i="4"/>
  <c r="CG19" i="3"/>
  <c r="CG21" i="3" s="1"/>
  <c r="BU47" i="3"/>
  <c r="BU23" i="1"/>
  <c r="BU36" i="1" s="1"/>
  <c r="CC2" i="3"/>
  <c r="CA1" i="4"/>
  <c r="CD5" i="3"/>
  <c r="CD61" i="6"/>
  <c r="CC104" i="6"/>
  <c r="CC105" i="6" s="1"/>
  <c r="CC108" i="6" s="1"/>
  <c r="CD79" i="6"/>
  <c r="CC80" i="6"/>
  <c r="CC95" i="6" s="1"/>
  <c r="CH107" i="5"/>
  <c r="CH109" i="5" s="1"/>
  <c r="CI105" i="5"/>
  <c r="CF73" i="6"/>
  <c r="CF75" i="6" s="1"/>
  <c r="CG71" i="6"/>
  <c r="CF69" i="5"/>
  <c r="CF33" i="6"/>
  <c r="CF34" i="6" s="1"/>
  <c r="CF35" i="6" s="1"/>
  <c r="CG32" i="6"/>
  <c r="CF110" i="5"/>
  <c r="CF111" i="5" s="1"/>
  <c r="CF85" i="5"/>
  <c r="CF86" i="5" s="1"/>
  <c r="CF26" i="5"/>
  <c r="CF18" i="5"/>
  <c r="CF23" i="5" s="1"/>
  <c r="CF24" i="5" s="1"/>
  <c r="CF144" i="6" l="1"/>
  <c r="CG143" i="6"/>
  <c r="CJ131" i="6"/>
  <c r="CI132" i="6"/>
  <c r="CI133" i="6" s="1"/>
  <c r="CH121" i="6"/>
  <c r="CG122" i="6"/>
  <c r="CG123" i="6" s="1"/>
  <c r="CG124" i="6" s="1"/>
  <c r="CG120" i="6"/>
  <c r="CG126" i="6" s="1"/>
  <c r="CG119" i="6"/>
  <c r="CG127" i="6" s="1"/>
  <c r="CG129" i="6" s="1"/>
  <c r="CG130" i="6" s="1"/>
  <c r="CG134" i="6" s="1"/>
  <c r="CG144" i="6" s="1"/>
  <c r="CK113" i="6"/>
  <c r="CJ115" i="6"/>
  <c r="CI136" i="6"/>
  <c r="CH137" i="6"/>
  <c r="CI116" i="6"/>
  <c r="CH118" i="6"/>
  <c r="BQ27" i="3"/>
  <c r="BR24" i="3" s="1"/>
  <c r="CH8" i="6"/>
  <c r="CG9" i="6"/>
  <c r="CI29" i="6"/>
  <c r="CJ27" i="6"/>
  <c r="CG45" i="6"/>
  <c r="CF101" i="6"/>
  <c r="CF76" i="6"/>
  <c r="CF77" i="6" s="1"/>
  <c r="CF19" i="6"/>
  <c r="CF22" i="6" s="1"/>
  <c r="CF23" i="6" s="1"/>
  <c r="CH30" i="6"/>
  <c r="CH38" i="6" s="1"/>
  <c r="CH40" i="6" s="1"/>
  <c r="CH41" i="6" s="1"/>
  <c r="CH31" i="6"/>
  <c r="CH37" i="6" s="1"/>
  <c r="CC13" i="1"/>
  <c r="CB14" i="1"/>
  <c r="CA154" i="5"/>
  <c r="CG54" i="5"/>
  <c r="CF59" i="5"/>
  <c r="CF56" i="5"/>
  <c r="CI33" i="5"/>
  <c r="CH34" i="5"/>
  <c r="CH38" i="5" s="1"/>
  <c r="BT35" i="1"/>
  <c r="BT37" i="1" s="1"/>
  <c r="CE63" i="5"/>
  <c r="CE64" i="5" s="1"/>
  <c r="CH35" i="5"/>
  <c r="CG36" i="5"/>
  <c r="CG39" i="5" s="1"/>
  <c r="CJ50" i="5"/>
  <c r="CI51" i="5"/>
  <c r="CI52" i="5" s="1"/>
  <c r="CM40" i="5"/>
  <c r="CF42" i="5"/>
  <c r="CF43" i="5" s="1"/>
  <c r="CF45" i="5" s="1"/>
  <c r="CG42" i="5"/>
  <c r="CG43" i="5" s="1"/>
  <c r="CG57" i="5"/>
  <c r="CF58" i="5"/>
  <c r="CF60" i="5" s="1"/>
  <c r="CF46" i="5" s="1"/>
  <c r="CF48" i="5" s="1"/>
  <c r="CF49" i="5" s="1"/>
  <c r="CF53" i="5" s="1"/>
  <c r="CF90" i="5" s="1"/>
  <c r="CF61" i="5"/>
  <c r="CF62" i="5" s="1"/>
  <c r="CF63" i="5" s="1"/>
  <c r="CF131" i="5"/>
  <c r="CF132" i="5" s="1"/>
  <c r="BT46" i="3"/>
  <c r="BT48" i="3" s="1"/>
  <c r="BT58" i="3" s="1"/>
  <c r="CF29" i="5"/>
  <c r="CF31" i="5" s="1"/>
  <c r="CF32" i="5" s="1"/>
  <c r="CF150" i="5"/>
  <c r="CF151" i="5" s="1"/>
  <c r="CG146" i="5"/>
  <c r="CF147" i="5"/>
  <c r="CF149" i="5" s="1"/>
  <c r="CF135" i="5" s="1"/>
  <c r="CF137" i="5" s="1"/>
  <c r="CF138" i="5" s="1"/>
  <c r="CF142" i="5" s="1"/>
  <c r="CF91" i="5" s="1"/>
  <c r="CG130" i="5"/>
  <c r="BS35" i="1"/>
  <c r="BS37" i="1" s="1"/>
  <c r="CI122" i="5"/>
  <c r="CH123" i="5"/>
  <c r="CH127" i="5" s="1"/>
  <c r="CF134" i="5"/>
  <c r="CF148" i="5"/>
  <c r="CF145" i="5"/>
  <c r="CG143" i="5"/>
  <c r="CE153" i="5"/>
  <c r="CH124" i="5"/>
  <c r="CG125" i="5"/>
  <c r="CG128" i="5" s="1"/>
  <c r="CG140" i="5"/>
  <c r="CG141" i="5" s="1"/>
  <c r="CH139" i="5"/>
  <c r="CI129" i="5"/>
  <c r="BW47" i="3"/>
  <c r="CH22" i="5"/>
  <c r="CI19" i="5"/>
  <c r="CB115" i="5"/>
  <c r="CB116" i="5" s="1"/>
  <c r="CB117" i="5" s="1"/>
  <c r="CB104" i="5"/>
  <c r="CB154" i="5" s="1"/>
  <c r="BR57" i="3"/>
  <c r="BR31" i="3"/>
  <c r="BR32" i="3" s="1"/>
  <c r="BR25" i="3"/>
  <c r="BP2" i="4" s="1"/>
  <c r="BR106" i="1"/>
  <c r="BR29" i="3"/>
  <c r="BS50" i="3"/>
  <c r="BS58" i="3"/>
  <c r="BS59" i="3"/>
  <c r="BV17" i="1"/>
  <c r="BN23" i="4"/>
  <c r="BN24" i="4" s="1"/>
  <c r="BO9" i="4"/>
  <c r="BO23" i="4" s="1"/>
  <c r="BO24" i="4" s="1"/>
  <c r="CG69" i="5"/>
  <c r="CG110" i="5"/>
  <c r="CG111" i="5" s="1"/>
  <c r="CG85" i="5"/>
  <c r="CG86" i="5" s="1"/>
  <c r="CG26" i="5"/>
  <c r="CG18" i="5"/>
  <c r="CG23" i="5" s="1"/>
  <c r="CG24" i="5" s="1"/>
  <c r="CH67" i="5"/>
  <c r="CI66" i="5"/>
  <c r="CH68" i="5"/>
  <c r="CJ93" i="5"/>
  <c r="CI94" i="5"/>
  <c r="CI42" i="6"/>
  <c r="CH43" i="6"/>
  <c r="CH44" i="6" s="1"/>
  <c r="CH71" i="6"/>
  <c r="CG73" i="6"/>
  <c r="CG75" i="6" s="1"/>
  <c r="CE61" i="6"/>
  <c r="CE70" i="5"/>
  <c r="CG103" i="6"/>
  <c r="CH78" i="6"/>
  <c r="CE113" i="5"/>
  <c r="CE114" i="5" s="1"/>
  <c r="CF88" i="5"/>
  <c r="BU22" i="4"/>
  <c r="BU25" i="4" s="1"/>
  <c r="BU26" i="4" s="1"/>
  <c r="BV10" i="4"/>
  <c r="BU12" i="4"/>
  <c r="CA11" i="4"/>
  <c r="CI17" i="3"/>
  <c r="CI16" i="3"/>
  <c r="CJ4" i="3"/>
  <c r="CN11" i="7"/>
  <c r="CH31" i="1" s="1"/>
  <c r="CF6" i="4"/>
  <c r="CH19" i="3"/>
  <c r="CH21" i="3" s="1"/>
  <c r="CG80" i="5"/>
  <c r="CF82" i="5"/>
  <c r="CF84" i="5" s="1"/>
  <c r="CF106" i="6"/>
  <c r="CF107" i="6" s="1"/>
  <c r="CF82" i="6"/>
  <c r="CG81" i="6"/>
  <c r="CI109" i="6"/>
  <c r="CH110" i="6"/>
  <c r="CH111" i="6" s="1"/>
  <c r="CH112" i="6" s="1"/>
  <c r="BV47" i="3"/>
  <c r="BV23" i="1"/>
  <c r="CG92" i="6"/>
  <c r="CG93" i="6" s="1"/>
  <c r="CG94" i="6" s="1"/>
  <c r="CH86" i="6"/>
  <c r="CG87" i="6"/>
  <c r="CG88" i="6" s="1"/>
  <c r="CG118" i="5"/>
  <c r="CF119" i="5"/>
  <c r="CF120" i="5" s="1"/>
  <c r="CF121" i="5" s="1"/>
  <c r="CG33" i="6"/>
  <c r="CG34" i="6" s="1"/>
  <c r="CG35" i="6" s="1"/>
  <c r="CH32" i="6"/>
  <c r="CI107" i="5"/>
  <c r="CI109" i="5" s="1"/>
  <c r="CJ105" i="5"/>
  <c r="CD62" i="6"/>
  <c r="CD63" i="6" s="1"/>
  <c r="CD64" i="6" s="1"/>
  <c r="CD71" i="5"/>
  <c r="CD72" i="5" s="1"/>
  <c r="CD73" i="5" s="1"/>
  <c r="CD74" i="5" s="1"/>
  <c r="CD75" i="5" s="1"/>
  <c r="CD76" i="5" s="1"/>
  <c r="CD77" i="5" s="1"/>
  <c r="CI15" i="5"/>
  <c r="CH16" i="5"/>
  <c r="CH41" i="5" s="1"/>
  <c r="CJ99" i="5"/>
  <c r="CG107" i="1"/>
  <c r="CG26" i="3"/>
  <c r="CG30" i="3"/>
  <c r="CD104" i="6"/>
  <c r="CD105" i="6" s="1"/>
  <c r="CD108" i="6" s="1"/>
  <c r="CE79" i="6"/>
  <c r="CD80" i="6"/>
  <c r="CD95" i="6" s="1"/>
  <c r="CD2" i="3"/>
  <c r="CB1" i="4"/>
  <c r="CE5" i="3"/>
  <c r="CG95" i="5"/>
  <c r="CF96" i="5"/>
  <c r="CF97" i="5" s="1"/>
  <c r="CF101" i="5"/>
  <c r="CF102" i="5" s="1"/>
  <c r="CF103" i="5" s="1"/>
  <c r="CK84" i="6"/>
  <c r="CJ85" i="6"/>
  <c r="CG47" i="6"/>
  <c r="CF48" i="6"/>
  <c r="CF54" i="6" s="1"/>
  <c r="CF55" i="6" s="1"/>
  <c r="CJ30" i="5"/>
  <c r="CI96" i="6"/>
  <c r="CH98" i="6"/>
  <c r="CH100" i="6" s="1"/>
  <c r="CH45" i="6" l="1"/>
  <c r="CL113" i="6"/>
  <c r="CK115" i="6"/>
  <c r="CH120" i="6"/>
  <c r="CH126" i="6" s="1"/>
  <c r="CH119" i="6"/>
  <c r="CH127" i="6" s="1"/>
  <c r="CH129" i="6" s="1"/>
  <c r="CH130" i="6" s="1"/>
  <c r="CH134" i="6" s="1"/>
  <c r="CI118" i="6"/>
  <c r="CJ116" i="6"/>
  <c r="CH122" i="6"/>
  <c r="CH123" i="6" s="1"/>
  <c r="CH124" i="6" s="1"/>
  <c r="CI121" i="6"/>
  <c r="CI137" i="6"/>
  <c r="CJ136" i="6"/>
  <c r="CJ132" i="6"/>
  <c r="CJ133" i="6" s="1"/>
  <c r="CK131" i="6"/>
  <c r="CJ29" i="6"/>
  <c r="CK27" i="6"/>
  <c r="CG101" i="6"/>
  <c r="CG76" i="6"/>
  <c r="CG77" i="6" s="1"/>
  <c r="CG19" i="6"/>
  <c r="CG22" i="6" s="1"/>
  <c r="CG23" i="6" s="1"/>
  <c r="CI30" i="6"/>
  <c r="CI38" i="6" s="1"/>
  <c r="CI40" i="6" s="1"/>
  <c r="CI41" i="6" s="1"/>
  <c r="CI31" i="6"/>
  <c r="CI37" i="6" s="1"/>
  <c r="CI8" i="6"/>
  <c r="CH9" i="6"/>
  <c r="CH33" i="6" s="1"/>
  <c r="CH34" i="6" s="1"/>
  <c r="CH35" i="6" s="1"/>
  <c r="CC14" i="1"/>
  <c r="CD13" i="1"/>
  <c r="CF64" i="5"/>
  <c r="CJ33" i="5"/>
  <c r="CI34" i="5"/>
  <c r="CI38" i="5" s="1"/>
  <c r="CG56" i="5"/>
  <c r="CG59" i="5"/>
  <c r="CH54" i="5"/>
  <c r="CF152" i="5"/>
  <c r="CN40" i="5"/>
  <c r="CI35" i="5"/>
  <c r="CH36" i="5"/>
  <c r="CH39" i="5" s="1"/>
  <c r="CG45" i="5"/>
  <c r="CK50" i="5"/>
  <c r="CJ51" i="5"/>
  <c r="CJ52" i="5" s="1"/>
  <c r="CH57" i="5"/>
  <c r="CG58" i="5"/>
  <c r="CG60" i="5" s="1"/>
  <c r="CG46" i="5" s="1"/>
  <c r="CG48" i="5" s="1"/>
  <c r="CG49" i="5" s="1"/>
  <c r="CG53" i="5" s="1"/>
  <c r="CG90" i="5" s="1"/>
  <c r="CG61" i="5"/>
  <c r="CG62" i="5" s="1"/>
  <c r="CG63" i="5" s="1"/>
  <c r="BT50" i="3"/>
  <c r="BT31" i="3" s="1"/>
  <c r="BT59" i="3"/>
  <c r="CG29" i="5"/>
  <c r="CG31" i="5" s="1"/>
  <c r="CG32" i="5" s="1"/>
  <c r="CG147" i="5"/>
  <c r="CG149" i="5" s="1"/>
  <c r="CG135" i="5" s="1"/>
  <c r="CG137" i="5" s="1"/>
  <c r="CG138" i="5" s="1"/>
  <c r="CG142" i="5" s="1"/>
  <c r="CG91" i="5" s="1"/>
  <c r="CH146" i="5"/>
  <c r="CG150" i="5"/>
  <c r="CG151" i="5" s="1"/>
  <c r="CH130" i="5"/>
  <c r="CF153" i="5"/>
  <c r="BW23" i="1"/>
  <c r="BW36" i="1" s="1"/>
  <c r="CJ122" i="5"/>
  <c r="CI123" i="5"/>
  <c r="CI127" i="5" s="1"/>
  <c r="CG148" i="5"/>
  <c r="CG145" i="5"/>
  <c r="CH143" i="5"/>
  <c r="CJ129" i="5"/>
  <c r="CG131" i="5"/>
  <c r="CG132" i="5" s="1"/>
  <c r="CI124" i="5"/>
  <c r="CH125" i="5"/>
  <c r="CH128" i="5" s="1"/>
  <c r="CH140" i="5"/>
  <c r="CH141" i="5" s="1"/>
  <c r="CI139" i="5"/>
  <c r="BX23" i="1"/>
  <c r="BP9" i="4"/>
  <c r="BP23" i="4" s="1"/>
  <c r="BP24" i="4" s="1"/>
  <c r="BV36" i="1"/>
  <c r="CI22" i="5"/>
  <c r="CJ19" i="5"/>
  <c r="BU46" i="3"/>
  <c r="BU48" i="3" s="1"/>
  <c r="BU18" i="1"/>
  <c r="BU35" i="1" s="1"/>
  <c r="BU37" i="1" s="1"/>
  <c r="CC104" i="5"/>
  <c r="CC115" i="5"/>
  <c r="CC116" i="5" s="1"/>
  <c r="CC117" i="5" s="1"/>
  <c r="BW17" i="1"/>
  <c r="BS29" i="3"/>
  <c r="BS25" i="3"/>
  <c r="BQ2" i="4" s="1"/>
  <c r="BS57" i="3"/>
  <c r="BS106" i="1"/>
  <c r="BS31" i="3"/>
  <c r="BS32" i="3" s="1"/>
  <c r="BR72" i="3"/>
  <c r="BR78" i="3" s="1"/>
  <c r="BR70" i="3"/>
  <c r="BR76" i="3" s="1"/>
  <c r="BR69" i="3"/>
  <c r="BR75" i="3" s="1"/>
  <c r="BR71" i="3"/>
  <c r="BR77" i="3" s="1"/>
  <c r="BR73" i="3"/>
  <c r="BR79" i="3" s="1"/>
  <c r="BT106" i="1"/>
  <c r="BT25" i="3"/>
  <c r="BR2" i="4" s="1"/>
  <c r="BR27" i="3"/>
  <c r="BS24" i="3" s="1"/>
  <c r="CI43" i="6"/>
  <c r="CI44" i="6" s="1"/>
  <c r="CI45" i="6" s="1"/>
  <c r="CJ42" i="6"/>
  <c r="CJ17" i="3"/>
  <c r="CJ16" i="3"/>
  <c r="CK4" i="3"/>
  <c r="CG96" i="5"/>
  <c r="CG97" i="5" s="1"/>
  <c r="CH95" i="5"/>
  <c r="CG101" i="5"/>
  <c r="CG102" i="5" s="1"/>
  <c r="CG103" i="5" s="1"/>
  <c r="CH110" i="5"/>
  <c r="CH111" i="5" s="1"/>
  <c r="CH26" i="5"/>
  <c r="CH18" i="5"/>
  <c r="CH23" i="5" s="1"/>
  <c r="CH24" i="5" s="1"/>
  <c r="CH85" i="5"/>
  <c r="CH86" i="5" s="1"/>
  <c r="CH103" i="6"/>
  <c r="CI78" i="6"/>
  <c r="CJ66" i="5"/>
  <c r="CI67" i="5"/>
  <c r="CI68" i="5"/>
  <c r="CE104" i="6"/>
  <c r="CE105" i="6" s="1"/>
  <c r="CE108" i="6" s="1"/>
  <c r="CF79" i="6"/>
  <c r="CE80" i="6"/>
  <c r="CE95" i="6" s="1"/>
  <c r="CD65" i="6"/>
  <c r="CD66" i="6" s="1"/>
  <c r="CD67" i="6" s="1"/>
  <c r="BX22" i="1" s="1"/>
  <c r="CI32" i="6"/>
  <c r="CO11" i="7"/>
  <c r="CI31" i="1" s="1"/>
  <c r="CG6" i="4"/>
  <c r="CI19" i="3"/>
  <c r="CI21" i="3" s="1"/>
  <c r="CG88" i="5"/>
  <c r="CF113" i="5"/>
  <c r="CF114" i="5" s="1"/>
  <c r="CF70" i="5"/>
  <c r="CE71" i="5"/>
  <c r="CE72" i="5" s="1"/>
  <c r="CE73" i="5" s="1"/>
  <c r="CF61" i="6"/>
  <c r="CF62" i="6"/>
  <c r="CF63" i="6" s="1"/>
  <c r="CG106" i="6"/>
  <c r="CG107" i="6" s="1"/>
  <c r="CG82" i="6"/>
  <c r="CB11" i="4"/>
  <c r="CE62" i="6"/>
  <c r="CE63" i="6" s="1"/>
  <c r="CE64" i="6" s="1"/>
  <c r="CH30" i="3"/>
  <c r="CH26" i="3"/>
  <c r="CH107" i="1"/>
  <c r="CI98" i="6"/>
  <c r="CI100" i="6" s="1"/>
  <c r="CJ96" i="6"/>
  <c r="CL84" i="6"/>
  <c r="CK85" i="6"/>
  <c r="CH73" i="6"/>
  <c r="CH75" i="6" s="1"/>
  <c r="CI71" i="6"/>
  <c r="CK30" i="5"/>
  <c r="CH92" i="6"/>
  <c r="CH93" i="6" s="1"/>
  <c r="CH94" i="6" s="1"/>
  <c r="CH143" i="6" s="1"/>
  <c r="CH87" i="6"/>
  <c r="CH88" i="6" s="1"/>
  <c r="CI86" i="6"/>
  <c r="CJ109" i="6"/>
  <c r="CI110" i="6"/>
  <c r="CI111" i="6" s="1"/>
  <c r="CI112" i="6" s="1"/>
  <c r="CH80" i="5"/>
  <c r="CG82" i="5"/>
  <c r="CG84" i="5" s="1"/>
  <c r="CK93" i="5"/>
  <c r="CJ94" i="5"/>
  <c r="CG48" i="6"/>
  <c r="CG54" i="6" s="1"/>
  <c r="CG55" i="6" s="1"/>
  <c r="CH47" i="6"/>
  <c r="CE2" i="3"/>
  <c r="CF5" i="3"/>
  <c r="CC1" i="4"/>
  <c r="CJ15" i="5"/>
  <c r="CI16" i="5"/>
  <c r="CI41" i="5" s="1"/>
  <c r="CK99" i="5"/>
  <c r="CH118" i="5"/>
  <c r="CG119" i="5"/>
  <c r="CG120" i="5" s="1"/>
  <c r="CG121" i="5" s="1"/>
  <c r="CK105" i="5"/>
  <c r="CJ107" i="5"/>
  <c r="CJ109" i="5" s="1"/>
  <c r="CF89" i="5"/>
  <c r="BW10" i="4"/>
  <c r="BV12" i="4"/>
  <c r="BV22" i="4"/>
  <c r="BV25" i="4" s="1"/>
  <c r="BV26" i="4" s="1"/>
  <c r="CH81" i="6"/>
  <c r="CH69" i="5"/>
  <c r="CH144" i="6" l="1"/>
  <c r="CJ118" i="6"/>
  <c r="CK116" i="6"/>
  <c r="CI119" i="6"/>
  <c r="CI127" i="6" s="1"/>
  <c r="CI129" i="6" s="1"/>
  <c r="CI130" i="6" s="1"/>
  <c r="CI120" i="6"/>
  <c r="CI122" i="6"/>
  <c r="CI123" i="6" s="1"/>
  <c r="CI124" i="6" s="1"/>
  <c r="CJ121" i="6"/>
  <c r="CK132" i="6"/>
  <c r="CK133" i="6" s="1"/>
  <c r="CL131" i="6"/>
  <c r="CJ137" i="6"/>
  <c r="CK136" i="6"/>
  <c r="CM113" i="6"/>
  <c r="CL115" i="6"/>
  <c r="CJ8" i="6"/>
  <c r="CI9" i="6"/>
  <c r="CK29" i="6"/>
  <c r="CL27" i="6"/>
  <c r="CH19" i="6"/>
  <c r="CH22" i="6" s="1"/>
  <c r="CH23" i="6" s="1"/>
  <c r="CH101" i="6"/>
  <c r="CH76" i="6"/>
  <c r="CH77" i="6" s="1"/>
  <c r="CJ31" i="6"/>
  <c r="CJ37" i="6" s="1"/>
  <c r="CJ30" i="6"/>
  <c r="CJ38" i="6" s="1"/>
  <c r="CJ40" i="6" s="1"/>
  <c r="CJ41" i="6" s="1"/>
  <c r="CE13" i="1"/>
  <c r="CD14" i="1"/>
  <c r="CC154" i="5"/>
  <c r="BT29" i="3"/>
  <c r="BT57" i="3"/>
  <c r="BT72" i="3" s="1"/>
  <c r="BT78" i="3" s="1"/>
  <c r="CK33" i="5"/>
  <c r="CJ34" i="5"/>
  <c r="CJ38" i="5" s="1"/>
  <c r="CH59" i="5"/>
  <c r="CI54" i="5"/>
  <c r="CH56" i="5"/>
  <c r="CI36" i="5"/>
  <c r="CI39" i="5" s="1"/>
  <c r="CJ35" i="5"/>
  <c r="CG64" i="5"/>
  <c r="CL50" i="5"/>
  <c r="CK51" i="5"/>
  <c r="CK52" i="5" s="1"/>
  <c r="CO40" i="5"/>
  <c r="CH58" i="5"/>
  <c r="CH60" i="5" s="1"/>
  <c r="CH46" i="5" s="1"/>
  <c r="CH48" i="5" s="1"/>
  <c r="CH49" i="5" s="1"/>
  <c r="CH53" i="5" s="1"/>
  <c r="CH90" i="5" s="1"/>
  <c r="CI57" i="5"/>
  <c r="CH61" i="5"/>
  <c r="CH62" i="5" s="1"/>
  <c r="CH42" i="5"/>
  <c r="CH43" i="5" s="1"/>
  <c r="CH45" i="5" s="1"/>
  <c r="CH131" i="5"/>
  <c r="CH132" i="5" s="1"/>
  <c r="CG152" i="5"/>
  <c r="CH29" i="5"/>
  <c r="CH31" i="5" s="1"/>
  <c r="CH32" i="5" s="1"/>
  <c r="CH147" i="5"/>
  <c r="CH149" i="5" s="1"/>
  <c r="CH135" i="5" s="1"/>
  <c r="CH137" i="5" s="1"/>
  <c r="CH138" i="5" s="1"/>
  <c r="CH142" i="5" s="1"/>
  <c r="CH91" i="5" s="1"/>
  <c r="CI146" i="5"/>
  <c r="CH150" i="5"/>
  <c r="CH151" i="5" s="1"/>
  <c r="BX36" i="1"/>
  <c r="CI130" i="5"/>
  <c r="BX47" i="3"/>
  <c r="CH134" i="5"/>
  <c r="CG134" i="5"/>
  <c r="BQ9" i="4"/>
  <c r="BQ23" i="4" s="1"/>
  <c r="BQ24" i="4" s="1"/>
  <c r="CJ123" i="5"/>
  <c r="CJ127" i="5" s="1"/>
  <c r="CK122" i="5"/>
  <c r="CI69" i="5"/>
  <c r="CK129" i="5"/>
  <c r="CH148" i="5"/>
  <c r="CH145" i="5"/>
  <c r="CI143" i="5"/>
  <c r="CJ124" i="5"/>
  <c r="CI125" i="5"/>
  <c r="CI128" i="5" s="1"/>
  <c r="CI140" i="5"/>
  <c r="CI141" i="5" s="1"/>
  <c r="CJ139" i="5"/>
  <c r="BS27" i="3"/>
  <c r="BT24" i="3" s="1"/>
  <c r="BT27" i="3" s="1"/>
  <c r="BU24" i="3" s="1"/>
  <c r="BT71" i="3"/>
  <c r="BT77" i="3" s="1"/>
  <c r="BT69" i="3"/>
  <c r="BT75" i="3" s="1"/>
  <c r="BT32" i="3"/>
  <c r="CD115" i="5"/>
  <c r="CD116" i="5" s="1"/>
  <c r="CD117" i="5" s="1"/>
  <c r="CD104" i="5"/>
  <c r="CD154" i="5" s="1"/>
  <c r="BS70" i="3"/>
  <c r="BS76" i="3" s="1"/>
  <c r="BS69" i="3"/>
  <c r="BS75" i="3" s="1"/>
  <c r="BS72" i="3"/>
  <c r="BS78" i="3" s="1"/>
  <c r="BS73" i="3"/>
  <c r="BS79" i="3" s="1"/>
  <c r="BS71" i="3"/>
  <c r="BS77" i="3" s="1"/>
  <c r="BX17" i="1"/>
  <c r="CJ22" i="5"/>
  <c r="CK19" i="5"/>
  <c r="BU50" i="3"/>
  <c r="BU59" i="3"/>
  <c r="BU58" i="3"/>
  <c r="BV46" i="3"/>
  <c r="BV48" i="3" s="1"/>
  <c r="BV18" i="1"/>
  <c r="BY47" i="3"/>
  <c r="CE74" i="5"/>
  <c r="CE75" i="5" s="1"/>
  <c r="CE76" i="5" s="1"/>
  <c r="CE77" i="5" s="1"/>
  <c r="BX10" i="4"/>
  <c r="BW12" i="4"/>
  <c r="BW22" i="4"/>
  <c r="BW25" i="4" s="1"/>
  <c r="BW26" i="4" s="1"/>
  <c r="CG70" i="5"/>
  <c r="CF64" i="6"/>
  <c r="CF65" i="6" s="1"/>
  <c r="CF66" i="6" s="1"/>
  <c r="CF67" i="6" s="1"/>
  <c r="BZ22" i="1" s="1"/>
  <c r="CH101" i="5"/>
  <c r="CH102" i="5" s="1"/>
  <c r="CH103" i="5" s="1"/>
  <c r="CI95" i="5"/>
  <c r="CH96" i="5"/>
  <c r="CH97" i="5" s="1"/>
  <c r="CK15" i="5"/>
  <c r="CJ16" i="5"/>
  <c r="CJ41" i="5" s="1"/>
  <c r="CM84" i="6"/>
  <c r="CL85" i="6"/>
  <c r="CG113" i="5"/>
  <c r="CG114" i="5" s="1"/>
  <c r="CH88" i="5"/>
  <c r="CL30" i="5"/>
  <c r="CI103" i="6"/>
  <c r="CJ78" i="6"/>
  <c r="CK17" i="3"/>
  <c r="CK16" i="3"/>
  <c r="CL4" i="3"/>
  <c r="CI81" i="6"/>
  <c r="CL93" i="5"/>
  <c r="CK94" i="5"/>
  <c r="CG61" i="6"/>
  <c r="CE65" i="6"/>
  <c r="CE66" i="6" s="1"/>
  <c r="CE67" i="6" s="1"/>
  <c r="BY22" i="1" s="1"/>
  <c r="CH106" i="6"/>
  <c r="CH107" i="6" s="1"/>
  <c r="CH82" i="6"/>
  <c r="CF2" i="3"/>
  <c r="CG5" i="3"/>
  <c r="CD1" i="4"/>
  <c r="CJ98" i="6"/>
  <c r="CJ100" i="6" s="1"/>
  <c r="CK96" i="6"/>
  <c r="CH82" i="5"/>
  <c r="CH84" i="5" s="1"/>
  <c r="CI80" i="5"/>
  <c r="CK42" i="6"/>
  <c r="CJ43" i="6"/>
  <c r="CJ44" i="6" s="1"/>
  <c r="CJ110" i="6"/>
  <c r="CJ111" i="6" s="1"/>
  <c r="CJ112" i="6" s="1"/>
  <c r="CK109" i="6"/>
  <c r="CI73" i="6"/>
  <c r="CI75" i="6" s="1"/>
  <c r="CJ71" i="6"/>
  <c r="CI33" i="6"/>
  <c r="CI34" i="6" s="1"/>
  <c r="CI35" i="6" s="1"/>
  <c r="CJ32" i="6"/>
  <c r="CK66" i="5"/>
  <c r="CJ67" i="5"/>
  <c r="CJ68" i="5"/>
  <c r="CP11" i="7"/>
  <c r="CJ31" i="1" s="1"/>
  <c r="CH6" i="4"/>
  <c r="CJ19" i="3"/>
  <c r="CJ21" i="3" s="1"/>
  <c r="CI110" i="5"/>
  <c r="CI111" i="5" s="1"/>
  <c r="CI26" i="5"/>
  <c r="CI85" i="5"/>
  <c r="CI86" i="5" s="1"/>
  <c r="CI18" i="5"/>
  <c r="CI23" i="5" s="1"/>
  <c r="CI24" i="5" s="1"/>
  <c r="CC11" i="4"/>
  <c r="CF104" i="6"/>
  <c r="CF105" i="6" s="1"/>
  <c r="CF108" i="6" s="1"/>
  <c r="CG79" i="6"/>
  <c r="CF80" i="6"/>
  <c r="CF95" i="6" s="1"/>
  <c r="CI30" i="3"/>
  <c r="CI107" i="1"/>
  <c r="CI26" i="3"/>
  <c r="CI118" i="5"/>
  <c r="CH119" i="5"/>
  <c r="CH120" i="5" s="1"/>
  <c r="CH121" i="5" s="1"/>
  <c r="CI47" i="6"/>
  <c r="CH48" i="6"/>
  <c r="CH54" i="6" s="1"/>
  <c r="CH55" i="6" s="1"/>
  <c r="CL105" i="5"/>
  <c r="CK107" i="5"/>
  <c r="CK109" i="5" s="1"/>
  <c r="CL99" i="5"/>
  <c r="CG89" i="5"/>
  <c r="CI92" i="6"/>
  <c r="CI93" i="6" s="1"/>
  <c r="CI94" i="6" s="1"/>
  <c r="CI143" i="6" s="1"/>
  <c r="CJ86" i="6"/>
  <c r="CI87" i="6"/>
  <c r="CI88" i="6" s="1"/>
  <c r="CF71" i="5"/>
  <c r="CF72" i="5" s="1"/>
  <c r="CF73" i="5" s="1"/>
  <c r="CI126" i="6" l="1"/>
  <c r="CI134" i="6"/>
  <c r="CJ143" i="6"/>
  <c r="CJ45" i="6"/>
  <c r="CI144" i="6"/>
  <c r="CK137" i="6"/>
  <c r="CL136" i="6"/>
  <c r="CJ119" i="6"/>
  <c r="CJ127" i="6" s="1"/>
  <c r="CJ129" i="6" s="1"/>
  <c r="CJ130" i="6" s="1"/>
  <c r="CJ134" i="6" s="1"/>
  <c r="CJ120" i="6"/>
  <c r="CJ122" i="6"/>
  <c r="CJ123" i="6" s="1"/>
  <c r="CJ124" i="6" s="1"/>
  <c r="CK121" i="6"/>
  <c r="CM115" i="6"/>
  <c r="CN113" i="6"/>
  <c r="CK118" i="6"/>
  <c r="CL116" i="6"/>
  <c r="CL132" i="6"/>
  <c r="CL133" i="6" s="1"/>
  <c r="CM131" i="6"/>
  <c r="BT70" i="3"/>
  <c r="BT76" i="3" s="1"/>
  <c r="CK30" i="6"/>
  <c r="CK38" i="6" s="1"/>
  <c r="CK40" i="6" s="1"/>
  <c r="CK41" i="6" s="1"/>
  <c r="CK31" i="6"/>
  <c r="CK37" i="6" s="1"/>
  <c r="CM27" i="6"/>
  <c r="CL29" i="6"/>
  <c r="CI101" i="6"/>
  <c r="CI19" i="6"/>
  <c r="CI22" i="6" s="1"/>
  <c r="CI23" i="6" s="1"/>
  <c r="CI76" i="6"/>
  <c r="CI77" i="6" s="1"/>
  <c r="CJ9" i="6"/>
  <c r="CK8" i="6"/>
  <c r="BT73" i="3"/>
  <c r="BT79" i="3" s="1"/>
  <c r="CF13" i="1"/>
  <c r="CE14" i="1"/>
  <c r="CJ54" i="5"/>
  <c r="CI59" i="5"/>
  <c r="CI56" i="5"/>
  <c r="CH63" i="5"/>
  <c r="CH64" i="5" s="1"/>
  <c r="CL33" i="5"/>
  <c r="CK34" i="5"/>
  <c r="CK38" i="5" s="1"/>
  <c r="CJ36" i="5"/>
  <c r="CJ39" i="5" s="1"/>
  <c r="CK35" i="5"/>
  <c r="CP40" i="5"/>
  <c r="CM50" i="5"/>
  <c r="CL51" i="5"/>
  <c r="CL52" i="5" s="1"/>
  <c r="CJ42" i="5"/>
  <c r="CJ43" i="5" s="1"/>
  <c r="CI42" i="5"/>
  <c r="CI43" i="5" s="1"/>
  <c r="CI45" i="5" s="1"/>
  <c r="CI58" i="5"/>
  <c r="CI60" i="5" s="1"/>
  <c r="CI46" i="5" s="1"/>
  <c r="CI48" i="5" s="1"/>
  <c r="CI49" i="5" s="1"/>
  <c r="CI53" i="5" s="1"/>
  <c r="CI90" i="5" s="1"/>
  <c r="CJ57" i="5"/>
  <c r="CI61" i="5"/>
  <c r="CI62" i="5" s="1"/>
  <c r="CG153" i="5"/>
  <c r="CH152" i="5"/>
  <c r="CH153" i="5"/>
  <c r="CI29" i="5"/>
  <c r="CI31" i="5" s="1"/>
  <c r="CI32" i="5" s="1"/>
  <c r="CI150" i="5"/>
  <c r="CI151" i="5" s="1"/>
  <c r="CJ146" i="5"/>
  <c r="CI147" i="5"/>
  <c r="CI149" i="5" s="1"/>
  <c r="CI135" i="5" s="1"/>
  <c r="CI137" i="5" s="1"/>
  <c r="CI138" i="5" s="1"/>
  <c r="CI142" i="5" s="1"/>
  <c r="CI91" i="5" s="1"/>
  <c r="CJ130" i="5"/>
  <c r="BZ23" i="1"/>
  <c r="BX18" i="1"/>
  <c r="BR9" i="4"/>
  <c r="BR23" i="4" s="1"/>
  <c r="BR24" i="4" s="1"/>
  <c r="CK123" i="5"/>
  <c r="CK127" i="5" s="1"/>
  <c r="CL122" i="5"/>
  <c r="CI145" i="5"/>
  <c r="CJ143" i="5"/>
  <c r="CI148" i="5"/>
  <c r="CL129" i="5"/>
  <c r="CK139" i="5"/>
  <c r="CJ140" i="5"/>
  <c r="CJ141" i="5" s="1"/>
  <c r="CJ125" i="5"/>
  <c r="CJ128" i="5" s="1"/>
  <c r="CK124" i="5"/>
  <c r="CI131" i="5"/>
  <c r="CI132" i="5" s="1"/>
  <c r="BY23" i="1"/>
  <c r="BY36" i="1" s="1"/>
  <c r="CL19" i="5"/>
  <c r="CK22" i="5"/>
  <c r="BW46" i="3"/>
  <c r="BW48" i="3" s="1"/>
  <c r="BW18" i="1"/>
  <c r="BW35" i="1" s="1"/>
  <c r="BW37" i="1" s="1"/>
  <c r="BU31" i="3"/>
  <c r="BU32" i="3" s="1"/>
  <c r="BU29" i="3"/>
  <c r="BU57" i="3"/>
  <c r="BU106" i="1"/>
  <c r="BU25" i="3"/>
  <c r="BS2" i="4" s="1"/>
  <c r="BV35" i="1"/>
  <c r="BV37" i="1" s="1"/>
  <c r="BX46" i="3"/>
  <c r="BX48" i="3" s="1"/>
  <c r="CE115" i="5"/>
  <c r="CE116" i="5" s="1"/>
  <c r="CE117" i="5" s="1"/>
  <c r="CE104" i="5"/>
  <c r="CE154" i="5" s="1"/>
  <c r="BV58" i="3"/>
  <c r="BV50" i="3"/>
  <c r="BV59" i="3"/>
  <c r="BY17" i="1"/>
  <c r="CF74" i="5"/>
  <c r="CF75" i="5" s="1"/>
  <c r="CF76" i="5" s="1"/>
  <c r="CF77" i="5" s="1"/>
  <c r="CJ87" i="6"/>
  <c r="CJ88" i="6" s="1"/>
  <c r="CJ92" i="6"/>
  <c r="CJ93" i="6" s="1"/>
  <c r="CJ94" i="6" s="1"/>
  <c r="CK86" i="6"/>
  <c r="CM99" i="5"/>
  <c r="CI119" i="5"/>
  <c r="CI120" i="5" s="1"/>
  <c r="CI121" i="5" s="1"/>
  <c r="CJ118" i="5"/>
  <c r="CK67" i="5"/>
  <c r="CL66" i="5"/>
  <c r="CK68" i="5"/>
  <c r="CH61" i="6"/>
  <c r="CH62" i="6" s="1"/>
  <c r="CH63" i="6" s="1"/>
  <c r="CK32" i="6"/>
  <c r="CQ11" i="7"/>
  <c r="CK31" i="1" s="1"/>
  <c r="CK19" i="3"/>
  <c r="CK21" i="3" s="1"/>
  <c r="CI6" i="4"/>
  <c r="CD11" i="4"/>
  <c r="CK110" i="6"/>
  <c r="CK111" i="6" s="1"/>
  <c r="CK112" i="6" s="1"/>
  <c r="CL109" i="6"/>
  <c r="CK98" i="6"/>
  <c r="CK100" i="6" s="1"/>
  <c r="CL96" i="6"/>
  <c r="CG62" i="6"/>
  <c r="CG63" i="6" s="1"/>
  <c r="CG64" i="6" s="1"/>
  <c r="CG65" i="6" s="1"/>
  <c r="CG66" i="6" s="1"/>
  <c r="CG67" i="6" s="1"/>
  <c r="CA22" i="1" s="1"/>
  <c r="CI106" i="6"/>
  <c r="CI107" i="6" s="1"/>
  <c r="CI82" i="6"/>
  <c r="CM30" i="5"/>
  <c r="CL15" i="5"/>
  <c r="CK16" i="5"/>
  <c r="CK41" i="5" s="1"/>
  <c r="BX12" i="4"/>
  <c r="BY10" i="4"/>
  <c r="BX22" i="4"/>
  <c r="BX25" i="4" s="1"/>
  <c r="BX26" i="4" s="1"/>
  <c r="CM4" i="3"/>
  <c r="CL17" i="3"/>
  <c r="CL16" i="3"/>
  <c r="CH113" i="5"/>
  <c r="CH114" i="5" s="1"/>
  <c r="CI88" i="5"/>
  <c r="CI89" i="5" s="1"/>
  <c r="CJ30" i="3"/>
  <c r="CJ26" i="3"/>
  <c r="CJ107" i="1"/>
  <c r="CE1" i="4"/>
  <c r="CG2" i="3"/>
  <c r="CH5" i="3"/>
  <c r="CH70" i="5"/>
  <c r="CH71" i="5" s="1"/>
  <c r="CH72" i="5" s="1"/>
  <c r="CL42" i="6"/>
  <c r="CK43" i="6"/>
  <c r="CK44" i="6" s="1"/>
  <c r="CG71" i="5"/>
  <c r="CG72" i="5" s="1"/>
  <c r="CG73" i="5" s="1"/>
  <c r="CM105" i="5"/>
  <c r="CL107" i="5"/>
  <c r="CL109" i="5" s="1"/>
  <c r="CJ81" i="6"/>
  <c r="CJ103" i="6"/>
  <c r="CK78" i="6"/>
  <c r="CN84" i="6"/>
  <c r="CM85" i="6"/>
  <c r="CI48" i="6"/>
  <c r="CI54" i="6" s="1"/>
  <c r="CI55" i="6" s="1"/>
  <c r="CJ47" i="6"/>
  <c r="CG104" i="6"/>
  <c r="CG105" i="6" s="1"/>
  <c r="CG108" i="6" s="1"/>
  <c r="CH79" i="6"/>
  <c r="CG80" i="6"/>
  <c r="CG95" i="6" s="1"/>
  <c r="CJ73" i="6"/>
  <c r="CJ75" i="6" s="1"/>
  <c r="CK71" i="6"/>
  <c r="CH89" i="5"/>
  <c r="CI101" i="5"/>
  <c r="CI102" i="5" s="1"/>
  <c r="CI103" i="5" s="1"/>
  <c r="CI96" i="5"/>
  <c r="CI97" i="5" s="1"/>
  <c r="CJ95" i="5"/>
  <c r="CM93" i="5"/>
  <c r="CL94" i="5"/>
  <c r="CI82" i="5"/>
  <c r="CI84" i="5" s="1"/>
  <c r="CJ80" i="5"/>
  <c r="CJ69" i="5"/>
  <c r="CJ110" i="5"/>
  <c r="CJ111" i="5" s="1"/>
  <c r="CJ85" i="5"/>
  <c r="CJ86" i="5" s="1"/>
  <c r="CJ26" i="5"/>
  <c r="CJ18" i="5"/>
  <c r="CJ23" i="5" s="1"/>
  <c r="CJ24" i="5" s="1"/>
  <c r="CK45" i="6" l="1"/>
  <c r="CJ126" i="6"/>
  <c r="CJ144" i="6" s="1"/>
  <c r="CK122" i="6"/>
  <c r="CK123" i="6" s="1"/>
  <c r="CK124" i="6" s="1"/>
  <c r="CL121" i="6"/>
  <c r="CM132" i="6"/>
  <c r="CM133" i="6" s="1"/>
  <c r="CN131" i="6"/>
  <c r="CL118" i="6"/>
  <c r="CM116" i="6"/>
  <c r="CK119" i="6"/>
  <c r="CK127" i="6" s="1"/>
  <c r="CK129" i="6" s="1"/>
  <c r="CK130" i="6" s="1"/>
  <c r="CK134" i="6" s="1"/>
  <c r="CK120" i="6"/>
  <c r="CL137" i="6"/>
  <c r="CM136" i="6"/>
  <c r="CN115" i="6"/>
  <c r="CO113" i="6"/>
  <c r="CN27" i="6"/>
  <c r="CM29" i="6"/>
  <c r="CJ101" i="6"/>
  <c r="CJ76" i="6"/>
  <c r="CJ77" i="6" s="1"/>
  <c r="CJ19" i="6"/>
  <c r="CJ22" i="6" s="1"/>
  <c r="CJ23" i="6" s="1"/>
  <c r="CL31" i="6"/>
  <c r="CL37" i="6" s="1"/>
  <c r="CL30" i="6"/>
  <c r="CL38" i="6" s="1"/>
  <c r="CL40" i="6" s="1"/>
  <c r="CL41" i="6" s="1"/>
  <c r="CJ33" i="6"/>
  <c r="CJ34" i="6" s="1"/>
  <c r="CJ35" i="6" s="1"/>
  <c r="CK9" i="6"/>
  <c r="CL8" i="6"/>
  <c r="CF14" i="1"/>
  <c r="CG13" i="1"/>
  <c r="CI63" i="5"/>
  <c r="CL34" i="5"/>
  <c r="CL38" i="5" s="1"/>
  <c r="CM33" i="5"/>
  <c r="CI64" i="5"/>
  <c r="CK54" i="5"/>
  <c r="CJ56" i="5"/>
  <c r="CJ59" i="5"/>
  <c r="CM51" i="5"/>
  <c r="CM52" i="5" s="1"/>
  <c r="CN50" i="5"/>
  <c r="CK36" i="5"/>
  <c r="CK39" i="5" s="1"/>
  <c r="CL35" i="5"/>
  <c r="CQ40" i="5"/>
  <c r="CJ58" i="5"/>
  <c r="CJ60" i="5" s="1"/>
  <c r="CJ46" i="5" s="1"/>
  <c r="CJ48" i="5" s="1"/>
  <c r="CJ49" i="5" s="1"/>
  <c r="CJ53" i="5" s="1"/>
  <c r="CJ90" i="5" s="1"/>
  <c r="CK57" i="5"/>
  <c r="CJ61" i="5"/>
  <c r="CJ62" i="5" s="1"/>
  <c r="CJ45" i="5"/>
  <c r="CI152" i="5"/>
  <c r="BS9" i="4"/>
  <c r="BS23" i="4" s="1"/>
  <c r="BS24" i="4" s="1"/>
  <c r="BZ47" i="3"/>
  <c r="CJ29" i="5"/>
  <c r="CJ31" i="5" s="1"/>
  <c r="CJ32" i="5" s="1"/>
  <c r="CK146" i="5"/>
  <c r="CJ147" i="5"/>
  <c r="CJ149" i="5" s="1"/>
  <c r="CJ135" i="5" s="1"/>
  <c r="CJ137" i="5" s="1"/>
  <c r="CJ138" i="5" s="1"/>
  <c r="CJ142" i="5" s="1"/>
  <c r="CJ91" i="5" s="1"/>
  <c r="CJ150" i="5"/>
  <c r="CJ151" i="5" s="1"/>
  <c r="CK130" i="5"/>
  <c r="BZ36" i="1"/>
  <c r="CL123" i="5"/>
  <c r="CL127" i="5" s="1"/>
  <c r="CM122" i="5"/>
  <c r="CI134" i="5"/>
  <c r="CI153" i="5" s="1"/>
  <c r="CL139" i="5"/>
  <c r="CK140" i="5"/>
  <c r="CK141" i="5" s="1"/>
  <c r="CM129" i="5"/>
  <c r="CJ148" i="5"/>
  <c r="CK143" i="5"/>
  <c r="CJ145" i="5"/>
  <c r="CK125" i="5"/>
  <c r="CK128" i="5" s="1"/>
  <c r="CL124" i="5"/>
  <c r="CJ131" i="5"/>
  <c r="CJ132" i="5" s="1"/>
  <c r="BY18" i="1"/>
  <c r="BY35" i="1" s="1"/>
  <c r="BY37" i="1" s="1"/>
  <c r="BV29" i="3"/>
  <c r="BV31" i="3"/>
  <c r="BV32" i="3" s="1"/>
  <c r="BV57" i="3"/>
  <c r="BV106" i="1"/>
  <c r="BV25" i="3"/>
  <c r="BT2" i="4" s="1"/>
  <c r="CF115" i="5"/>
  <c r="CF116" i="5" s="1"/>
  <c r="CF117" i="5" s="1"/>
  <c r="CF104" i="5"/>
  <c r="CF154" i="5" s="1"/>
  <c r="CM19" i="5"/>
  <c r="CL22" i="5"/>
  <c r="BW59" i="3"/>
  <c r="BW50" i="3"/>
  <c r="BW58" i="3"/>
  <c r="BZ17" i="1"/>
  <c r="BU69" i="3"/>
  <c r="BU75" i="3" s="1"/>
  <c r="BU71" i="3"/>
  <c r="BU77" i="3" s="1"/>
  <c r="BU72" i="3"/>
  <c r="BU78" i="3" s="1"/>
  <c r="BU73" i="3"/>
  <c r="BU79" i="3" s="1"/>
  <c r="BU70" i="3"/>
  <c r="BU76" i="3" s="1"/>
  <c r="BX35" i="1"/>
  <c r="BX37" i="1" s="1"/>
  <c r="BX59" i="3"/>
  <c r="BX58" i="3"/>
  <c r="BX50" i="3"/>
  <c r="BU27" i="3"/>
  <c r="BV24" i="3" s="1"/>
  <c r="CH73" i="5"/>
  <c r="CG74" i="5"/>
  <c r="CG75" i="5" s="1"/>
  <c r="CG76" i="5" s="1"/>
  <c r="CG77" i="5" s="1"/>
  <c r="CF1" i="4"/>
  <c r="CI5" i="3"/>
  <c r="CH2" i="3"/>
  <c r="CK110" i="5"/>
  <c r="CK111" i="5" s="1"/>
  <c r="CK85" i="5"/>
  <c r="CK86" i="5" s="1"/>
  <c r="CK26" i="5"/>
  <c r="CK18" i="5"/>
  <c r="CK23" i="5" s="1"/>
  <c r="CK24" i="5" s="1"/>
  <c r="CL98" i="6"/>
  <c r="CL100" i="6" s="1"/>
  <c r="CM96" i="6"/>
  <c r="CL68" i="5"/>
  <c r="CL67" i="5"/>
  <c r="CM66" i="5"/>
  <c r="CK47" i="6"/>
  <c r="CJ48" i="6"/>
  <c r="CJ54" i="6" s="1"/>
  <c r="CJ55" i="6" s="1"/>
  <c r="CJ119" i="5"/>
  <c r="CJ120" i="5" s="1"/>
  <c r="CJ121" i="5" s="1"/>
  <c r="CK118" i="5"/>
  <c r="CI113" i="5"/>
  <c r="CI114" i="5" s="1"/>
  <c r="CJ88" i="5"/>
  <c r="BY12" i="4"/>
  <c r="BY22" i="4"/>
  <c r="BY25" i="4" s="1"/>
  <c r="BY26" i="4" s="1"/>
  <c r="BZ10" i="4"/>
  <c r="CN30" i="5"/>
  <c r="CJ82" i="5"/>
  <c r="CJ84" i="5" s="1"/>
  <c r="CK80" i="5"/>
  <c r="CJ101" i="5"/>
  <c r="CJ102" i="5" s="1"/>
  <c r="CJ103" i="5" s="1"/>
  <c r="CK95" i="5"/>
  <c r="CJ96" i="5"/>
  <c r="CJ97" i="5" s="1"/>
  <c r="CN85" i="6"/>
  <c r="CO84" i="6"/>
  <c r="CR11" i="7"/>
  <c r="CL31" i="1" s="1"/>
  <c r="CL19" i="3"/>
  <c r="CL21" i="3" s="1"/>
  <c r="CJ6" i="4"/>
  <c r="CN99" i="5"/>
  <c r="CJ106" i="6"/>
  <c r="CJ107" i="6" s="1"/>
  <c r="CJ82" i="6"/>
  <c r="CL32" i="6"/>
  <c r="CK33" i="6"/>
  <c r="CK34" i="6" s="1"/>
  <c r="CK35" i="6" s="1"/>
  <c r="CK73" i="6"/>
  <c r="CK75" i="6" s="1"/>
  <c r="CL71" i="6"/>
  <c r="CM94" i="5"/>
  <c r="CN93" i="5"/>
  <c r="CM107" i="5"/>
  <c r="CM109" i="5" s="1"/>
  <c r="CN105" i="5"/>
  <c r="CH104" i="6"/>
  <c r="CH105" i="6" s="1"/>
  <c r="CH108" i="6" s="1"/>
  <c r="CI79" i="6"/>
  <c r="CH80" i="6"/>
  <c r="CH95" i="6" s="1"/>
  <c r="CK103" i="6"/>
  <c r="CL78" i="6"/>
  <c r="CK81" i="6"/>
  <c r="CI61" i="6"/>
  <c r="CI62" i="6"/>
  <c r="CI63" i="6" s="1"/>
  <c r="CK87" i="6"/>
  <c r="CK88" i="6" s="1"/>
  <c r="CL86" i="6"/>
  <c r="CK92" i="6"/>
  <c r="CK93" i="6" s="1"/>
  <c r="CK94" i="6" s="1"/>
  <c r="CK143" i="6" s="1"/>
  <c r="CL16" i="5"/>
  <c r="CL41" i="5" s="1"/>
  <c r="CM15" i="5"/>
  <c r="CE11" i="4"/>
  <c r="CM42" i="6"/>
  <c r="CL43" i="6"/>
  <c r="CL44" i="6" s="1"/>
  <c r="CI70" i="5"/>
  <c r="CI71" i="5" s="1"/>
  <c r="CI72" i="5" s="1"/>
  <c r="CN4" i="3"/>
  <c r="CM16" i="3"/>
  <c r="CM17" i="3"/>
  <c r="CH64" i="6"/>
  <c r="CH65" i="6"/>
  <c r="CH66" i="6" s="1"/>
  <c r="CH67" i="6" s="1"/>
  <c r="CB22" i="1" s="1"/>
  <c r="CL110" i="6"/>
  <c r="CL111" i="6" s="1"/>
  <c r="CL112" i="6" s="1"/>
  <c r="CM109" i="6"/>
  <c r="CK26" i="3"/>
  <c r="CK30" i="3"/>
  <c r="CK107" i="1"/>
  <c r="CK69" i="5"/>
  <c r="CK126" i="6" l="1"/>
  <c r="CL45" i="6"/>
  <c r="CL122" i="6"/>
  <c r="CL123" i="6" s="1"/>
  <c r="CL124" i="6" s="1"/>
  <c r="CM121" i="6"/>
  <c r="CK144" i="6"/>
  <c r="CN116" i="6"/>
  <c r="CM118" i="6"/>
  <c r="CO115" i="6"/>
  <c r="CP113" i="6"/>
  <c r="CL119" i="6"/>
  <c r="CL127" i="6" s="1"/>
  <c r="CL129" i="6" s="1"/>
  <c r="CL130" i="6" s="1"/>
  <c r="CL120" i="6"/>
  <c r="CM137" i="6"/>
  <c r="CN136" i="6"/>
  <c r="CO131" i="6"/>
  <c r="CN132" i="6"/>
  <c r="CN133" i="6" s="1"/>
  <c r="CL9" i="6"/>
  <c r="CM8" i="6"/>
  <c r="CM31" i="6"/>
  <c r="CM37" i="6" s="1"/>
  <c r="CM30" i="6"/>
  <c r="CM38" i="6" s="1"/>
  <c r="CM40" i="6" s="1"/>
  <c r="CM41" i="6" s="1"/>
  <c r="CK19" i="6"/>
  <c r="CK22" i="6" s="1"/>
  <c r="CK23" i="6" s="1"/>
  <c r="CK76" i="6"/>
  <c r="CK77" i="6" s="1"/>
  <c r="CK101" i="6"/>
  <c r="CO27" i="6"/>
  <c r="CN29" i="6"/>
  <c r="CG14" i="1"/>
  <c r="CH13" i="1"/>
  <c r="CJ63" i="5"/>
  <c r="CJ64" i="5" s="1"/>
  <c r="CL54" i="5"/>
  <c r="CK59" i="5"/>
  <c r="CK56" i="5"/>
  <c r="CM34" i="5"/>
  <c r="CM38" i="5" s="1"/>
  <c r="CN33" i="5"/>
  <c r="CK42" i="5"/>
  <c r="CK43" i="5" s="1"/>
  <c r="CN51" i="5"/>
  <c r="CN52" i="5" s="1"/>
  <c r="CO50" i="5"/>
  <c r="CL42" i="5"/>
  <c r="CL43" i="5" s="1"/>
  <c r="CK58" i="5"/>
  <c r="CK60" i="5" s="1"/>
  <c r="CK46" i="5" s="1"/>
  <c r="CK48" i="5" s="1"/>
  <c r="CK49" i="5" s="1"/>
  <c r="CK53" i="5" s="1"/>
  <c r="CK90" i="5" s="1"/>
  <c r="CK61" i="5"/>
  <c r="CK62" i="5" s="1"/>
  <c r="CL57" i="5"/>
  <c r="CL36" i="5"/>
  <c r="CL39" i="5" s="1"/>
  <c r="CM35" i="5"/>
  <c r="CK45" i="5"/>
  <c r="CR40" i="5"/>
  <c r="BT9" i="4"/>
  <c r="BT23" i="4" s="1"/>
  <c r="BT24" i="4" s="1"/>
  <c r="CJ152" i="5"/>
  <c r="CK29" i="5"/>
  <c r="CK31" i="5" s="1"/>
  <c r="CK32" i="5" s="1"/>
  <c r="CL146" i="5"/>
  <c r="CK150" i="5"/>
  <c r="CK151" i="5" s="1"/>
  <c r="CK147" i="5"/>
  <c r="CK149" i="5" s="1"/>
  <c r="CK135" i="5" s="1"/>
  <c r="CK137" i="5" s="1"/>
  <c r="CK138" i="5" s="1"/>
  <c r="CK142" i="5" s="1"/>
  <c r="CK91" i="5" s="1"/>
  <c r="CL130" i="5"/>
  <c r="CJ134" i="5"/>
  <c r="CM123" i="5"/>
  <c r="CM127" i="5" s="1"/>
  <c r="CN122" i="5"/>
  <c r="BY46" i="3"/>
  <c r="BY48" i="3" s="1"/>
  <c r="CL125" i="5"/>
  <c r="CL128" i="5" s="1"/>
  <c r="CM124" i="5"/>
  <c r="CK148" i="5"/>
  <c r="CL143" i="5"/>
  <c r="CK145" i="5"/>
  <c r="CK131" i="5"/>
  <c r="CK132" i="5" s="1"/>
  <c r="CK134" i="5" s="1"/>
  <c r="CN129" i="5"/>
  <c r="CM139" i="5"/>
  <c r="CL140" i="5"/>
  <c r="CL141" i="5" s="1"/>
  <c r="BZ46" i="3"/>
  <c r="BZ48" i="3" s="1"/>
  <c r="BV27" i="3"/>
  <c r="BW24" i="3" s="1"/>
  <c r="CG115" i="5"/>
  <c r="CG116" i="5" s="1"/>
  <c r="CG117" i="5" s="1"/>
  <c r="CG104" i="5"/>
  <c r="CG154" i="5" s="1"/>
  <c r="CN19" i="5"/>
  <c r="CM22" i="5"/>
  <c r="BV72" i="3"/>
  <c r="BV78" i="3" s="1"/>
  <c r="BV71" i="3"/>
  <c r="BV77" i="3" s="1"/>
  <c r="BV73" i="3"/>
  <c r="BV79" i="3" s="1"/>
  <c r="BV70" i="3"/>
  <c r="BV76" i="3" s="1"/>
  <c r="BV69" i="3"/>
  <c r="BV75" i="3" s="1"/>
  <c r="BW106" i="1"/>
  <c r="BW31" i="3"/>
  <c r="BW32" i="3" s="1"/>
  <c r="BW29" i="3"/>
  <c r="BW25" i="3"/>
  <c r="BU2" i="4" s="1"/>
  <c r="BW57" i="3"/>
  <c r="CL69" i="5"/>
  <c r="CB47" i="3"/>
  <c r="CA17" i="1"/>
  <c r="BX31" i="3"/>
  <c r="BX57" i="3"/>
  <c r="BX106" i="1"/>
  <c r="BX29" i="3"/>
  <c r="BX25" i="3"/>
  <c r="BV2" i="4" s="1"/>
  <c r="CL103" i="6"/>
  <c r="CM78" i="6"/>
  <c r="BZ22" i="4"/>
  <c r="BZ25" i="4" s="1"/>
  <c r="BZ26" i="4" s="1"/>
  <c r="CA10" i="4"/>
  <c r="BZ12" i="4"/>
  <c r="CL47" i="6"/>
  <c r="CK48" i="6"/>
  <c r="CK54" i="6" s="1"/>
  <c r="CK55" i="6" s="1"/>
  <c r="CI73" i="5"/>
  <c r="CN17" i="3"/>
  <c r="CN16" i="3"/>
  <c r="CO4" i="3"/>
  <c r="CM71" i="6"/>
  <c r="CL73" i="6"/>
  <c r="CL75" i="6" s="1"/>
  <c r="CL80" i="5"/>
  <c r="CK82" i="5"/>
  <c r="CK84" i="5" s="1"/>
  <c r="CM98" i="6"/>
  <c r="CM100" i="6" s="1"/>
  <c r="CN96" i="6"/>
  <c r="CI64" i="6"/>
  <c r="CI65" i="6" s="1"/>
  <c r="CI66" i="6" s="1"/>
  <c r="CI67" i="6" s="1"/>
  <c r="CC22" i="1" s="1"/>
  <c r="CO93" i="5"/>
  <c r="CN94" i="5"/>
  <c r="CA23" i="1"/>
  <c r="CA36" i="1" s="1"/>
  <c r="CA47" i="3"/>
  <c r="CH74" i="5"/>
  <c r="CH75" i="5" s="1"/>
  <c r="CH76" i="5" s="1"/>
  <c r="CH77" i="5" s="1"/>
  <c r="CJ70" i="5"/>
  <c r="CJ71" i="5"/>
  <c r="CJ72" i="5" s="1"/>
  <c r="CL87" i="6"/>
  <c r="CL88" i="6" s="1"/>
  <c r="CM86" i="6"/>
  <c r="CL92" i="6"/>
  <c r="CL93" i="6" s="1"/>
  <c r="CL94" i="6" s="1"/>
  <c r="CL143" i="6" s="1"/>
  <c r="CO30" i="5"/>
  <c r="CM67" i="5"/>
  <c r="CM68" i="5"/>
  <c r="CN66" i="5"/>
  <c r="CG1" i="4"/>
  <c r="CJ5" i="3"/>
  <c r="CI2" i="3"/>
  <c r="CL26" i="3"/>
  <c r="CL107" i="1"/>
  <c r="CL30" i="3"/>
  <c r="CN109" i="6"/>
  <c r="CM110" i="6"/>
  <c r="CM111" i="6" s="1"/>
  <c r="CM112" i="6" s="1"/>
  <c r="CM16" i="5"/>
  <c r="CM41" i="5" s="1"/>
  <c r="CN15" i="5"/>
  <c r="CL110" i="5"/>
  <c r="CL111" i="5" s="1"/>
  <c r="CL85" i="5"/>
  <c r="CL86" i="5" s="1"/>
  <c r="CL26" i="5"/>
  <c r="CL18" i="5"/>
  <c r="CL23" i="5" s="1"/>
  <c r="CL24" i="5" s="1"/>
  <c r="CI104" i="6"/>
  <c r="CI105" i="6" s="1"/>
  <c r="CI108" i="6" s="1"/>
  <c r="CJ79" i="6"/>
  <c r="CI80" i="6"/>
  <c r="CI95" i="6" s="1"/>
  <c r="CN107" i="5"/>
  <c r="CN109" i="5" s="1"/>
  <c r="CO105" i="5"/>
  <c r="CP84" i="6"/>
  <c r="CO85" i="6"/>
  <c r="CM32" i="6"/>
  <c r="CL33" i="6"/>
  <c r="CL34" i="6" s="1"/>
  <c r="CL35" i="6" s="1"/>
  <c r="CO99" i="5"/>
  <c r="CJ113" i="5"/>
  <c r="CJ114" i="5" s="1"/>
  <c r="CK88" i="5"/>
  <c r="CK89" i="5" s="1"/>
  <c r="CL81" i="6"/>
  <c r="CM43" i="6"/>
  <c r="CM44" i="6" s="1"/>
  <c r="CN42" i="6"/>
  <c r="CS11" i="7"/>
  <c r="CM31" i="1" s="1"/>
  <c r="CM19" i="3"/>
  <c r="CM21" i="3" s="1"/>
  <c r="CK6" i="4"/>
  <c r="CF11" i="4"/>
  <c r="CJ61" i="6"/>
  <c r="CJ62" i="6" s="1"/>
  <c r="CJ63" i="6" s="1"/>
  <c r="CK106" i="6"/>
  <c r="CK107" i="6" s="1"/>
  <c r="CK82" i="6"/>
  <c r="CJ89" i="5"/>
  <c r="CK101" i="5"/>
  <c r="CK102" i="5" s="1"/>
  <c r="CK103" i="5" s="1"/>
  <c r="CL95" i="5"/>
  <c r="CK96" i="5"/>
  <c r="CK97" i="5" s="1"/>
  <c r="CK119" i="5"/>
  <c r="CK120" i="5" s="1"/>
  <c r="CK121" i="5" s="1"/>
  <c r="CL118" i="5"/>
  <c r="CL126" i="6" l="1"/>
  <c r="CL134" i="6"/>
  <c r="CQ113" i="6"/>
  <c r="CP115" i="6"/>
  <c r="CO132" i="6"/>
  <c r="CO133" i="6" s="1"/>
  <c r="CP131" i="6"/>
  <c r="CO136" i="6"/>
  <c r="CN137" i="6"/>
  <c r="CM120" i="6"/>
  <c r="CM119" i="6"/>
  <c r="CM127" i="6" s="1"/>
  <c r="CM129" i="6" s="1"/>
  <c r="CM130" i="6" s="1"/>
  <c r="CO116" i="6"/>
  <c r="CN118" i="6"/>
  <c r="CN121" i="6"/>
  <c r="CM122" i="6"/>
  <c r="CM123" i="6" s="1"/>
  <c r="CM124" i="6" s="1"/>
  <c r="CL144" i="6"/>
  <c r="CO29" i="6"/>
  <c r="CP27" i="6"/>
  <c r="CM45" i="6"/>
  <c r="CM81" i="6" s="1"/>
  <c r="CM9" i="6"/>
  <c r="CN8" i="6"/>
  <c r="CN31" i="6"/>
  <c r="CN37" i="6" s="1"/>
  <c r="CN30" i="6"/>
  <c r="CN38" i="6" s="1"/>
  <c r="CN40" i="6" s="1"/>
  <c r="CN41" i="6" s="1"/>
  <c r="CL101" i="6"/>
  <c r="CL76" i="6"/>
  <c r="CL77" i="6" s="1"/>
  <c r="CL19" i="6"/>
  <c r="CL22" i="6" s="1"/>
  <c r="CL23" i="6" s="1"/>
  <c r="CI13" i="1"/>
  <c r="CH14" i="1"/>
  <c r="CK63" i="5"/>
  <c r="CN34" i="5"/>
  <c r="CN38" i="5" s="1"/>
  <c r="CO33" i="5"/>
  <c r="BU9" i="4"/>
  <c r="BU23" i="4" s="1"/>
  <c r="BU24" i="4" s="1"/>
  <c r="CM54" i="5"/>
  <c r="CL59" i="5"/>
  <c r="CL56" i="5"/>
  <c r="CS40" i="5"/>
  <c r="CM36" i="5"/>
  <c r="CM39" i="5" s="1"/>
  <c r="CN35" i="5"/>
  <c r="CK64" i="5"/>
  <c r="CL45" i="5"/>
  <c r="CO51" i="5"/>
  <c r="CO52" i="5" s="1"/>
  <c r="CP50" i="5"/>
  <c r="CL58" i="5"/>
  <c r="CL60" i="5" s="1"/>
  <c r="CL46" i="5" s="1"/>
  <c r="CL48" i="5" s="1"/>
  <c r="CL49" i="5" s="1"/>
  <c r="CL53" i="5" s="1"/>
  <c r="CL90" i="5" s="1"/>
  <c r="CL61" i="5"/>
  <c r="CL62" i="5" s="1"/>
  <c r="CL63" i="5" s="1"/>
  <c r="CM57" i="5"/>
  <c r="CM69" i="5"/>
  <c r="CJ153" i="5"/>
  <c r="CK152" i="5"/>
  <c r="CK153" i="5" s="1"/>
  <c r="CL29" i="5"/>
  <c r="CL31" i="5" s="1"/>
  <c r="CL32" i="5" s="1"/>
  <c r="CM146" i="5"/>
  <c r="CL150" i="5"/>
  <c r="CL151" i="5" s="1"/>
  <c r="CL147" i="5"/>
  <c r="CL149" i="5" s="1"/>
  <c r="CL135" i="5" s="1"/>
  <c r="CL137" i="5" s="1"/>
  <c r="CL138" i="5" s="1"/>
  <c r="CL142" i="5" s="1"/>
  <c r="CL91" i="5" s="1"/>
  <c r="CM130" i="5"/>
  <c r="CO122" i="5"/>
  <c r="CN123" i="5"/>
  <c r="CN127" i="5" s="1"/>
  <c r="CA18" i="1"/>
  <c r="BZ18" i="1"/>
  <c r="BZ35" i="1" s="1"/>
  <c r="BZ37" i="1" s="1"/>
  <c r="BY50" i="3"/>
  <c r="BY59" i="3"/>
  <c r="BY58" i="3"/>
  <c r="CM125" i="5"/>
  <c r="CM128" i="5" s="1"/>
  <c r="CN124" i="5"/>
  <c r="CL148" i="5"/>
  <c r="CM143" i="5"/>
  <c r="CL145" i="5"/>
  <c r="CN139" i="5"/>
  <c r="CM140" i="5"/>
  <c r="CM141" i="5" s="1"/>
  <c r="CO129" i="5"/>
  <c r="CL131" i="5"/>
  <c r="CL132" i="5" s="1"/>
  <c r="CL134" i="5" s="1"/>
  <c r="CC47" i="3"/>
  <c r="BW27" i="3"/>
  <c r="BX24" i="3" s="1"/>
  <c r="BX27" i="3" s="1"/>
  <c r="BY24" i="3" s="1"/>
  <c r="BX73" i="3"/>
  <c r="BX79" i="3" s="1"/>
  <c r="BX72" i="3"/>
  <c r="BX78" i="3" s="1"/>
  <c r="BX70" i="3"/>
  <c r="BX76" i="3" s="1"/>
  <c r="BX71" i="3"/>
  <c r="BX77" i="3" s="1"/>
  <c r="BX69" i="3"/>
  <c r="BX75" i="3" s="1"/>
  <c r="BX32" i="3"/>
  <c r="CB23" i="1"/>
  <c r="CB36" i="1" s="1"/>
  <c r="BW72" i="3"/>
  <c r="BW78" i="3" s="1"/>
  <c r="BW71" i="3"/>
  <c r="BW77" i="3" s="1"/>
  <c r="BW70" i="3"/>
  <c r="BW76" i="3" s="1"/>
  <c r="BW73" i="3"/>
  <c r="BW79" i="3" s="1"/>
  <c r="BW69" i="3"/>
  <c r="BW75" i="3" s="1"/>
  <c r="CH115" i="5"/>
  <c r="CH116" i="5" s="1"/>
  <c r="CH117" i="5" s="1"/>
  <c r="CH104" i="5"/>
  <c r="CH154" i="5" s="1"/>
  <c r="CB17" i="1"/>
  <c r="CO19" i="5"/>
  <c r="CN22" i="5"/>
  <c r="BZ50" i="3"/>
  <c r="BZ59" i="3"/>
  <c r="BZ58" i="3"/>
  <c r="CN43" i="6"/>
  <c r="CN44" i="6" s="1"/>
  <c r="CO42" i="6"/>
  <c r="CM110" i="5"/>
  <c r="CM111" i="5" s="1"/>
  <c r="CM85" i="5"/>
  <c r="CM86" i="5" s="1"/>
  <c r="CM26" i="5"/>
  <c r="CM18" i="5"/>
  <c r="CM23" i="5" s="1"/>
  <c r="CM24" i="5" s="1"/>
  <c r="CM87" i="6"/>
  <c r="CM88" i="6" s="1"/>
  <c r="CN86" i="6"/>
  <c r="CM92" i="6"/>
  <c r="CM93" i="6" s="1"/>
  <c r="CM94" i="6" s="1"/>
  <c r="CM143" i="6" s="1"/>
  <c r="CO16" i="3"/>
  <c r="CO17" i="3"/>
  <c r="CP4" i="3"/>
  <c r="CA22" i="4"/>
  <c r="CA25" i="4" s="1"/>
  <c r="CA26" i="4" s="1"/>
  <c r="CA12" i="4"/>
  <c r="CB10" i="4"/>
  <c r="CO107" i="5"/>
  <c r="CO109" i="5" s="1"/>
  <c r="CP105" i="5"/>
  <c r="CP30" i="5"/>
  <c r="CP93" i="5"/>
  <c r="CO94" i="5"/>
  <c r="CT11" i="7"/>
  <c r="CN31" i="1" s="1"/>
  <c r="CL6" i="4"/>
  <c r="CN19" i="3"/>
  <c r="CN21" i="3" s="1"/>
  <c r="CM103" i="6"/>
  <c r="CN78" i="6"/>
  <c r="CL106" i="6"/>
  <c r="CL107" i="6" s="1"/>
  <c r="CL82" i="6"/>
  <c r="CK70" i="5"/>
  <c r="CJ73" i="5"/>
  <c r="CJ74" i="5" s="1"/>
  <c r="CJ75" i="5" s="1"/>
  <c r="CJ76" i="5" s="1"/>
  <c r="CJ77" i="5" s="1"/>
  <c r="CM47" i="6"/>
  <c r="CL48" i="6"/>
  <c r="CL54" i="6" s="1"/>
  <c r="CL55" i="6" s="1"/>
  <c r="CG11" i="4"/>
  <c r="CK113" i="5"/>
  <c r="CK114" i="5" s="1"/>
  <c r="CL88" i="5"/>
  <c r="CL89" i="5" s="1"/>
  <c r="CM73" i="6"/>
  <c r="CM75" i="6" s="1"/>
  <c r="CN71" i="6"/>
  <c r="CI74" i="5"/>
  <c r="CI75" i="5" s="1"/>
  <c r="CI76" i="5" s="1"/>
  <c r="CI77" i="5" s="1"/>
  <c r="CJ104" i="6"/>
  <c r="CJ105" i="6" s="1"/>
  <c r="CJ108" i="6" s="1"/>
  <c r="CK79" i="6"/>
  <c r="CJ80" i="6"/>
  <c r="CJ95" i="6" s="1"/>
  <c r="CN110" i="6"/>
  <c r="CN111" i="6" s="1"/>
  <c r="CN112" i="6" s="1"/>
  <c r="CO109" i="6"/>
  <c r="CH1" i="4"/>
  <c r="CK5" i="3"/>
  <c r="CJ2" i="3"/>
  <c r="CJ64" i="6"/>
  <c r="CJ65" i="6" s="1"/>
  <c r="CJ66" i="6" s="1"/>
  <c r="CJ67" i="6" s="1"/>
  <c r="CD22" i="1" s="1"/>
  <c r="CP99" i="5"/>
  <c r="CN16" i="5"/>
  <c r="CN41" i="5" s="1"/>
  <c r="CO15" i="5"/>
  <c r="CO96" i="6"/>
  <c r="CN98" i="6"/>
  <c r="CN100" i="6" s="1"/>
  <c r="CK61" i="6"/>
  <c r="CK62" i="6" s="1"/>
  <c r="CK63" i="6" s="1"/>
  <c r="CL96" i="5"/>
  <c r="CL97" i="5" s="1"/>
  <c r="CM95" i="5"/>
  <c r="CL101" i="5"/>
  <c r="CL102" i="5" s="1"/>
  <c r="CL103" i="5" s="1"/>
  <c r="CN32" i="6"/>
  <c r="CM80" i="5"/>
  <c r="CL82" i="5"/>
  <c r="CL84" i="5" s="1"/>
  <c r="CL119" i="5"/>
  <c r="CL120" i="5" s="1"/>
  <c r="CL121" i="5" s="1"/>
  <c r="CM118" i="5"/>
  <c r="CM26" i="3"/>
  <c r="CM107" i="1"/>
  <c r="CM30" i="3"/>
  <c r="CQ84" i="6"/>
  <c r="CP85" i="6"/>
  <c r="CN68" i="5"/>
  <c r="CN67" i="5"/>
  <c r="CO66" i="5"/>
  <c r="CM134" i="6" l="1"/>
  <c r="CM126" i="6"/>
  <c r="CO137" i="6"/>
  <c r="CP136" i="6"/>
  <c r="CP116" i="6"/>
  <c r="CO118" i="6"/>
  <c r="CP132" i="6"/>
  <c r="CP133" i="6" s="1"/>
  <c r="CQ131" i="6"/>
  <c r="CO121" i="6"/>
  <c r="CN122" i="6"/>
  <c r="CN123" i="6" s="1"/>
  <c r="CN124" i="6" s="1"/>
  <c r="CN120" i="6"/>
  <c r="CN119" i="6"/>
  <c r="CN127" i="6" s="1"/>
  <c r="CN129" i="6" s="1"/>
  <c r="CN130" i="6" s="1"/>
  <c r="CM144" i="6"/>
  <c r="CR113" i="6"/>
  <c r="CQ115" i="6"/>
  <c r="CP29" i="6"/>
  <c r="CQ27" i="6"/>
  <c r="CO8" i="6"/>
  <c r="CN9" i="6"/>
  <c r="CN45" i="6"/>
  <c r="CN81" i="6" s="1"/>
  <c r="CM101" i="6"/>
  <c r="CM76" i="6"/>
  <c r="CM77" i="6" s="1"/>
  <c r="CM19" i="6"/>
  <c r="CM22" i="6" s="1"/>
  <c r="CM23" i="6" s="1"/>
  <c r="CM33" i="6"/>
  <c r="CM34" i="6" s="1"/>
  <c r="CM35" i="6" s="1"/>
  <c r="CO31" i="6"/>
  <c r="CO37" i="6" s="1"/>
  <c r="CO30" i="6"/>
  <c r="CO38" i="6" s="1"/>
  <c r="CO40" i="6" s="1"/>
  <c r="CO41" i="6" s="1"/>
  <c r="CI14" i="1"/>
  <c r="CJ13" i="1"/>
  <c r="BV9" i="4"/>
  <c r="BV23" i="4" s="1"/>
  <c r="BV24" i="4" s="1"/>
  <c r="CM56" i="5"/>
  <c r="CN54" i="5"/>
  <c r="CM59" i="5"/>
  <c r="CO34" i="5"/>
  <c r="CO38" i="5" s="1"/>
  <c r="CP33" i="5"/>
  <c r="CO35" i="5"/>
  <c r="CN36" i="5"/>
  <c r="CN39" i="5" s="1"/>
  <c r="CC23" i="1"/>
  <c r="CM42" i="5"/>
  <c r="CM43" i="5" s="1"/>
  <c r="CM45" i="5" s="1"/>
  <c r="CN42" i="5"/>
  <c r="CN43" i="5" s="1"/>
  <c r="CN57" i="5"/>
  <c r="CM58" i="5"/>
  <c r="CM60" i="5" s="1"/>
  <c r="CM46" i="5" s="1"/>
  <c r="CM48" i="5" s="1"/>
  <c r="CM49" i="5" s="1"/>
  <c r="CM53" i="5" s="1"/>
  <c r="CM90" i="5" s="1"/>
  <c r="CM61" i="5"/>
  <c r="CM62" i="5" s="1"/>
  <c r="CM63" i="5" s="1"/>
  <c r="CP51" i="5"/>
  <c r="CP52" i="5" s="1"/>
  <c r="CQ50" i="5"/>
  <c r="CL64" i="5"/>
  <c r="CT40" i="5"/>
  <c r="CB46" i="3"/>
  <c r="CB48" i="3" s="1"/>
  <c r="CD47" i="3"/>
  <c r="CL152" i="5"/>
  <c r="CL153" i="5" s="1"/>
  <c r="CM29" i="5"/>
  <c r="CM31" i="5" s="1"/>
  <c r="CM32" i="5" s="1"/>
  <c r="CN146" i="5"/>
  <c r="CM150" i="5"/>
  <c r="CM151" i="5" s="1"/>
  <c r="CM147" i="5"/>
  <c r="CM149" i="5" s="1"/>
  <c r="CM135" i="5" s="1"/>
  <c r="CM137" i="5" s="1"/>
  <c r="CM138" i="5" s="1"/>
  <c r="CM142" i="5" s="1"/>
  <c r="CM91" i="5" s="1"/>
  <c r="CA35" i="1"/>
  <c r="CA37" i="1" s="1"/>
  <c r="CN130" i="5"/>
  <c r="CA46" i="3"/>
  <c r="CA48" i="3" s="1"/>
  <c r="CA59" i="3" s="1"/>
  <c r="CM131" i="5"/>
  <c r="CM132" i="5" s="1"/>
  <c r="CM134" i="5" s="1"/>
  <c r="CO123" i="5"/>
  <c r="CO127" i="5" s="1"/>
  <c r="CP122" i="5"/>
  <c r="BY57" i="3"/>
  <c r="BY31" i="3"/>
  <c r="BY32" i="3" s="1"/>
  <c r="BY25" i="3"/>
  <c r="BW2" i="4" s="1"/>
  <c r="BW9" i="4" s="1"/>
  <c r="BW23" i="4" s="1"/>
  <c r="BW24" i="4" s="1"/>
  <c r="BY106" i="1"/>
  <c r="BY29" i="3"/>
  <c r="CP129" i="5"/>
  <c r="CO124" i="5"/>
  <c r="CN125" i="5"/>
  <c r="CN128" i="5" s="1"/>
  <c r="CM148" i="5"/>
  <c r="CN143" i="5"/>
  <c r="CM145" i="5"/>
  <c r="CN140" i="5"/>
  <c r="CN141" i="5" s="1"/>
  <c r="CO139" i="5"/>
  <c r="BZ57" i="3"/>
  <c r="BZ29" i="3"/>
  <c r="BZ25" i="3"/>
  <c r="BX2" i="4" s="1"/>
  <c r="BZ106" i="1"/>
  <c r="BZ31" i="3"/>
  <c r="CC36" i="1"/>
  <c r="CO22" i="5"/>
  <c r="CP19" i="5"/>
  <c r="CI104" i="5"/>
  <c r="CI115" i="5"/>
  <c r="CI116" i="5" s="1"/>
  <c r="CI117" i="5" s="1"/>
  <c r="CC17" i="1"/>
  <c r="CQ99" i="5"/>
  <c r="CH11" i="4"/>
  <c r="CK104" i="6"/>
  <c r="CK105" i="6" s="1"/>
  <c r="CK108" i="6" s="1"/>
  <c r="CL79" i="6"/>
  <c r="CK80" i="6"/>
  <c r="CK95" i="6" s="1"/>
  <c r="CQ93" i="5"/>
  <c r="CP94" i="5"/>
  <c r="CP17" i="3"/>
  <c r="CP16" i="3"/>
  <c r="CQ4" i="3"/>
  <c r="CL70" i="5"/>
  <c r="CQ30" i="5"/>
  <c r="CK71" i="5"/>
  <c r="CK72" i="5" s="1"/>
  <c r="CK73" i="5" s="1"/>
  <c r="CK74" i="5" s="1"/>
  <c r="CK75" i="5" s="1"/>
  <c r="CK76" i="5" s="1"/>
  <c r="CK77" i="5" s="1"/>
  <c r="CQ105" i="5"/>
  <c r="CP107" i="5"/>
  <c r="CP109" i="5" s="1"/>
  <c r="CN69" i="5"/>
  <c r="CM106" i="6"/>
  <c r="CM107" i="6" s="1"/>
  <c r="CM82" i="6"/>
  <c r="CO16" i="5"/>
  <c r="CO41" i="5" s="1"/>
  <c r="CP15" i="5"/>
  <c r="CR84" i="6"/>
  <c r="CQ85" i="6"/>
  <c r="CN73" i="6"/>
  <c r="CN75" i="6" s="1"/>
  <c r="CO71" i="6"/>
  <c r="CL61" i="6"/>
  <c r="CL62" i="6" s="1"/>
  <c r="CL63" i="6" s="1"/>
  <c r="CN33" i="6"/>
  <c r="CN34" i="6" s="1"/>
  <c r="CN35" i="6" s="1"/>
  <c r="CO32" i="6"/>
  <c r="CP66" i="5"/>
  <c r="CO68" i="5"/>
  <c r="CO67" i="5"/>
  <c r="CK2" i="3"/>
  <c r="CL5" i="3"/>
  <c r="CI1" i="4"/>
  <c r="CN103" i="6"/>
  <c r="CO78" i="6"/>
  <c r="CN118" i="5"/>
  <c r="CM119" i="5"/>
  <c r="CM120" i="5" s="1"/>
  <c r="CM121" i="5" s="1"/>
  <c r="CK64" i="6"/>
  <c r="CN110" i="5"/>
  <c r="CN111" i="5" s="1"/>
  <c r="CN85" i="5"/>
  <c r="CN86" i="5" s="1"/>
  <c r="CN26" i="5"/>
  <c r="CN18" i="5"/>
  <c r="CN23" i="5" s="1"/>
  <c r="CN24" i="5" s="1"/>
  <c r="CM88" i="5"/>
  <c r="CM89" i="5" s="1"/>
  <c r="CL113" i="5"/>
  <c r="CL114" i="5" s="1"/>
  <c r="CM48" i="6"/>
  <c r="CM54" i="6" s="1"/>
  <c r="CM55" i="6" s="1"/>
  <c r="CN47" i="6"/>
  <c r="CN26" i="3"/>
  <c r="CN30" i="3"/>
  <c r="CN107" i="1"/>
  <c r="CB22" i="4"/>
  <c r="CB25" i="4" s="1"/>
  <c r="CB26" i="4" s="1"/>
  <c r="CB12" i="4"/>
  <c r="CC10" i="4"/>
  <c r="CO98" i="6"/>
  <c r="CO100" i="6" s="1"/>
  <c r="CP96" i="6"/>
  <c r="CU11" i="7"/>
  <c r="CO31" i="1" s="1"/>
  <c r="CM6" i="4"/>
  <c r="CO19" i="3"/>
  <c r="CO21" i="3" s="1"/>
  <c r="CN80" i="5"/>
  <c r="CM82" i="5"/>
  <c r="CM84" i="5" s="1"/>
  <c r="CM96" i="5"/>
  <c r="CM97" i="5" s="1"/>
  <c r="CN95" i="5"/>
  <c r="CM101" i="5"/>
  <c r="CM102" i="5" s="1"/>
  <c r="CM103" i="5" s="1"/>
  <c r="CO110" i="6"/>
  <c r="CO111" i="6" s="1"/>
  <c r="CO112" i="6" s="1"/>
  <c r="CP109" i="6"/>
  <c r="CO86" i="6"/>
  <c r="CN92" i="6"/>
  <c r="CN93" i="6" s="1"/>
  <c r="CN94" i="6" s="1"/>
  <c r="CN143" i="6" s="1"/>
  <c r="CN87" i="6"/>
  <c r="CN88" i="6" s="1"/>
  <c r="CO43" i="6"/>
  <c r="CO44" i="6" s="1"/>
  <c r="CO45" i="6" s="1"/>
  <c r="CP42" i="6"/>
  <c r="CN134" i="6" l="1"/>
  <c r="CN126" i="6"/>
  <c r="CQ136" i="6"/>
  <c r="CP137" i="6"/>
  <c r="CP121" i="6"/>
  <c r="CO122" i="6"/>
  <c r="CO123" i="6" s="1"/>
  <c r="CO124" i="6" s="1"/>
  <c r="CQ132" i="6"/>
  <c r="CQ133" i="6" s="1"/>
  <c r="CR131" i="6"/>
  <c r="CS113" i="6"/>
  <c r="CR115" i="6"/>
  <c r="CO120" i="6"/>
  <c r="CO119" i="6"/>
  <c r="CO127" i="6" s="1"/>
  <c r="CO129" i="6" s="1"/>
  <c r="CO130" i="6" s="1"/>
  <c r="CN144" i="6"/>
  <c r="CQ116" i="6"/>
  <c r="CP118" i="6"/>
  <c r="CP8" i="6"/>
  <c r="CO9" i="6"/>
  <c r="CQ29" i="6"/>
  <c r="CR27" i="6"/>
  <c r="CN76" i="6"/>
  <c r="CN77" i="6" s="1"/>
  <c r="CN19" i="6"/>
  <c r="CN22" i="6" s="1"/>
  <c r="CN23" i="6" s="1"/>
  <c r="CN101" i="6"/>
  <c r="CP30" i="6"/>
  <c r="CP38" i="6" s="1"/>
  <c r="CP40" i="6" s="1"/>
  <c r="CP41" i="6" s="1"/>
  <c r="CP31" i="6"/>
  <c r="CP37" i="6" s="1"/>
  <c r="CI154" i="5"/>
  <c r="CJ14" i="1"/>
  <c r="CK13" i="1"/>
  <c r="CQ33" i="5"/>
  <c r="CP34" i="5"/>
  <c r="CP38" i="5" s="1"/>
  <c r="CM64" i="5"/>
  <c r="CO54" i="5"/>
  <c r="CN56" i="5"/>
  <c r="CN59" i="5"/>
  <c r="CB18" i="1"/>
  <c r="CB35" i="1" s="1"/>
  <c r="CB37" i="1" s="1"/>
  <c r="CO57" i="5"/>
  <c r="CN61" i="5"/>
  <c r="CN62" i="5" s="1"/>
  <c r="CN63" i="5" s="1"/>
  <c r="CN58" i="5"/>
  <c r="CN60" i="5" s="1"/>
  <c r="CN46" i="5" s="1"/>
  <c r="CN48" i="5" s="1"/>
  <c r="CN49" i="5" s="1"/>
  <c r="CN53" i="5" s="1"/>
  <c r="CN90" i="5" s="1"/>
  <c r="CU40" i="5"/>
  <c r="CR50" i="5"/>
  <c r="CQ51" i="5"/>
  <c r="CQ52" i="5" s="1"/>
  <c r="CN45" i="5"/>
  <c r="CP35" i="5"/>
  <c r="CO36" i="5"/>
  <c r="CO39" i="5" s="1"/>
  <c r="CM152" i="5"/>
  <c r="CM153" i="5" s="1"/>
  <c r="CD23" i="1"/>
  <c r="CD36" i="1" s="1"/>
  <c r="CA58" i="3"/>
  <c r="BZ32" i="3"/>
  <c r="CN29" i="5"/>
  <c r="CN31" i="5" s="1"/>
  <c r="CN32" i="5" s="1"/>
  <c r="CO146" i="5"/>
  <c r="CN147" i="5"/>
  <c r="CN149" i="5" s="1"/>
  <c r="CN135" i="5" s="1"/>
  <c r="CN137" i="5" s="1"/>
  <c r="CN138" i="5" s="1"/>
  <c r="CN142" i="5" s="1"/>
  <c r="CN91" i="5" s="1"/>
  <c r="CN150" i="5"/>
  <c r="CN151" i="5" s="1"/>
  <c r="CO130" i="5"/>
  <c r="CA50" i="3"/>
  <c r="CA29" i="3" s="1"/>
  <c r="CQ122" i="5"/>
  <c r="CP123" i="5"/>
  <c r="CP127" i="5" s="1"/>
  <c r="BX9" i="4"/>
  <c r="BX23" i="4" s="1"/>
  <c r="BX24" i="4" s="1"/>
  <c r="BY70" i="3"/>
  <c r="BY76" i="3" s="1"/>
  <c r="BY72" i="3"/>
  <c r="BY78" i="3" s="1"/>
  <c r="BY73" i="3"/>
  <c r="BY79" i="3" s="1"/>
  <c r="BY69" i="3"/>
  <c r="BY75" i="3" s="1"/>
  <c r="BY71" i="3"/>
  <c r="BY77" i="3" s="1"/>
  <c r="BY27" i="3"/>
  <c r="BZ24" i="3" s="1"/>
  <c r="BZ27" i="3" s="1"/>
  <c r="CA24" i="3" s="1"/>
  <c r="CN131" i="5"/>
  <c r="CN132" i="5" s="1"/>
  <c r="CN148" i="5"/>
  <c r="CN145" i="5"/>
  <c r="CO143" i="5"/>
  <c r="CO140" i="5"/>
  <c r="CO141" i="5" s="1"/>
  <c r="CP139" i="5"/>
  <c r="CP124" i="5"/>
  <c r="CO125" i="5"/>
  <c r="CO128" i="5" s="1"/>
  <c r="CQ129" i="5"/>
  <c r="CE47" i="3"/>
  <c r="CD17" i="1"/>
  <c r="CB58" i="3"/>
  <c r="CB59" i="3"/>
  <c r="CB50" i="3"/>
  <c r="CO69" i="5"/>
  <c r="CJ115" i="5"/>
  <c r="CJ116" i="5" s="1"/>
  <c r="CJ117" i="5" s="1"/>
  <c r="CJ104" i="5"/>
  <c r="CJ154" i="5" s="1"/>
  <c r="BZ70" i="3"/>
  <c r="BZ76" i="3" s="1"/>
  <c r="BZ72" i="3"/>
  <c r="BZ78" i="3" s="1"/>
  <c r="BZ71" i="3"/>
  <c r="BZ77" i="3" s="1"/>
  <c r="BZ69" i="3"/>
  <c r="BZ75" i="3" s="1"/>
  <c r="BZ73" i="3"/>
  <c r="BZ79" i="3" s="1"/>
  <c r="CP22" i="5"/>
  <c r="CQ19" i="5"/>
  <c r="CQ66" i="5"/>
  <c r="CP68" i="5"/>
  <c r="CP67" i="5"/>
  <c r="CP110" i="6"/>
  <c r="CP111" i="6" s="1"/>
  <c r="CP112" i="6" s="1"/>
  <c r="CQ109" i="6"/>
  <c r="CL64" i="6"/>
  <c r="CM70" i="5"/>
  <c r="CQ96" i="6"/>
  <c r="CP98" i="6"/>
  <c r="CP100" i="6" s="1"/>
  <c r="CO103" i="6"/>
  <c r="CP78" i="6"/>
  <c r="CP43" i="6"/>
  <c r="CP44" i="6" s="1"/>
  <c r="CQ42" i="6"/>
  <c r="CK65" i="6"/>
  <c r="CK66" i="6" s="1"/>
  <c r="CK67" i="6" s="1"/>
  <c r="CE22" i="1" s="1"/>
  <c r="CL71" i="5"/>
  <c r="CL72" i="5" s="1"/>
  <c r="CL73" i="5" s="1"/>
  <c r="CL74" i="5" s="1"/>
  <c r="CL75" i="5" s="1"/>
  <c r="CL76" i="5" s="1"/>
  <c r="CL77" i="5" s="1"/>
  <c r="CR93" i="5"/>
  <c r="CQ94" i="5"/>
  <c r="CN82" i="6"/>
  <c r="CN106" i="6"/>
  <c r="CN107" i="6" s="1"/>
  <c r="CL104" i="6"/>
  <c r="CL105" i="6" s="1"/>
  <c r="CL108" i="6" s="1"/>
  <c r="CM79" i="6"/>
  <c r="CL80" i="6"/>
  <c r="CL95" i="6" s="1"/>
  <c r="CO118" i="5"/>
  <c r="CN119" i="5"/>
  <c r="CN120" i="5" s="1"/>
  <c r="CN121" i="5" s="1"/>
  <c r="CN96" i="5"/>
  <c r="CN97" i="5" s="1"/>
  <c r="CN101" i="5"/>
  <c r="CN102" i="5" s="1"/>
  <c r="CN103" i="5" s="1"/>
  <c r="CO95" i="5"/>
  <c r="CO47" i="6"/>
  <c r="CN48" i="6"/>
  <c r="CN54" i="6" s="1"/>
  <c r="CN55" i="6" s="1"/>
  <c r="CP16" i="5"/>
  <c r="CP41" i="5" s="1"/>
  <c r="CQ15" i="5"/>
  <c r="CM113" i="5"/>
  <c r="CM114" i="5" s="1"/>
  <c r="CN88" i="5"/>
  <c r="CN89" i="5" s="1"/>
  <c r="CO81" i="6"/>
  <c r="CS84" i="6"/>
  <c r="CR85" i="6"/>
  <c r="CO33" i="6"/>
  <c r="CO34" i="6" s="1"/>
  <c r="CO35" i="6" s="1"/>
  <c r="CP32" i="6"/>
  <c r="CQ107" i="5"/>
  <c r="CQ109" i="5" s="1"/>
  <c r="CR105" i="5"/>
  <c r="CO92" i="6"/>
  <c r="CO93" i="6" s="1"/>
  <c r="CO94" i="6" s="1"/>
  <c r="CO143" i="6" s="1"/>
  <c r="CP86" i="6"/>
  <c r="CO87" i="6"/>
  <c r="CO88" i="6" s="1"/>
  <c r="CO73" i="6"/>
  <c r="CO75" i="6" s="1"/>
  <c r="CP71" i="6"/>
  <c r="CO110" i="5"/>
  <c r="CO111" i="5" s="1"/>
  <c r="CO85" i="5"/>
  <c r="CO86" i="5" s="1"/>
  <c r="CO26" i="5"/>
  <c r="CO18" i="5"/>
  <c r="CO23" i="5" s="1"/>
  <c r="CO24" i="5" s="1"/>
  <c r="CQ17" i="3"/>
  <c r="CQ16" i="3"/>
  <c r="CR4" i="3"/>
  <c r="CI11" i="4"/>
  <c r="CR99" i="5"/>
  <c r="CO80" i="5"/>
  <c r="CN82" i="5"/>
  <c r="CN84" i="5" s="1"/>
  <c r="CO26" i="3"/>
  <c r="CO30" i="3"/>
  <c r="CO107" i="1"/>
  <c r="CJ1" i="4"/>
  <c r="CM5" i="3"/>
  <c r="CL2" i="3"/>
  <c r="CM61" i="6"/>
  <c r="CC22" i="4"/>
  <c r="CC25" i="4" s="1"/>
  <c r="CC26" i="4" s="1"/>
  <c r="CD10" i="4"/>
  <c r="CC12" i="4"/>
  <c r="CR30" i="5"/>
  <c r="CV11" i="7"/>
  <c r="CP31" i="1" s="1"/>
  <c r="CN6" i="4"/>
  <c r="CP19" i="3"/>
  <c r="CP21" i="3" s="1"/>
  <c r="CO134" i="6" l="1"/>
  <c r="CO126" i="6"/>
  <c r="CP120" i="6"/>
  <c r="CP119" i="6"/>
  <c r="CP127" i="6" s="1"/>
  <c r="CP129" i="6" s="1"/>
  <c r="CP130" i="6" s="1"/>
  <c r="CQ118" i="6"/>
  <c r="CR116" i="6"/>
  <c r="CS115" i="6"/>
  <c r="CT113" i="6"/>
  <c r="CR132" i="6"/>
  <c r="CR133" i="6" s="1"/>
  <c r="CS131" i="6"/>
  <c r="CP122" i="6"/>
  <c r="CP123" i="6" s="1"/>
  <c r="CP124" i="6" s="1"/>
  <c r="CQ121" i="6"/>
  <c r="CQ137" i="6"/>
  <c r="CR136" i="6"/>
  <c r="CP45" i="6"/>
  <c r="CP81" i="6" s="1"/>
  <c r="CQ30" i="6"/>
  <c r="CQ38" i="6" s="1"/>
  <c r="CQ40" i="6" s="1"/>
  <c r="CQ41" i="6" s="1"/>
  <c r="CQ31" i="6"/>
  <c r="CQ37" i="6" s="1"/>
  <c r="CO76" i="6"/>
  <c r="CO77" i="6" s="1"/>
  <c r="CO19" i="6"/>
  <c r="CO22" i="6" s="1"/>
  <c r="CO23" i="6" s="1"/>
  <c r="CO101" i="6"/>
  <c r="CR29" i="6"/>
  <c r="CS27" i="6"/>
  <c r="CP9" i="6"/>
  <c r="CQ8" i="6"/>
  <c r="CL13" i="1"/>
  <c r="CK14" i="1"/>
  <c r="CP54" i="5"/>
  <c r="CO59" i="5"/>
  <c r="CO56" i="5"/>
  <c r="CQ34" i="5"/>
  <c r="CQ38" i="5" s="1"/>
  <c r="CR33" i="5"/>
  <c r="CP57" i="5"/>
  <c r="CO61" i="5"/>
  <c r="CO62" i="5" s="1"/>
  <c r="CO63" i="5" s="1"/>
  <c r="CO58" i="5"/>
  <c r="CO60" i="5" s="1"/>
  <c r="CO46" i="5" s="1"/>
  <c r="CO48" i="5" s="1"/>
  <c r="CO49" i="5" s="1"/>
  <c r="CO53" i="5" s="1"/>
  <c r="CO90" i="5" s="1"/>
  <c r="CV40" i="5"/>
  <c r="CQ35" i="5"/>
  <c r="CP36" i="5"/>
  <c r="CP39" i="5" s="1"/>
  <c r="CO42" i="5"/>
  <c r="CO43" i="5" s="1"/>
  <c r="CO45" i="5" s="1"/>
  <c r="CN64" i="5"/>
  <c r="CS50" i="5"/>
  <c r="CR51" i="5"/>
  <c r="CR52" i="5" s="1"/>
  <c r="CA106" i="1"/>
  <c r="CN152" i="5"/>
  <c r="CO29" i="5"/>
  <c r="CO31" i="5" s="1"/>
  <c r="CO32" i="5" s="1"/>
  <c r="CP146" i="5"/>
  <c r="CO147" i="5"/>
  <c r="CO149" i="5" s="1"/>
  <c r="CO135" i="5" s="1"/>
  <c r="CO137" i="5" s="1"/>
  <c r="CO138" i="5" s="1"/>
  <c r="CO142" i="5" s="1"/>
  <c r="CO91" i="5" s="1"/>
  <c r="CO150" i="5"/>
  <c r="CO151" i="5" s="1"/>
  <c r="CA31" i="3"/>
  <c r="CA32" i="3" s="1"/>
  <c r="CA57" i="3"/>
  <c r="CA25" i="3"/>
  <c r="BY2" i="4" s="1"/>
  <c r="BY9" i="4" s="1"/>
  <c r="BY23" i="4" s="1"/>
  <c r="BY24" i="4" s="1"/>
  <c r="CP130" i="5"/>
  <c r="CN134" i="5"/>
  <c r="CN153" i="5" s="1"/>
  <c r="CR122" i="5"/>
  <c r="CQ123" i="5"/>
  <c r="CQ127" i="5" s="1"/>
  <c r="CQ124" i="5"/>
  <c r="CP125" i="5"/>
  <c r="CP128" i="5" s="1"/>
  <c r="CO131" i="5"/>
  <c r="CO132" i="5" s="1"/>
  <c r="CO134" i="5" s="1"/>
  <c r="CP140" i="5"/>
  <c r="CP141" i="5" s="1"/>
  <c r="CQ139" i="5"/>
  <c r="CO148" i="5"/>
  <c r="CO145" i="5"/>
  <c r="CP143" i="5"/>
  <c r="CR129" i="5"/>
  <c r="CE23" i="1"/>
  <c r="CE36" i="1" s="1"/>
  <c r="CE17" i="1"/>
  <c r="CD46" i="3"/>
  <c r="CD48" i="3" s="1"/>
  <c r="CC18" i="1"/>
  <c r="CC46" i="3"/>
  <c r="CC48" i="3" s="1"/>
  <c r="CQ22" i="5"/>
  <c r="CR19" i="5"/>
  <c r="CB25" i="3"/>
  <c r="BZ2" i="4" s="1"/>
  <c r="CB31" i="3"/>
  <c r="CB29" i="3"/>
  <c r="CB106" i="1"/>
  <c r="CB57" i="3"/>
  <c r="CK115" i="5"/>
  <c r="CK116" i="5" s="1"/>
  <c r="CK117" i="5" s="1"/>
  <c r="CK104" i="5"/>
  <c r="CK154" i="5" s="1"/>
  <c r="CS99" i="5"/>
  <c r="CP30" i="3"/>
  <c r="CP107" i="1"/>
  <c r="CP26" i="3"/>
  <c r="CN61" i="6"/>
  <c r="CP110" i="5"/>
  <c r="CP111" i="5" s="1"/>
  <c r="CP85" i="5"/>
  <c r="CP86" i="5" s="1"/>
  <c r="CP26" i="5"/>
  <c r="CP18" i="5"/>
  <c r="CP23" i="5" s="1"/>
  <c r="CP24" i="5" s="1"/>
  <c r="CP69" i="5"/>
  <c r="CN70" i="5"/>
  <c r="CN113" i="5"/>
  <c r="CN114" i="5" s="1"/>
  <c r="CO88" i="5"/>
  <c r="CS93" i="5"/>
  <c r="CR94" i="5"/>
  <c r="CQ98" i="6"/>
  <c r="CQ100" i="6" s="1"/>
  <c r="CR96" i="6"/>
  <c r="CJ11" i="4"/>
  <c r="CS105" i="5"/>
  <c r="CR107" i="5"/>
  <c r="CR109" i="5" s="1"/>
  <c r="CT84" i="6"/>
  <c r="CS85" i="6"/>
  <c r="CO48" i="6"/>
  <c r="CO54" i="6" s="1"/>
  <c r="CO55" i="6" s="1"/>
  <c r="CP47" i="6"/>
  <c r="CL65" i="6"/>
  <c r="CL66" i="6" s="1"/>
  <c r="CL67" i="6" s="1"/>
  <c r="CF22" i="1" s="1"/>
  <c r="CP103" i="6"/>
  <c r="CQ78" i="6"/>
  <c r="CR66" i="5"/>
  <c r="CQ68" i="5"/>
  <c r="CQ67" i="5"/>
  <c r="CS30" i="5"/>
  <c r="CQ32" i="6"/>
  <c r="CP33" i="6"/>
  <c r="CP34" i="6" s="1"/>
  <c r="CP35" i="6" s="1"/>
  <c r="CM71" i="5"/>
  <c r="CM72" i="5" s="1"/>
  <c r="CM73" i="5" s="1"/>
  <c r="CM74" i="5" s="1"/>
  <c r="CM75" i="5" s="1"/>
  <c r="CM76" i="5" s="1"/>
  <c r="CM77" i="5" s="1"/>
  <c r="CR17" i="3"/>
  <c r="CR16" i="3"/>
  <c r="CS4" i="3"/>
  <c r="CO101" i="5"/>
  <c r="CO102" i="5" s="1"/>
  <c r="CO103" i="5" s="1"/>
  <c r="CO96" i="5"/>
  <c r="CO97" i="5" s="1"/>
  <c r="CP95" i="5"/>
  <c r="CR109" i="6"/>
  <c r="CQ110" i="6"/>
  <c r="CQ111" i="6" s="1"/>
  <c r="CQ112" i="6" s="1"/>
  <c r="CR15" i="5"/>
  <c r="CQ16" i="5"/>
  <c r="CQ41" i="5" s="1"/>
  <c r="CM62" i="6"/>
  <c r="CM63" i="6" s="1"/>
  <c r="CM64" i="6" s="1"/>
  <c r="CP80" i="5"/>
  <c r="CO82" i="5"/>
  <c r="CO84" i="5" s="1"/>
  <c r="CO106" i="6"/>
  <c r="CO107" i="6" s="1"/>
  <c r="CO82" i="6"/>
  <c r="CE10" i="4"/>
  <c r="CD12" i="4"/>
  <c r="CD22" i="4"/>
  <c r="CD25" i="4" s="1"/>
  <c r="CD26" i="4" s="1"/>
  <c r="CP92" i="6"/>
  <c r="CP93" i="6" s="1"/>
  <c r="CP94" i="6" s="1"/>
  <c r="CP143" i="6" s="1"/>
  <c r="CP87" i="6"/>
  <c r="CP88" i="6" s="1"/>
  <c r="CQ86" i="6"/>
  <c r="CK1" i="4"/>
  <c r="CN5" i="3"/>
  <c r="CM2" i="3"/>
  <c r="CP118" i="5"/>
  <c r="CO119" i="5"/>
  <c r="CO120" i="5" s="1"/>
  <c r="CO121" i="5" s="1"/>
  <c r="CW11" i="7"/>
  <c r="CQ31" i="1" s="1"/>
  <c r="CO6" i="4"/>
  <c r="CQ19" i="3"/>
  <c r="CQ21" i="3" s="1"/>
  <c r="CP73" i="6"/>
  <c r="CP75" i="6" s="1"/>
  <c r="CQ71" i="6"/>
  <c r="CM104" i="6"/>
  <c r="CM105" i="6" s="1"/>
  <c r="CM108" i="6" s="1"/>
  <c r="CN79" i="6"/>
  <c r="CM80" i="6"/>
  <c r="CM95" i="6" s="1"/>
  <c r="CQ43" i="6"/>
  <c r="CQ44" i="6" s="1"/>
  <c r="CQ45" i="6" s="1"/>
  <c r="CR42" i="6"/>
  <c r="CP126" i="6" l="1"/>
  <c r="CP134" i="6"/>
  <c r="CP144" i="6" s="1"/>
  <c r="CO144" i="6"/>
  <c r="CU113" i="6"/>
  <c r="CT115" i="6"/>
  <c r="CR137" i="6"/>
  <c r="CS136" i="6"/>
  <c r="CR118" i="6"/>
  <c r="CS116" i="6"/>
  <c r="CQ120" i="6"/>
  <c r="CQ119" i="6"/>
  <c r="CQ127" i="6" s="1"/>
  <c r="CQ129" i="6" s="1"/>
  <c r="CQ130" i="6" s="1"/>
  <c r="CQ122" i="6"/>
  <c r="CQ123" i="6" s="1"/>
  <c r="CQ124" i="6" s="1"/>
  <c r="CR121" i="6"/>
  <c r="CS132" i="6"/>
  <c r="CS133" i="6" s="1"/>
  <c r="CT131" i="6"/>
  <c r="CS29" i="6"/>
  <c r="CT27" i="6"/>
  <c r="CR30" i="6"/>
  <c r="CR38" i="6" s="1"/>
  <c r="CR40" i="6" s="1"/>
  <c r="CR41" i="6" s="1"/>
  <c r="CR31" i="6"/>
  <c r="CR37" i="6" s="1"/>
  <c r="CR8" i="6"/>
  <c r="CQ9" i="6"/>
  <c r="CP101" i="6"/>
  <c r="CP76" i="6"/>
  <c r="CP77" i="6" s="1"/>
  <c r="CP19" i="6"/>
  <c r="CP22" i="6" s="1"/>
  <c r="CP23" i="6" s="1"/>
  <c r="CM13" i="1"/>
  <c r="CL14" i="1"/>
  <c r="CS33" i="5"/>
  <c r="CR34" i="5"/>
  <c r="CR38" i="5" s="1"/>
  <c r="CO64" i="5"/>
  <c r="CQ54" i="5"/>
  <c r="CP59" i="5"/>
  <c r="CP56" i="5"/>
  <c r="CR35" i="5"/>
  <c r="CQ36" i="5"/>
  <c r="CQ39" i="5" s="1"/>
  <c r="CW40" i="5"/>
  <c r="CP42" i="5"/>
  <c r="CP43" i="5" s="1"/>
  <c r="CP45" i="5" s="1"/>
  <c r="CT50" i="5"/>
  <c r="CS51" i="5"/>
  <c r="CS52" i="5" s="1"/>
  <c r="CP58" i="5"/>
  <c r="CP60" i="5" s="1"/>
  <c r="CP46" i="5" s="1"/>
  <c r="CP48" i="5" s="1"/>
  <c r="CP49" i="5" s="1"/>
  <c r="CP53" i="5" s="1"/>
  <c r="CP90" i="5" s="1"/>
  <c r="CP61" i="5"/>
  <c r="CP62" i="5" s="1"/>
  <c r="CQ57" i="5"/>
  <c r="CO152" i="5"/>
  <c r="CO153" i="5" s="1"/>
  <c r="CB32" i="3"/>
  <c r="CP29" i="5"/>
  <c r="CP31" i="5" s="1"/>
  <c r="CP32" i="5" s="1"/>
  <c r="CP150" i="5"/>
  <c r="CP151" i="5" s="1"/>
  <c r="CP147" i="5"/>
  <c r="CP149" i="5" s="1"/>
  <c r="CP135" i="5" s="1"/>
  <c r="CP137" i="5" s="1"/>
  <c r="CP138" i="5" s="1"/>
  <c r="CP142" i="5" s="1"/>
  <c r="CP91" i="5" s="1"/>
  <c r="CQ146" i="5"/>
  <c r="CQ130" i="5"/>
  <c r="CA70" i="3"/>
  <c r="CA76" i="3" s="1"/>
  <c r="CA72" i="3"/>
  <c r="CA78" i="3" s="1"/>
  <c r="CA69" i="3"/>
  <c r="CA75" i="3" s="1"/>
  <c r="CA71" i="3"/>
  <c r="CA77" i="3" s="1"/>
  <c r="CA73" i="3"/>
  <c r="CA79" i="3" s="1"/>
  <c r="CP131" i="5"/>
  <c r="CP132" i="5" s="1"/>
  <c r="CP134" i="5" s="1"/>
  <c r="CA27" i="3"/>
  <c r="CB24" i="3" s="1"/>
  <c r="CB27" i="3" s="1"/>
  <c r="CC24" i="3" s="1"/>
  <c r="CS122" i="5"/>
  <c r="CR123" i="5"/>
  <c r="CR127" i="5" s="1"/>
  <c r="BZ9" i="4"/>
  <c r="BZ23" i="4" s="1"/>
  <c r="BZ24" i="4" s="1"/>
  <c r="CR139" i="5"/>
  <c r="CQ140" i="5"/>
  <c r="CQ141" i="5" s="1"/>
  <c r="CS129" i="5"/>
  <c r="CP148" i="5"/>
  <c r="CP145" i="5"/>
  <c r="CQ143" i="5"/>
  <c r="CQ125" i="5"/>
  <c r="CQ128" i="5" s="1"/>
  <c r="CR124" i="5"/>
  <c r="CD18" i="1"/>
  <c r="CD35" i="1" s="1"/>
  <c r="CD37" i="1" s="1"/>
  <c r="CB73" i="3"/>
  <c r="CB79" i="3" s="1"/>
  <c r="CB72" i="3"/>
  <c r="CB78" i="3" s="1"/>
  <c r="CB69" i="3"/>
  <c r="CB75" i="3" s="1"/>
  <c r="CB70" i="3"/>
  <c r="CB76" i="3" s="1"/>
  <c r="CB71" i="3"/>
  <c r="CB77" i="3" s="1"/>
  <c r="CR22" i="5"/>
  <c r="CS19" i="5"/>
  <c r="CC35" i="1"/>
  <c r="CC37" i="1" s="1"/>
  <c r="CL115" i="5"/>
  <c r="CL116" i="5" s="1"/>
  <c r="CL117" i="5" s="1"/>
  <c r="CL104" i="5"/>
  <c r="CL154" i="5" s="1"/>
  <c r="CD59" i="3"/>
  <c r="CD58" i="3"/>
  <c r="CD50" i="3"/>
  <c r="CF17" i="1"/>
  <c r="CC58" i="3"/>
  <c r="CC50" i="3"/>
  <c r="CC59" i="3"/>
  <c r="CQ81" i="6"/>
  <c r="CS66" i="5"/>
  <c r="CR68" i="5"/>
  <c r="CR67" i="5"/>
  <c r="CO113" i="5"/>
  <c r="CO114" i="5" s="1"/>
  <c r="CP88" i="5"/>
  <c r="CQ118" i="5"/>
  <c r="CP119" i="5"/>
  <c r="CP120" i="5" s="1"/>
  <c r="CP121" i="5" s="1"/>
  <c r="CP82" i="5"/>
  <c r="CP84" i="5" s="1"/>
  <c r="CQ80" i="5"/>
  <c r="CF23" i="1"/>
  <c r="CF36" i="1" s="1"/>
  <c r="CF47" i="3"/>
  <c r="CM65" i="6"/>
  <c r="CM66" i="6" s="1"/>
  <c r="CM67" i="6" s="1"/>
  <c r="CG22" i="1" s="1"/>
  <c r="CP101" i="5"/>
  <c r="CP102" i="5" s="1"/>
  <c r="CP103" i="5" s="1"/>
  <c r="CQ95" i="5"/>
  <c r="CP96" i="5"/>
  <c r="CP97" i="5" s="1"/>
  <c r="CL1" i="4"/>
  <c r="CO5" i="3"/>
  <c r="CN2" i="3"/>
  <c r="CQ110" i="5"/>
  <c r="CQ111" i="5" s="1"/>
  <c r="CQ26" i="5"/>
  <c r="CQ85" i="5"/>
  <c r="CQ86" i="5" s="1"/>
  <c r="CQ18" i="5"/>
  <c r="CQ23" i="5" s="1"/>
  <c r="CQ24" i="5" s="1"/>
  <c r="CT30" i="5"/>
  <c r="CT105" i="5"/>
  <c r="CS107" i="5"/>
  <c r="CS109" i="5" s="1"/>
  <c r="CQ30" i="3"/>
  <c r="CQ107" i="1"/>
  <c r="CQ26" i="3"/>
  <c r="CS109" i="6"/>
  <c r="CR110" i="6"/>
  <c r="CR111" i="6" s="1"/>
  <c r="CR112" i="6" s="1"/>
  <c r="CR32" i="6"/>
  <c r="CO61" i="6"/>
  <c r="CO62" i="6"/>
  <c r="CO63" i="6" s="1"/>
  <c r="CN104" i="6"/>
  <c r="CN105" i="6" s="1"/>
  <c r="CN108" i="6" s="1"/>
  <c r="CO79" i="6"/>
  <c r="CN80" i="6"/>
  <c r="CN95" i="6" s="1"/>
  <c r="CF10" i="4"/>
  <c r="CE12" i="4"/>
  <c r="CE22" i="4"/>
  <c r="CE25" i="4" s="1"/>
  <c r="CE26" i="4" s="1"/>
  <c r="CN62" i="6"/>
  <c r="CN63" i="6" s="1"/>
  <c r="CN64" i="6" s="1"/>
  <c r="CU84" i="6"/>
  <c r="CT85" i="6"/>
  <c r="CR98" i="6"/>
  <c r="CR100" i="6" s="1"/>
  <c r="CS96" i="6"/>
  <c r="CO70" i="5"/>
  <c r="CO71" i="5" s="1"/>
  <c r="CO72" i="5" s="1"/>
  <c r="CQ103" i="6"/>
  <c r="CR78" i="6"/>
  <c r="CT99" i="5"/>
  <c r="CS17" i="3"/>
  <c r="CS16" i="3"/>
  <c r="CT4" i="3"/>
  <c r="CR86" i="6"/>
  <c r="CQ92" i="6"/>
  <c r="CQ93" i="6" s="1"/>
  <c r="CQ94" i="6" s="1"/>
  <c r="CQ143" i="6" s="1"/>
  <c r="CQ87" i="6"/>
  <c r="CQ88" i="6" s="1"/>
  <c r="CX11" i="7"/>
  <c r="CR31" i="1" s="1"/>
  <c r="CP6" i="4"/>
  <c r="CR19" i="3"/>
  <c r="CR21" i="3" s="1"/>
  <c r="CQ73" i="6"/>
  <c r="CQ75" i="6" s="1"/>
  <c r="CR71" i="6"/>
  <c r="CS15" i="5"/>
  <c r="CR16" i="5"/>
  <c r="CR41" i="5" s="1"/>
  <c r="CS42" i="6"/>
  <c r="CR43" i="6"/>
  <c r="CR44" i="6" s="1"/>
  <c r="CR45" i="6" s="1"/>
  <c r="CO89" i="5"/>
  <c r="CQ69" i="5"/>
  <c r="CP48" i="6"/>
  <c r="CP54" i="6" s="1"/>
  <c r="CP55" i="6" s="1"/>
  <c r="CQ47" i="6"/>
  <c r="CK11" i="4"/>
  <c r="CT93" i="5"/>
  <c r="CS94" i="5"/>
  <c r="CN71" i="5"/>
  <c r="CN72" i="5" s="1"/>
  <c r="CN73" i="5" s="1"/>
  <c r="CP106" i="6"/>
  <c r="CP107" i="6" s="1"/>
  <c r="CP82" i="6"/>
  <c r="CQ126" i="6" l="1"/>
  <c r="CQ134" i="6"/>
  <c r="CS118" i="6"/>
  <c r="CT116" i="6"/>
  <c r="CR119" i="6"/>
  <c r="CR127" i="6" s="1"/>
  <c r="CR129" i="6" s="1"/>
  <c r="CR130" i="6" s="1"/>
  <c r="CR120" i="6"/>
  <c r="CT132" i="6"/>
  <c r="CT133" i="6" s="1"/>
  <c r="CU131" i="6"/>
  <c r="CS137" i="6"/>
  <c r="CT136" i="6"/>
  <c r="CR122" i="6"/>
  <c r="CR123" i="6" s="1"/>
  <c r="CR124" i="6" s="1"/>
  <c r="CS121" i="6"/>
  <c r="CQ144" i="6"/>
  <c r="CU115" i="6"/>
  <c r="CV113" i="6"/>
  <c r="CQ101" i="6"/>
  <c r="CQ76" i="6"/>
  <c r="CQ77" i="6" s="1"/>
  <c r="CQ19" i="6"/>
  <c r="CQ22" i="6" s="1"/>
  <c r="CQ23" i="6" s="1"/>
  <c r="CQ33" i="6"/>
  <c r="CQ34" i="6" s="1"/>
  <c r="CQ35" i="6" s="1"/>
  <c r="CS8" i="6"/>
  <c r="CR9" i="6"/>
  <c r="CT29" i="6"/>
  <c r="CU27" i="6"/>
  <c r="CS31" i="6"/>
  <c r="CS37" i="6" s="1"/>
  <c r="CS30" i="6"/>
  <c r="CS38" i="6" s="1"/>
  <c r="CS40" i="6" s="1"/>
  <c r="CS41" i="6" s="1"/>
  <c r="CN13" i="1"/>
  <c r="CM14" i="1"/>
  <c r="CR54" i="5"/>
  <c r="CQ59" i="5"/>
  <c r="CQ56" i="5"/>
  <c r="CP63" i="5"/>
  <c r="CP64" i="5" s="1"/>
  <c r="CT33" i="5"/>
  <c r="CS34" i="5"/>
  <c r="CS38" i="5" s="1"/>
  <c r="CX40" i="5"/>
  <c r="CU50" i="5"/>
  <c r="CT51" i="5"/>
  <c r="CT52" i="5" s="1"/>
  <c r="CQ58" i="5"/>
  <c r="CQ60" i="5" s="1"/>
  <c r="CQ46" i="5" s="1"/>
  <c r="CQ48" i="5" s="1"/>
  <c r="CQ49" i="5" s="1"/>
  <c r="CQ53" i="5" s="1"/>
  <c r="CQ90" i="5" s="1"/>
  <c r="CQ61" i="5"/>
  <c r="CQ62" i="5" s="1"/>
  <c r="CQ63" i="5" s="1"/>
  <c r="CR57" i="5"/>
  <c r="CR36" i="5"/>
  <c r="CR39" i="5" s="1"/>
  <c r="CS35" i="5"/>
  <c r="CQ42" i="5"/>
  <c r="CQ43" i="5" s="1"/>
  <c r="CQ45" i="5" s="1"/>
  <c r="CP152" i="5"/>
  <c r="CP153" i="5"/>
  <c r="CQ29" i="5"/>
  <c r="CQ31" i="5" s="1"/>
  <c r="CQ32" i="5" s="1"/>
  <c r="CQ150" i="5"/>
  <c r="CQ151" i="5" s="1"/>
  <c r="CR146" i="5"/>
  <c r="CQ147" i="5"/>
  <c r="CQ149" i="5" s="1"/>
  <c r="CQ135" i="5" s="1"/>
  <c r="CQ137" i="5" s="1"/>
  <c r="CQ138" i="5" s="1"/>
  <c r="CQ142" i="5" s="1"/>
  <c r="CQ91" i="5" s="1"/>
  <c r="CR130" i="5"/>
  <c r="CQ131" i="5"/>
  <c r="CQ132" i="5" s="1"/>
  <c r="CQ134" i="5" s="1"/>
  <c r="CT122" i="5"/>
  <c r="CS123" i="5"/>
  <c r="CS127" i="5" s="1"/>
  <c r="CS139" i="5"/>
  <c r="CR140" i="5"/>
  <c r="CR141" i="5" s="1"/>
  <c r="CS124" i="5"/>
  <c r="CR125" i="5"/>
  <c r="CR128" i="5" s="1"/>
  <c r="CQ148" i="5"/>
  <c r="CQ145" i="5"/>
  <c r="CR143" i="5"/>
  <c r="CT129" i="5"/>
  <c r="CG17" i="1"/>
  <c r="CD25" i="3"/>
  <c r="CB2" i="4" s="1"/>
  <c r="CD106" i="1"/>
  <c r="CD57" i="3"/>
  <c r="CD31" i="3"/>
  <c r="CD29" i="3"/>
  <c r="CT19" i="5"/>
  <c r="CS22" i="5"/>
  <c r="CE18" i="1"/>
  <c r="CE35" i="1" s="1"/>
  <c r="CE37" i="1" s="1"/>
  <c r="CE46" i="3"/>
  <c r="CE48" i="3" s="1"/>
  <c r="CM115" i="5"/>
  <c r="CM116" i="5" s="1"/>
  <c r="CM117" i="5" s="1"/>
  <c r="CM104" i="5"/>
  <c r="CM154" i="5" s="1"/>
  <c r="CC31" i="3"/>
  <c r="CC32" i="3" s="1"/>
  <c r="CC25" i="3"/>
  <c r="CC29" i="3"/>
  <c r="CC57" i="3"/>
  <c r="CC106" i="1"/>
  <c r="CH47" i="3"/>
  <c r="CO64" i="6"/>
  <c r="CO65" i="6" s="1"/>
  <c r="CO66" i="6" s="1"/>
  <c r="CO67" i="6" s="1"/>
  <c r="CI22" i="1" s="1"/>
  <c r="CN65" i="6"/>
  <c r="CN66" i="6" s="1"/>
  <c r="CN67" i="6" s="1"/>
  <c r="CH22" i="1" s="1"/>
  <c r="CO73" i="5"/>
  <c r="CN74" i="5"/>
  <c r="CN75" i="5" s="1"/>
  <c r="CN76" i="5" s="1"/>
  <c r="CN77" i="5" s="1"/>
  <c r="CT15" i="5"/>
  <c r="CS16" i="5"/>
  <c r="CS41" i="5" s="1"/>
  <c r="CS32" i="6"/>
  <c r="CR33" i="6"/>
  <c r="CR34" i="6" s="1"/>
  <c r="CR35" i="6" s="1"/>
  <c r="CS71" i="6"/>
  <c r="CR73" i="6"/>
  <c r="CR75" i="6" s="1"/>
  <c r="CU93" i="5"/>
  <c r="CT94" i="5"/>
  <c r="CR30" i="3"/>
  <c r="CR26" i="3"/>
  <c r="CR107" i="1"/>
  <c r="CU105" i="5"/>
  <c r="CT107" i="5"/>
  <c r="CT109" i="5" s="1"/>
  <c r="CM1" i="4"/>
  <c r="CO2" i="3"/>
  <c r="CP5" i="3"/>
  <c r="CR110" i="5"/>
  <c r="CR111" i="5" s="1"/>
  <c r="CR26" i="5"/>
  <c r="CR85" i="5"/>
  <c r="CR86" i="5" s="1"/>
  <c r="CR18" i="5"/>
  <c r="CR23" i="5" s="1"/>
  <c r="CR24" i="5" s="1"/>
  <c r="CR103" i="6"/>
  <c r="CS78" i="6"/>
  <c r="CP113" i="5"/>
  <c r="CP114" i="5" s="1"/>
  <c r="CQ88" i="5"/>
  <c r="CP89" i="5"/>
  <c r="CO104" i="6"/>
  <c r="CO105" i="6" s="1"/>
  <c r="CO108" i="6" s="1"/>
  <c r="CP79" i="6"/>
  <c r="CO80" i="6"/>
  <c r="CO95" i="6" s="1"/>
  <c r="CR69" i="5"/>
  <c r="CY11" i="7"/>
  <c r="CS31" i="1" s="1"/>
  <c r="CQ6" i="4"/>
  <c r="CS19" i="3"/>
  <c r="CS21" i="3" s="1"/>
  <c r="CP61" i="6"/>
  <c r="CP62" i="6" s="1"/>
  <c r="CP63" i="6" s="1"/>
  <c r="CL11" i="4"/>
  <c r="CP70" i="5"/>
  <c r="CP71" i="5" s="1"/>
  <c r="CP72" i="5" s="1"/>
  <c r="CQ119" i="5"/>
  <c r="CQ120" i="5" s="1"/>
  <c r="CQ121" i="5" s="1"/>
  <c r="CR118" i="5"/>
  <c r="CS98" i="6"/>
  <c r="CS100" i="6" s="1"/>
  <c r="CT96" i="6"/>
  <c r="CQ82" i="5"/>
  <c r="CQ84" i="5" s="1"/>
  <c r="CR80" i="5"/>
  <c r="CQ106" i="6"/>
  <c r="CQ107" i="6" s="1"/>
  <c r="CQ82" i="6"/>
  <c r="CR92" i="6"/>
  <c r="CR93" i="6" s="1"/>
  <c r="CR94" i="6" s="1"/>
  <c r="CR143" i="6" s="1"/>
  <c r="CS86" i="6"/>
  <c r="CR87" i="6"/>
  <c r="CR88" i="6" s="1"/>
  <c r="CT16" i="3"/>
  <c r="CU4" i="3"/>
  <c r="CT17" i="3"/>
  <c r="CS110" i="6"/>
  <c r="CS111" i="6" s="1"/>
  <c r="CS112" i="6" s="1"/>
  <c r="CT109" i="6"/>
  <c r="CS67" i="5"/>
  <c r="CS68" i="5"/>
  <c r="CT66" i="5"/>
  <c r="CQ101" i="5"/>
  <c r="CQ102" i="5" s="1"/>
  <c r="CQ103" i="5" s="1"/>
  <c r="CQ96" i="5"/>
  <c r="CQ97" i="5" s="1"/>
  <c r="CR95" i="5"/>
  <c r="CR81" i="6"/>
  <c r="CQ48" i="6"/>
  <c r="CQ54" i="6" s="1"/>
  <c r="CQ55" i="6" s="1"/>
  <c r="CR47" i="6"/>
  <c r="CT42" i="6"/>
  <c r="CS43" i="6"/>
  <c r="CS44" i="6" s="1"/>
  <c r="CS45" i="6" s="1"/>
  <c r="CU99" i="5"/>
  <c r="CV84" i="6"/>
  <c r="CU85" i="6"/>
  <c r="CF12" i="4"/>
  <c r="CG10" i="4"/>
  <c r="CF22" i="4"/>
  <c r="CF25" i="4" s="1"/>
  <c r="CF26" i="4" s="1"/>
  <c r="CU30" i="5"/>
  <c r="CG23" i="1"/>
  <c r="CG36" i="1" s="1"/>
  <c r="CG47" i="3"/>
  <c r="CR134" i="6" l="1"/>
  <c r="CR126" i="6"/>
  <c r="CV115" i="6"/>
  <c r="CW113" i="6"/>
  <c r="CV131" i="6"/>
  <c r="CU132" i="6"/>
  <c r="CU133" i="6" s="1"/>
  <c r="CT121" i="6"/>
  <c r="CS122" i="6"/>
  <c r="CS123" i="6" s="1"/>
  <c r="CS124" i="6" s="1"/>
  <c r="CR144" i="6"/>
  <c r="CU116" i="6"/>
  <c r="CT118" i="6"/>
  <c r="CT137" i="6"/>
  <c r="CU136" i="6"/>
  <c r="CS119" i="6"/>
  <c r="CS127" i="6" s="1"/>
  <c r="CS129" i="6" s="1"/>
  <c r="CS130" i="6" s="1"/>
  <c r="CS134" i="6" s="1"/>
  <c r="CS120" i="6"/>
  <c r="CS126" i="6" s="1"/>
  <c r="CH23" i="1"/>
  <c r="CT31" i="6"/>
  <c r="CT37" i="6" s="1"/>
  <c r="CT30" i="6"/>
  <c r="CT38" i="6" s="1"/>
  <c r="CT40" i="6" s="1"/>
  <c r="CT41" i="6" s="1"/>
  <c r="CR76" i="6"/>
  <c r="CR77" i="6" s="1"/>
  <c r="CR19" i="6"/>
  <c r="CR22" i="6" s="1"/>
  <c r="CR23" i="6" s="1"/>
  <c r="CR101" i="6"/>
  <c r="CV27" i="6"/>
  <c r="CU29" i="6"/>
  <c r="CS9" i="6"/>
  <c r="CT8" i="6"/>
  <c r="CQ64" i="5"/>
  <c r="CN14" i="1"/>
  <c r="CO13" i="1"/>
  <c r="CU33" i="5"/>
  <c r="CT34" i="5"/>
  <c r="CT38" i="5" s="1"/>
  <c r="CR42" i="5"/>
  <c r="CR43" i="5" s="1"/>
  <c r="CR45" i="5" s="1"/>
  <c r="CR59" i="5"/>
  <c r="CS54" i="5"/>
  <c r="CR56" i="5"/>
  <c r="CR58" i="5"/>
  <c r="CR60" i="5" s="1"/>
  <c r="CR46" i="5" s="1"/>
  <c r="CR48" i="5" s="1"/>
  <c r="CR49" i="5" s="1"/>
  <c r="CR53" i="5" s="1"/>
  <c r="CR90" i="5" s="1"/>
  <c r="CR61" i="5"/>
  <c r="CR62" i="5" s="1"/>
  <c r="CR63" i="5" s="1"/>
  <c r="CS57" i="5"/>
  <c r="CV50" i="5"/>
  <c r="CU51" i="5"/>
  <c r="CU52" i="5" s="1"/>
  <c r="CS36" i="5"/>
  <c r="CS39" i="5" s="1"/>
  <c r="CT35" i="5"/>
  <c r="CY40" i="5"/>
  <c r="CQ152" i="5"/>
  <c r="CR29" i="5"/>
  <c r="CR31" i="5" s="1"/>
  <c r="CR32" i="5" s="1"/>
  <c r="CR150" i="5"/>
  <c r="CR151" i="5" s="1"/>
  <c r="CR147" i="5"/>
  <c r="CR149" i="5" s="1"/>
  <c r="CR135" i="5" s="1"/>
  <c r="CR137" i="5" s="1"/>
  <c r="CR138" i="5" s="1"/>
  <c r="CR142" i="5" s="1"/>
  <c r="CR91" i="5" s="1"/>
  <c r="CS146" i="5"/>
  <c r="CS130" i="5"/>
  <c r="CT123" i="5"/>
  <c r="CT127" i="5" s="1"/>
  <c r="CU122" i="5"/>
  <c r="CR145" i="5"/>
  <c r="CR148" i="5"/>
  <c r="CS143" i="5"/>
  <c r="CS125" i="5"/>
  <c r="CS128" i="5" s="1"/>
  <c r="CT124" i="5"/>
  <c r="CT139" i="5"/>
  <c r="CS140" i="5"/>
  <c r="CS141" i="5" s="1"/>
  <c r="CR131" i="5"/>
  <c r="CR132" i="5" s="1"/>
  <c r="CR134" i="5" s="1"/>
  <c r="CU129" i="5"/>
  <c r="CQ153" i="5"/>
  <c r="CH17" i="1"/>
  <c r="CA2" i="4"/>
  <c r="CA9" i="4" s="1"/>
  <c r="CC27" i="3"/>
  <c r="CD24" i="3" s="1"/>
  <c r="CD27" i="3" s="1"/>
  <c r="CE24" i="3" s="1"/>
  <c r="CF18" i="1"/>
  <c r="CF35" i="1" s="1"/>
  <c r="CF37" i="1" s="1"/>
  <c r="CF46" i="3"/>
  <c r="CF48" i="3" s="1"/>
  <c r="CS69" i="5"/>
  <c r="CE50" i="3"/>
  <c r="CE59" i="3"/>
  <c r="CE58" i="3"/>
  <c r="CT22" i="5"/>
  <c r="CU19" i="5"/>
  <c r="CN104" i="5"/>
  <c r="CN115" i="5"/>
  <c r="CN116" i="5" s="1"/>
  <c r="CN117" i="5" s="1"/>
  <c r="CD32" i="3"/>
  <c r="CD71" i="3"/>
  <c r="CD77" i="3" s="1"/>
  <c r="CD70" i="3"/>
  <c r="CD76" i="3" s="1"/>
  <c r="CD72" i="3"/>
  <c r="CD78" i="3" s="1"/>
  <c r="CD69" i="3"/>
  <c r="CD75" i="3" s="1"/>
  <c r="CD73" i="3"/>
  <c r="CD79" i="3" s="1"/>
  <c r="CC71" i="3"/>
  <c r="CC77" i="3" s="1"/>
  <c r="CC72" i="3"/>
  <c r="CC78" i="3" s="1"/>
  <c r="CC70" i="3"/>
  <c r="CC76" i="3" s="1"/>
  <c r="CC73" i="3"/>
  <c r="CC79" i="3" s="1"/>
  <c r="CC69" i="3"/>
  <c r="CC75" i="3" s="1"/>
  <c r="CR106" i="6"/>
  <c r="CR107" i="6" s="1"/>
  <c r="CR82" i="6"/>
  <c r="CT98" i="6"/>
  <c r="CT100" i="6" s="1"/>
  <c r="CU96" i="6"/>
  <c r="CP73" i="5"/>
  <c r="CT43" i="6"/>
  <c r="CT44" i="6" s="1"/>
  <c r="CT45" i="6" s="1"/>
  <c r="CU42" i="6"/>
  <c r="CR101" i="5"/>
  <c r="CR102" i="5" s="1"/>
  <c r="CR103" i="5" s="1"/>
  <c r="CS95" i="5"/>
  <c r="CR96" i="5"/>
  <c r="CR97" i="5" s="1"/>
  <c r="CS110" i="5"/>
  <c r="CS111" i="5" s="1"/>
  <c r="CS85" i="5"/>
  <c r="CS86" i="5" s="1"/>
  <c r="CS26" i="5"/>
  <c r="CS18" i="5"/>
  <c r="CS23" i="5" s="1"/>
  <c r="CS24" i="5" s="1"/>
  <c r="CT68" i="5"/>
  <c r="CT67" i="5"/>
  <c r="CU66" i="5"/>
  <c r="CQ113" i="5"/>
  <c r="CQ114" i="5" s="1"/>
  <c r="CR88" i="5"/>
  <c r="CT16" i="5"/>
  <c r="CT41" i="5" s="1"/>
  <c r="CU15" i="5"/>
  <c r="CS81" i="6"/>
  <c r="CS92" i="6"/>
  <c r="CS93" i="6" s="1"/>
  <c r="CS94" i="6" s="1"/>
  <c r="CS143" i="6" s="1"/>
  <c r="CT86" i="6"/>
  <c r="CS87" i="6"/>
  <c r="CS88" i="6" s="1"/>
  <c r="CH36" i="1"/>
  <c r="CG12" i="4"/>
  <c r="CH10" i="4"/>
  <c r="CG22" i="4"/>
  <c r="CG25" i="4" s="1"/>
  <c r="CG26" i="4" s="1"/>
  <c r="CQ70" i="5"/>
  <c r="CQ71" i="5" s="1"/>
  <c r="CQ72" i="5" s="1"/>
  <c r="CN1" i="4"/>
  <c r="CQ5" i="3"/>
  <c r="CP2" i="3"/>
  <c r="CT32" i="6"/>
  <c r="CV4" i="3"/>
  <c r="CU16" i="3"/>
  <c r="CU17" i="3"/>
  <c r="CM11" i="4"/>
  <c r="CW84" i="6"/>
  <c r="CV85" i="6"/>
  <c r="CV30" i="5"/>
  <c r="CQ79" i="6"/>
  <c r="CP104" i="6"/>
  <c r="CP105" i="6" s="1"/>
  <c r="CP108" i="6" s="1"/>
  <c r="CP80" i="6"/>
  <c r="CP95" i="6" s="1"/>
  <c r="CT71" i="6"/>
  <c r="CS73" i="6"/>
  <c r="CS75" i="6" s="1"/>
  <c r="CS103" i="6"/>
  <c r="CT78" i="6"/>
  <c r="CR82" i="5"/>
  <c r="CR84" i="5" s="1"/>
  <c r="CS80" i="5"/>
  <c r="CR119" i="5"/>
  <c r="CR120" i="5" s="1"/>
  <c r="CR121" i="5" s="1"/>
  <c r="CS118" i="5"/>
  <c r="CQ61" i="6"/>
  <c r="CQ89" i="5"/>
  <c r="CU107" i="5"/>
  <c r="CU109" i="5" s="1"/>
  <c r="CV105" i="5"/>
  <c r="CT110" i="6"/>
  <c r="CT111" i="6" s="1"/>
  <c r="CT112" i="6" s="1"/>
  <c r="CU109" i="6"/>
  <c r="CR48" i="6"/>
  <c r="CR54" i="6" s="1"/>
  <c r="CR55" i="6" s="1"/>
  <c r="CS47" i="6"/>
  <c r="CP64" i="6"/>
  <c r="CP65" i="6" s="1"/>
  <c r="CP66" i="6" s="1"/>
  <c r="CP67" i="6" s="1"/>
  <c r="CJ22" i="1" s="1"/>
  <c r="CZ11" i="7"/>
  <c r="CT31" i="1" s="1"/>
  <c r="CR6" i="4"/>
  <c r="CT19" i="3"/>
  <c r="CT21" i="3" s="1"/>
  <c r="CV99" i="5"/>
  <c r="CS26" i="3"/>
  <c r="CS30" i="3"/>
  <c r="CS107" i="1"/>
  <c r="CV93" i="5"/>
  <c r="CU94" i="5"/>
  <c r="CO74" i="5"/>
  <c r="CO75" i="5" s="1"/>
  <c r="CO76" i="5" s="1"/>
  <c r="CO77" i="5" s="1"/>
  <c r="CT122" i="6" l="1"/>
  <c r="CT123" i="6" s="1"/>
  <c r="CT124" i="6" s="1"/>
  <c r="CU121" i="6"/>
  <c r="CS144" i="6"/>
  <c r="CV136" i="6"/>
  <c r="CU137" i="6"/>
  <c r="CW131" i="6"/>
  <c r="CV132" i="6"/>
  <c r="CV133" i="6" s="1"/>
  <c r="CT119" i="6"/>
  <c r="CT127" i="6" s="1"/>
  <c r="CT129" i="6" s="1"/>
  <c r="CT130" i="6" s="1"/>
  <c r="CT120" i="6"/>
  <c r="CW115" i="6"/>
  <c r="CX113" i="6"/>
  <c r="CV116" i="6"/>
  <c r="CU118" i="6"/>
  <c r="CU30" i="6"/>
  <c r="CU38" i="6" s="1"/>
  <c r="CU40" i="6" s="1"/>
  <c r="CU41" i="6" s="1"/>
  <c r="CU31" i="6"/>
  <c r="CU37" i="6" s="1"/>
  <c r="CW27" i="6"/>
  <c r="CV29" i="6"/>
  <c r="CS76" i="6"/>
  <c r="CS77" i="6" s="1"/>
  <c r="CS101" i="6"/>
  <c r="CS19" i="6"/>
  <c r="CS22" i="6" s="1"/>
  <c r="CS23" i="6" s="1"/>
  <c r="CS33" i="6"/>
  <c r="CS34" i="6" s="1"/>
  <c r="CS35" i="6" s="1"/>
  <c r="CT9" i="6"/>
  <c r="CT33" i="6" s="1"/>
  <c r="CT34" i="6" s="1"/>
  <c r="CT35" i="6" s="1"/>
  <c r="CU8" i="6"/>
  <c r="CN154" i="5"/>
  <c r="CP13" i="1"/>
  <c r="CO14" i="1"/>
  <c r="CS56" i="5"/>
  <c r="CS59" i="5"/>
  <c r="CT54" i="5"/>
  <c r="CR64" i="5"/>
  <c r="CU34" i="5"/>
  <c r="CU38" i="5" s="1"/>
  <c r="CV33" i="5"/>
  <c r="CU35" i="5"/>
  <c r="CT36" i="5"/>
  <c r="CT39" i="5" s="1"/>
  <c r="CS42" i="5"/>
  <c r="CS43" i="5" s="1"/>
  <c r="CS45" i="5" s="1"/>
  <c r="CV51" i="5"/>
  <c r="CV52" i="5" s="1"/>
  <c r="CW50" i="5"/>
  <c r="CS61" i="5"/>
  <c r="CS62" i="5" s="1"/>
  <c r="CS63" i="5" s="1"/>
  <c r="CT57" i="5"/>
  <c r="CS58" i="5"/>
  <c r="CS60" i="5" s="1"/>
  <c r="CS46" i="5" s="1"/>
  <c r="CS48" i="5" s="1"/>
  <c r="CS49" i="5" s="1"/>
  <c r="CS53" i="5" s="1"/>
  <c r="CS90" i="5" s="1"/>
  <c r="CZ40" i="5"/>
  <c r="CH46" i="3"/>
  <c r="CH48" i="3" s="1"/>
  <c r="CS131" i="5"/>
  <c r="CS132" i="5" s="1"/>
  <c r="CR152" i="5"/>
  <c r="CS29" i="5"/>
  <c r="CS31" i="5" s="1"/>
  <c r="CS32" i="5" s="1"/>
  <c r="CT146" i="5"/>
  <c r="CS150" i="5"/>
  <c r="CS151" i="5" s="1"/>
  <c r="CS147" i="5"/>
  <c r="CS149" i="5" s="1"/>
  <c r="CS135" i="5" s="1"/>
  <c r="CS137" i="5" s="1"/>
  <c r="CS138" i="5" s="1"/>
  <c r="CS142" i="5" s="1"/>
  <c r="CS91" i="5" s="1"/>
  <c r="CT130" i="5"/>
  <c r="CU123" i="5"/>
  <c r="CU127" i="5" s="1"/>
  <c r="CV122" i="5"/>
  <c r="CS134" i="5"/>
  <c r="CR153" i="5"/>
  <c r="CV129" i="5"/>
  <c r="CS145" i="5"/>
  <c r="CS152" i="5" s="1"/>
  <c r="CS148" i="5"/>
  <c r="CT143" i="5"/>
  <c r="CU139" i="5"/>
  <c r="CT140" i="5"/>
  <c r="CT141" i="5" s="1"/>
  <c r="CT125" i="5"/>
  <c r="CT128" i="5" s="1"/>
  <c r="CU124" i="5"/>
  <c r="CI17" i="1"/>
  <c r="CT69" i="5"/>
  <c r="CV19" i="5"/>
  <c r="CU22" i="5"/>
  <c r="CE31" i="3"/>
  <c r="CE32" i="3" s="1"/>
  <c r="CE25" i="3"/>
  <c r="CC2" i="4" s="1"/>
  <c r="CE106" i="1"/>
  <c r="CE57" i="3"/>
  <c r="CE29" i="3"/>
  <c r="CO104" i="5"/>
  <c r="CO115" i="5"/>
  <c r="CO116" i="5" s="1"/>
  <c r="CO117" i="5" s="1"/>
  <c r="CF58" i="3"/>
  <c r="CF59" i="3"/>
  <c r="CF50" i="3"/>
  <c r="CJ23" i="1"/>
  <c r="CG18" i="1"/>
  <c r="CG46" i="3"/>
  <c r="CG48" i="3" s="1"/>
  <c r="CA23" i="4"/>
  <c r="CA24" i="4" s="1"/>
  <c r="CB9" i="4"/>
  <c r="CU43" i="6"/>
  <c r="CU44" i="6" s="1"/>
  <c r="CV42" i="6"/>
  <c r="CV107" i="5"/>
  <c r="CV109" i="5" s="1"/>
  <c r="CW105" i="5"/>
  <c r="CI47" i="3"/>
  <c r="CI23" i="1"/>
  <c r="CI36" i="1" s="1"/>
  <c r="DA11" i="7"/>
  <c r="CU31" i="1" s="1"/>
  <c r="CS6" i="4"/>
  <c r="CU19" i="3"/>
  <c r="CU21" i="3" s="1"/>
  <c r="CR113" i="5"/>
  <c r="CR114" i="5" s="1"/>
  <c r="CS88" i="5"/>
  <c r="CS89" i="5" s="1"/>
  <c r="CQ73" i="5"/>
  <c r="CR89" i="5"/>
  <c r="CQ104" i="6"/>
  <c r="CQ105" i="6" s="1"/>
  <c r="CQ108" i="6" s="1"/>
  <c r="CR79" i="6"/>
  <c r="CQ80" i="6"/>
  <c r="CQ95" i="6" s="1"/>
  <c r="CS106" i="6"/>
  <c r="CS107" i="6" s="1"/>
  <c r="CS82" i="6"/>
  <c r="CP74" i="5"/>
  <c r="CP75" i="5" s="1"/>
  <c r="CP76" i="5" s="1"/>
  <c r="CP77" i="5" s="1"/>
  <c r="CW93" i="5"/>
  <c r="CV94" i="5"/>
  <c r="CR61" i="6"/>
  <c r="CR62" i="6" s="1"/>
  <c r="CR63" i="6" s="1"/>
  <c r="CS82" i="5"/>
  <c r="CS84" i="5" s="1"/>
  <c r="CT80" i="5"/>
  <c r="CN11" i="4"/>
  <c r="CO1" i="4"/>
  <c r="CQ2" i="3"/>
  <c r="CR5" i="3"/>
  <c r="CT92" i="6"/>
  <c r="CT93" i="6" s="1"/>
  <c r="CT94" i="6" s="1"/>
  <c r="CT143" i="6" s="1"/>
  <c r="CT87" i="6"/>
  <c r="CT88" i="6" s="1"/>
  <c r="CU86" i="6"/>
  <c r="CT103" i="6"/>
  <c r="CU78" i="6"/>
  <c r="CT81" i="6"/>
  <c r="CW4" i="3"/>
  <c r="CV17" i="3"/>
  <c r="CV16" i="3"/>
  <c r="CI10" i="4"/>
  <c r="CH12" i="4"/>
  <c r="CH22" i="4"/>
  <c r="CH25" i="4" s="1"/>
  <c r="CH26" i="4" s="1"/>
  <c r="CU16" i="5"/>
  <c r="CU41" i="5" s="1"/>
  <c r="CV15" i="5"/>
  <c r="CU67" i="5"/>
  <c r="CU68" i="5"/>
  <c r="CV66" i="5"/>
  <c r="CS101" i="5"/>
  <c r="CS102" i="5" s="1"/>
  <c r="CS103" i="5" s="1"/>
  <c r="CT95" i="5"/>
  <c r="CS96" i="5"/>
  <c r="CS97" i="5" s="1"/>
  <c r="CS119" i="5"/>
  <c r="CS120" i="5" s="1"/>
  <c r="CS121" i="5" s="1"/>
  <c r="CT118" i="5"/>
  <c r="CT47" i="6"/>
  <c r="CS48" i="6"/>
  <c r="CS54" i="6" s="1"/>
  <c r="CS55" i="6" s="1"/>
  <c r="CU71" i="6"/>
  <c r="CT73" i="6"/>
  <c r="CT75" i="6" s="1"/>
  <c r="CW30" i="5"/>
  <c r="CX84" i="6"/>
  <c r="CW85" i="6"/>
  <c r="CR70" i="5"/>
  <c r="CR71" i="5" s="1"/>
  <c r="CR72" i="5" s="1"/>
  <c r="CT26" i="3"/>
  <c r="CT30" i="3"/>
  <c r="CT107" i="1"/>
  <c r="CW99" i="5"/>
  <c r="CU110" i="6"/>
  <c r="CU111" i="6" s="1"/>
  <c r="CU112" i="6" s="1"/>
  <c r="CV109" i="6"/>
  <c r="CQ62" i="6"/>
  <c r="CQ63" i="6" s="1"/>
  <c r="CQ64" i="6" s="1"/>
  <c r="CQ65" i="6" s="1"/>
  <c r="CQ66" i="6" s="1"/>
  <c r="CQ67" i="6" s="1"/>
  <c r="CK22" i="1" s="1"/>
  <c r="CU32" i="6"/>
  <c r="CT110" i="5"/>
  <c r="CT111" i="5" s="1"/>
  <c r="CT85" i="5"/>
  <c r="CT86" i="5" s="1"/>
  <c r="CT26" i="5"/>
  <c r="CT18" i="5"/>
  <c r="CT23" i="5" s="1"/>
  <c r="CT24" i="5" s="1"/>
  <c r="CU98" i="6"/>
  <c r="CU100" i="6" s="1"/>
  <c r="CV96" i="6"/>
  <c r="CU45" i="6" l="1"/>
  <c r="CT126" i="6"/>
  <c r="CT134" i="6"/>
  <c r="CT144" i="6" s="1"/>
  <c r="CX115" i="6"/>
  <c r="CY113" i="6"/>
  <c r="CW132" i="6"/>
  <c r="CW133" i="6" s="1"/>
  <c r="CX131" i="6"/>
  <c r="CU120" i="6"/>
  <c r="CU119" i="6"/>
  <c r="CU127" i="6" s="1"/>
  <c r="CU129" i="6" s="1"/>
  <c r="CU130" i="6" s="1"/>
  <c r="CW116" i="6"/>
  <c r="CV118" i="6"/>
  <c r="CW136" i="6"/>
  <c r="CV137" i="6"/>
  <c r="CV121" i="6"/>
  <c r="CU122" i="6"/>
  <c r="CU123" i="6" s="1"/>
  <c r="CU124" i="6" s="1"/>
  <c r="CX27" i="6"/>
  <c r="CW29" i="6"/>
  <c r="CV31" i="6"/>
  <c r="CV37" i="6" s="1"/>
  <c r="CV30" i="6"/>
  <c r="CV38" i="6" s="1"/>
  <c r="CV40" i="6" s="1"/>
  <c r="CV41" i="6" s="1"/>
  <c r="CU9" i="6"/>
  <c r="CU33" i="6" s="1"/>
  <c r="CU34" i="6" s="1"/>
  <c r="CU35" i="6" s="1"/>
  <c r="CV8" i="6"/>
  <c r="CT101" i="6"/>
  <c r="CT76" i="6"/>
  <c r="CT77" i="6" s="1"/>
  <c r="CT19" i="6"/>
  <c r="CT22" i="6" s="1"/>
  <c r="CT23" i="6" s="1"/>
  <c r="CS64" i="5"/>
  <c r="CO154" i="5"/>
  <c r="CQ13" i="1"/>
  <c r="CP14" i="1"/>
  <c r="CW33" i="5"/>
  <c r="CV34" i="5"/>
  <c r="CV38" i="5" s="1"/>
  <c r="CT42" i="5"/>
  <c r="CT43" i="5" s="1"/>
  <c r="CT45" i="5" s="1"/>
  <c r="CU54" i="5"/>
  <c r="CT59" i="5"/>
  <c r="CT56" i="5"/>
  <c r="DA40" i="5"/>
  <c r="CU57" i="5"/>
  <c r="CT61" i="5"/>
  <c r="CT62" i="5" s="1"/>
  <c r="CT58" i="5"/>
  <c r="CT60" i="5" s="1"/>
  <c r="CT46" i="5" s="1"/>
  <c r="CT48" i="5" s="1"/>
  <c r="CT49" i="5" s="1"/>
  <c r="CT53" i="5" s="1"/>
  <c r="CT90" i="5" s="1"/>
  <c r="CW51" i="5"/>
  <c r="CW52" i="5" s="1"/>
  <c r="CX50" i="5"/>
  <c r="CU36" i="5"/>
  <c r="CU39" i="5" s="1"/>
  <c r="CV35" i="5"/>
  <c r="CH18" i="1"/>
  <c r="CH35" i="1" s="1"/>
  <c r="CH37" i="1" s="1"/>
  <c r="CT131" i="5"/>
  <c r="CT132" i="5" s="1"/>
  <c r="CT134" i="5" s="1"/>
  <c r="CU69" i="5"/>
  <c r="CT29" i="5"/>
  <c r="CT31" i="5" s="1"/>
  <c r="CT32" i="5" s="1"/>
  <c r="CU146" i="5"/>
  <c r="CT147" i="5"/>
  <c r="CT149" i="5" s="1"/>
  <c r="CT135" i="5" s="1"/>
  <c r="CT137" i="5" s="1"/>
  <c r="CT138" i="5" s="1"/>
  <c r="CT142" i="5" s="1"/>
  <c r="CT91" i="5" s="1"/>
  <c r="CT150" i="5"/>
  <c r="CT151" i="5" s="1"/>
  <c r="CU130" i="5"/>
  <c r="CV123" i="5"/>
  <c r="CV127" i="5" s="1"/>
  <c r="CW122" i="5"/>
  <c r="CV139" i="5"/>
  <c r="CU140" i="5"/>
  <c r="CU141" i="5" s="1"/>
  <c r="CT148" i="5"/>
  <c r="CU143" i="5"/>
  <c r="CT145" i="5"/>
  <c r="CS153" i="5"/>
  <c r="CU125" i="5"/>
  <c r="CU128" i="5" s="1"/>
  <c r="CV124" i="5"/>
  <c r="CW129" i="5"/>
  <c r="CJ47" i="3"/>
  <c r="CE27" i="3"/>
  <c r="CF24" i="3" s="1"/>
  <c r="CK47" i="3"/>
  <c r="CB23" i="4"/>
  <c r="CB24" i="4" s="1"/>
  <c r="CC9" i="4"/>
  <c r="CJ17" i="1"/>
  <c r="CH59" i="3"/>
  <c r="CH58" i="3"/>
  <c r="CH50" i="3"/>
  <c r="CP104" i="5"/>
  <c r="CP115" i="5"/>
  <c r="CP116" i="5" s="1"/>
  <c r="CP117" i="5" s="1"/>
  <c r="CG35" i="1"/>
  <c r="CG37" i="1" s="1"/>
  <c r="CF29" i="3"/>
  <c r="CF106" i="1"/>
  <c r="CF57" i="3"/>
  <c r="CF25" i="3"/>
  <c r="CF31" i="3"/>
  <c r="CF32" i="3" s="1"/>
  <c r="CE73" i="3"/>
  <c r="CE79" i="3" s="1"/>
  <c r="CE70" i="3"/>
  <c r="CE76" i="3" s="1"/>
  <c r="CE69" i="3"/>
  <c r="CE75" i="3" s="1"/>
  <c r="CE71" i="3"/>
  <c r="CE77" i="3" s="1"/>
  <c r="CE72" i="3"/>
  <c r="CE78" i="3" s="1"/>
  <c r="CG58" i="3"/>
  <c r="CG59" i="3"/>
  <c r="CG50" i="3"/>
  <c r="CV22" i="5"/>
  <c r="CW19" i="5"/>
  <c r="CX93" i="5"/>
  <c r="CW94" i="5"/>
  <c r="CV98" i="6"/>
  <c r="CV100" i="6" s="1"/>
  <c r="CW96" i="6"/>
  <c r="CR64" i="6"/>
  <c r="CV32" i="6"/>
  <c r="CY84" i="6"/>
  <c r="CX85" i="6"/>
  <c r="CU47" i="6"/>
  <c r="CT48" i="6"/>
  <c r="CT54" i="6" s="1"/>
  <c r="CT55" i="6" s="1"/>
  <c r="CV16" i="5"/>
  <c r="CV41" i="5" s="1"/>
  <c r="CW15" i="5"/>
  <c r="CV68" i="5"/>
  <c r="CV67" i="5"/>
  <c r="CW66" i="5"/>
  <c r="CP1" i="4"/>
  <c r="CS5" i="3"/>
  <c r="CR2" i="3"/>
  <c r="CS61" i="6"/>
  <c r="CR104" i="6"/>
  <c r="CR105" i="6" s="1"/>
  <c r="CR108" i="6" s="1"/>
  <c r="CS79" i="6"/>
  <c r="CR80" i="6"/>
  <c r="CR95" i="6" s="1"/>
  <c r="CS113" i="5"/>
  <c r="CS114" i="5" s="1"/>
  <c r="CT88" i="5"/>
  <c r="CV43" i="6"/>
  <c r="CV44" i="6" s="1"/>
  <c r="CW42" i="6"/>
  <c r="CT119" i="5"/>
  <c r="CT120" i="5" s="1"/>
  <c r="CT121" i="5" s="1"/>
  <c r="CU118" i="5"/>
  <c r="CO11" i="4"/>
  <c r="CI22" i="4"/>
  <c r="CI25" i="4" s="1"/>
  <c r="CI26" i="4" s="1"/>
  <c r="CJ10" i="4"/>
  <c r="CI12" i="4"/>
  <c r="CW17" i="3"/>
  <c r="CX4" i="3"/>
  <c r="CW16" i="3"/>
  <c r="CW109" i="6"/>
  <c r="CV110" i="6"/>
  <c r="CV111" i="6" s="1"/>
  <c r="CV112" i="6" s="1"/>
  <c r="CS70" i="5"/>
  <c r="CS71" i="5" s="1"/>
  <c r="CS72" i="5" s="1"/>
  <c r="CU87" i="6"/>
  <c r="CU88" i="6" s="1"/>
  <c r="CU92" i="6"/>
  <c r="CU93" i="6" s="1"/>
  <c r="CU94" i="6" s="1"/>
  <c r="CU143" i="6" s="1"/>
  <c r="CV86" i="6"/>
  <c r="CU81" i="6"/>
  <c r="CX99" i="5"/>
  <c r="CU110" i="5"/>
  <c r="CU111" i="5" s="1"/>
  <c r="CU85" i="5"/>
  <c r="CU86" i="5" s="1"/>
  <c r="CU26" i="5"/>
  <c r="CU18" i="5"/>
  <c r="CU23" i="5" s="1"/>
  <c r="CU24" i="5" s="1"/>
  <c r="DB11" i="7"/>
  <c r="CV31" i="1" s="1"/>
  <c r="CT6" i="4"/>
  <c r="CV19" i="3"/>
  <c r="CV21" i="3" s="1"/>
  <c r="CT106" i="6"/>
  <c r="CT107" i="6" s="1"/>
  <c r="CT82" i="6"/>
  <c r="CR73" i="5"/>
  <c r="CT96" i="5"/>
  <c r="CT97" i="5" s="1"/>
  <c r="CT101" i="5"/>
  <c r="CT102" i="5" s="1"/>
  <c r="CT103" i="5" s="1"/>
  <c r="CU95" i="5"/>
  <c r="CU103" i="6"/>
  <c r="CV78" i="6"/>
  <c r="CT82" i="5"/>
  <c r="CT84" i="5" s="1"/>
  <c r="CU80" i="5"/>
  <c r="CQ74" i="5"/>
  <c r="CQ75" i="5" s="1"/>
  <c r="CQ76" i="5" s="1"/>
  <c r="CQ77" i="5" s="1"/>
  <c r="CU73" i="6"/>
  <c r="CU75" i="6" s="1"/>
  <c r="CV71" i="6"/>
  <c r="CX30" i="5"/>
  <c r="CJ36" i="1"/>
  <c r="CU26" i="3"/>
  <c r="CU30" i="3"/>
  <c r="CU107" i="1"/>
  <c r="CW107" i="5"/>
  <c r="CW109" i="5" s="1"/>
  <c r="CX105" i="5"/>
  <c r="CU134" i="6" l="1"/>
  <c r="CU126" i="6"/>
  <c r="CX116" i="6"/>
  <c r="CW118" i="6"/>
  <c r="CX132" i="6"/>
  <c r="CX133" i="6" s="1"/>
  <c r="CY131" i="6"/>
  <c r="CW121" i="6"/>
  <c r="CV122" i="6"/>
  <c r="CV123" i="6" s="1"/>
  <c r="CV124" i="6" s="1"/>
  <c r="CX136" i="6"/>
  <c r="CW137" i="6"/>
  <c r="CZ113" i="6"/>
  <c r="CY115" i="6"/>
  <c r="CV119" i="6"/>
  <c r="CV127" i="6" s="1"/>
  <c r="CV129" i="6" s="1"/>
  <c r="CV130" i="6" s="1"/>
  <c r="CV120" i="6"/>
  <c r="CV45" i="6"/>
  <c r="CV81" i="6" s="1"/>
  <c r="CV9" i="6"/>
  <c r="CW8" i="6"/>
  <c r="CW31" i="6"/>
  <c r="CW37" i="6" s="1"/>
  <c r="CW30" i="6"/>
  <c r="CW38" i="6" s="1"/>
  <c r="CW40" i="6" s="1"/>
  <c r="CW41" i="6" s="1"/>
  <c r="CU101" i="6"/>
  <c r="CU19" i="6"/>
  <c r="CU22" i="6" s="1"/>
  <c r="CU23" i="6" s="1"/>
  <c r="CU76" i="6"/>
  <c r="CU77" i="6" s="1"/>
  <c r="CX29" i="6"/>
  <c r="CY27" i="6"/>
  <c r="CP154" i="5"/>
  <c r="CQ14" i="1"/>
  <c r="CR13" i="1"/>
  <c r="CU56" i="5"/>
  <c r="CV54" i="5"/>
  <c r="CU59" i="5"/>
  <c r="CT63" i="5"/>
  <c r="CW34" i="5"/>
  <c r="CW38" i="5" s="1"/>
  <c r="CX33" i="5"/>
  <c r="CV57" i="5"/>
  <c r="CU61" i="5"/>
  <c r="CU62" i="5" s="1"/>
  <c r="CU63" i="5" s="1"/>
  <c r="CU58" i="5"/>
  <c r="CU60" i="5" s="1"/>
  <c r="CU46" i="5" s="1"/>
  <c r="CU48" i="5" s="1"/>
  <c r="CU49" i="5" s="1"/>
  <c r="CU53" i="5" s="1"/>
  <c r="CU90" i="5" s="1"/>
  <c r="CV36" i="5"/>
  <c r="CV39" i="5" s="1"/>
  <c r="CW35" i="5"/>
  <c r="DB40" i="5"/>
  <c r="CT64" i="5"/>
  <c r="CX51" i="5"/>
  <c r="CX52" i="5" s="1"/>
  <c r="CY50" i="5"/>
  <c r="CU42" i="5"/>
  <c r="CU43" i="5" s="1"/>
  <c r="CU45" i="5" s="1"/>
  <c r="CU29" i="5"/>
  <c r="CU31" i="5" s="1"/>
  <c r="CU32" i="5" s="1"/>
  <c r="CU150" i="5"/>
  <c r="CU151" i="5" s="1"/>
  <c r="CU147" i="5"/>
  <c r="CU149" i="5" s="1"/>
  <c r="CU135" i="5" s="1"/>
  <c r="CU137" i="5" s="1"/>
  <c r="CU138" i="5" s="1"/>
  <c r="CU142" i="5" s="1"/>
  <c r="CU91" i="5" s="1"/>
  <c r="CV146" i="5"/>
  <c r="CT152" i="5"/>
  <c r="CT153" i="5" s="1"/>
  <c r="CV130" i="5"/>
  <c r="CL47" i="3"/>
  <c r="CK23" i="1"/>
  <c r="CK36" i="1" s="1"/>
  <c r="CX122" i="5"/>
  <c r="CW123" i="5"/>
  <c r="CW127" i="5" s="1"/>
  <c r="CU131" i="5"/>
  <c r="CU132" i="5" s="1"/>
  <c r="CU134" i="5" s="1"/>
  <c r="CX129" i="5"/>
  <c r="CV125" i="5"/>
  <c r="CV128" i="5" s="1"/>
  <c r="CW124" i="5"/>
  <c r="CU148" i="5"/>
  <c r="CV143" i="5"/>
  <c r="CU145" i="5"/>
  <c r="CV140" i="5"/>
  <c r="CV141" i="5" s="1"/>
  <c r="CW139" i="5"/>
  <c r="CK17" i="1"/>
  <c r="CQ104" i="5"/>
  <c r="CQ154" i="5" s="1"/>
  <c r="CQ115" i="5"/>
  <c r="CQ116" i="5" s="1"/>
  <c r="CQ117" i="5" s="1"/>
  <c r="CW22" i="5"/>
  <c r="CX19" i="5"/>
  <c r="CF71" i="3"/>
  <c r="CF77" i="3" s="1"/>
  <c r="CF73" i="3"/>
  <c r="CF79" i="3" s="1"/>
  <c r="CF72" i="3"/>
  <c r="CF78" i="3" s="1"/>
  <c r="CF69" i="3"/>
  <c r="CF75" i="3" s="1"/>
  <c r="CF70" i="3"/>
  <c r="CF76" i="3" s="1"/>
  <c r="CH25" i="3"/>
  <c r="CF2" i="4" s="1"/>
  <c r="CH106" i="1"/>
  <c r="CH31" i="3"/>
  <c r="CH57" i="3"/>
  <c r="CH29" i="3"/>
  <c r="CC23" i="4"/>
  <c r="CC24" i="4" s="1"/>
  <c r="CI46" i="3"/>
  <c r="CI48" i="3" s="1"/>
  <c r="CI18" i="1"/>
  <c r="CI35" i="1" s="1"/>
  <c r="CI37" i="1" s="1"/>
  <c r="CD2" i="4"/>
  <c r="CD9" i="4" s="1"/>
  <c r="CF27" i="3"/>
  <c r="CG24" i="3" s="1"/>
  <c r="CG31" i="3"/>
  <c r="CG32" i="3" s="1"/>
  <c r="CG106" i="1"/>
  <c r="CG57" i="3"/>
  <c r="CG25" i="3"/>
  <c r="CE2" i="4" s="1"/>
  <c r="CG29" i="3"/>
  <c r="CX17" i="3"/>
  <c r="CX16" i="3"/>
  <c r="CY4" i="3"/>
  <c r="CV33" i="6"/>
  <c r="CV34" i="6" s="1"/>
  <c r="CV35" i="6" s="1"/>
  <c r="CW32" i="6"/>
  <c r="CW86" i="6"/>
  <c r="CV92" i="6"/>
  <c r="CV93" i="6" s="1"/>
  <c r="CV94" i="6" s="1"/>
  <c r="CV143" i="6" s="1"/>
  <c r="CV87" i="6"/>
  <c r="CV88" i="6" s="1"/>
  <c r="CP11" i="4"/>
  <c r="CS104" i="6"/>
  <c r="CS105" i="6" s="1"/>
  <c r="CS108" i="6" s="1"/>
  <c r="CT79" i="6"/>
  <c r="CS80" i="6"/>
  <c r="CS95" i="6" s="1"/>
  <c r="CV110" i="5"/>
  <c r="CV111" i="5" s="1"/>
  <c r="CV85" i="5"/>
  <c r="CV86" i="5" s="1"/>
  <c r="CV26" i="5"/>
  <c r="CV18" i="5"/>
  <c r="CV23" i="5" s="1"/>
  <c r="CV24" i="5" s="1"/>
  <c r="CW110" i="6"/>
  <c r="CW111" i="6" s="1"/>
  <c r="CW112" i="6" s="1"/>
  <c r="CX109" i="6"/>
  <c r="CV118" i="5"/>
  <c r="CU119" i="5"/>
  <c r="CU120" i="5" s="1"/>
  <c r="CU121" i="5" s="1"/>
  <c r="CT70" i="5"/>
  <c r="CT61" i="6"/>
  <c r="CY93" i="5"/>
  <c r="CX94" i="5"/>
  <c r="CU96" i="5"/>
  <c r="CU97" i="5" s="1"/>
  <c r="CU101" i="5"/>
  <c r="CU102" i="5" s="1"/>
  <c r="CU103" i="5" s="1"/>
  <c r="CV95" i="5"/>
  <c r="CY99" i="5"/>
  <c r="CW43" i="6"/>
  <c r="CW44" i="6" s="1"/>
  <c r="CW45" i="6" s="1"/>
  <c r="CX42" i="6"/>
  <c r="CS62" i="6"/>
  <c r="CS63" i="6" s="1"/>
  <c r="CS64" i="6" s="1"/>
  <c r="CV69" i="5"/>
  <c r="CX96" i="6"/>
  <c r="CW98" i="6"/>
  <c r="CW100" i="6" s="1"/>
  <c r="CV80" i="5"/>
  <c r="CU82" i="5"/>
  <c r="CU84" i="5" s="1"/>
  <c r="CW16" i="5"/>
  <c r="CW41" i="5" s="1"/>
  <c r="CX15" i="5"/>
  <c r="CX66" i="5"/>
  <c r="CW68" i="5"/>
  <c r="CW67" i="5"/>
  <c r="CX107" i="5"/>
  <c r="CX109" i="5" s="1"/>
  <c r="CY105" i="5"/>
  <c r="CY30" i="5"/>
  <c r="CZ84" i="6"/>
  <c r="CY85" i="6"/>
  <c r="CR65" i="6"/>
  <c r="CR66" i="6" s="1"/>
  <c r="CR67" i="6" s="1"/>
  <c r="CL22" i="1" s="1"/>
  <c r="CV107" i="1"/>
  <c r="CV30" i="3"/>
  <c r="CV26" i="3"/>
  <c r="CU106" i="6"/>
  <c r="CU107" i="6" s="1"/>
  <c r="CU82" i="6"/>
  <c r="CV103" i="6"/>
  <c r="CW78" i="6"/>
  <c r="CJ22" i="4"/>
  <c r="CJ25" i="4" s="1"/>
  <c r="CJ26" i="4" s="1"/>
  <c r="CK10" i="4"/>
  <c r="CJ12" i="4"/>
  <c r="CS73" i="5"/>
  <c r="CS74" i="5" s="1"/>
  <c r="CS75" i="5" s="1"/>
  <c r="CS76" i="5" s="1"/>
  <c r="CS77" i="5" s="1"/>
  <c r="CV47" i="6"/>
  <c r="CU48" i="6"/>
  <c r="CU54" i="6" s="1"/>
  <c r="CU55" i="6" s="1"/>
  <c r="CV73" i="6"/>
  <c r="CV75" i="6" s="1"/>
  <c r="CW71" i="6"/>
  <c r="CR74" i="5"/>
  <c r="CR75" i="5" s="1"/>
  <c r="CR76" i="5" s="1"/>
  <c r="CR77" i="5" s="1"/>
  <c r="DC11" i="7"/>
  <c r="CW31" i="1" s="1"/>
  <c r="CU6" i="4"/>
  <c r="CW19" i="3"/>
  <c r="CW21" i="3" s="1"/>
  <c r="CT113" i="5"/>
  <c r="CT114" i="5" s="1"/>
  <c r="CU88" i="5"/>
  <c r="CU89" i="5" s="1"/>
  <c r="CS2" i="3"/>
  <c r="CQ1" i="4"/>
  <c r="CT5" i="3"/>
  <c r="CT89" i="5"/>
  <c r="CV134" i="6" l="1"/>
  <c r="CV126" i="6"/>
  <c r="CU144" i="6"/>
  <c r="CX121" i="6"/>
  <c r="CW122" i="6"/>
  <c r="CW123" i="6" s="1"/>
  <c r="CW124" i="6" s="1"/>
  <c r="CY136" i="6"/>
  <c r="CX137" i="6"/>
  <c r="CY132" i="6"/>
  <c r="CY133" i="6" s="1"/>
  <c r="CZ131" i="6"/>
  <c r="DA113" i="6"/>
  <c r="CZ115" i="6"/>
  <c r="CW120" i="6"/>
  <c r="CW126" i="6" s="1"/>
  <c r="CW119" i="6"/>
  <c r="CW127" i="6" s="1"/>
  <c r="CW129" i="6" s="1"/>
  <c r="CW130" i="6" s="1"/>
  <c r="CW134" i="6" s="1"/>
  <c r="CY116" i="6"/>
  <c r="CX118" i="6"/>
  <c r="CX8" i="6"/>
  <c r="CW9" i="6"/>
  <c r="CX30" i="6"/>
  <c r="CX38" i="6" s="1"/>
  <c r="CX40" i="6" s="1"/>
  <c r="CX41" i="6" s="1"/>
  <c r="CX31" i="6"/>
  <c r="CX37" i="6" s="1"/>
  <c r="CZ27" i="6"/>
  <c r="CY29" i="6"/>
  <c r="CV76" i="6"/>
  <c r="CV77" i="6" s="1"/>
  <c r="CV19" i="6"/>
  <c r="CV22" i="6" s="1"/>
  <c r="CV23" i="6" s="1"/>
  <c r="CV101" i="6"/>
  <c r="CS13" i="1"/>
  <c r="CR14" i="1"/>
  <c r="CX34" i="5"/>
  <c r="CX38" i="5" s="1"/>
  <c r="CY33" i="5"/>
  <c r="CU64" i="5"/>
  <c r="CV56" i="5"/>
  <c r="CV59" i="5"/>
  <c r="CW54" i="5"/>
  <c r="CX35" i="5"/>
  <c r="CW36" i="5"/>
  <c r="CW39" i="5" s="1"/>
  <c r="CZ50" i="5"/>
  <c r="CY51" i="5"/>
  <c r="CY52" i="5" s="1"/>
  <c r="CW57" i="5"/>
  <c r="CV58" i="5"/>
  <c r="CV60" i="5" s="1"/>
  <c r="CV46" i="5" s="1"/>
  <c r="CV48" i="5" s="1"/>
  <c r="CV49" i="5" s="1"/>
  <c r="CV53" i="5" s="1"/>
  <c r="CV90" i="5" s="1"/>
  <c r="CV61" i="5"/>
  <c r="CV62" i="5" s="1"/>
  <c r="CV63" i="5" s="1"/>
  <c r="CW42" i="5"/>
  <c r="CW43" i="5" s="1"/>
  <c r="DC40" i="5"/>
  <c r="CV42" i="5"/>
  <c r="CV43" i="5" s="1"/>
  <c r="CV45" i="5" s="1"/>
  <c r="CU152" i="5"/>
  <c r="CV29" i="5"/>
  <c r="CV31" i="5" s="1"/>
  <c r="CV32" i="5" s="1"/>
  <c r="CV147" i="5"/>
  <c r="CV149" i="5" s="1"/>
  <c r="CV135" i="5" s="1"/>
  <c r="CV137" i="5" s="1"/>
  <c r="CV138" i="5" s="1"/>
  <c r="CV142" i="5" s="1"/>
  <c r="CV91" i="5" s="1"/>
  <c r="CV150" i="5"/>
  <c r="CV151" i="5" s="1"/>
  <c r="CW146" i="5"/>
  <c r="CL23" i="1"/>
  <c r="CL36" i="1" s="1"/>
  <c r="CW130" i="5"/>
  <c r="CY122" i="5"/>
  <c r="CX123" i="5"/>
  <c r="CX127" i="5" s="1"/>
  <c r="CW140" i="5"/>
  <c r="CW141" i="5" s="1"/>
  <c r="CX139" i="5"/>
  <c r="CU153" i="5"/>
  <c r="CV131" i="5"/>
  <c r="CV132" i="5" s="1"/>
  <c r="CV134" i="5" s="1"/>
  <c r="CV148" i="5"/>
  <c r="CV145" i="5"/>
  <c r="CW143" i="5"/>
  <c r="CX124" i="5"/>
  <c r="CW125" i="5"/>
  <c r="CW128" i="5" s="1"/>
  <c r="CY129" i="5"/>
  <c r="CH32" i="3"/>
  <c r="CG27" i="3"/>
  <c r="CH24" i="3" s="1"/>
  <c r="CH27" i="3" s="1"/>
  <c r="CI24" i="3" s="1"/>
  <c r="CE9" i="4"/>
  <c r="CD23" i="4"/>
  <c r="CD24" i="4" s="1"/>
  <c r="CJ46" i="3"/>
  <c r="CJ48" i="3" s="1"/>
  <c r="CJ18" i="1"/>
  <c r="CJ35" i="1" s="1"/>
  <c r="CJ37" i="1" s="1"/>
  <c r="CR104" i="5"/>
  <c r="CR115" i="5"/>
  <c r="CR116" i="5" s="1"/>
  <c r="CR117" i="5" s="1"/>
  <c r="CG72" i="3"/>
  <c r="CG78" i="3" s="1"/>
  <c r="CG73" i="3"/>
  <c r="CG79" i="3" s="1"/>
  <c r="CG71" i="3"/>
  <c r="CG77" i="3" s="1"/>
  <c r="CG70" i="3"/>
  <c r="CG76" i="3" s="1"/>
  <c r="CG69" i="3"/>
  <c r="CG75" i="3" s="1"/>
  <c r="CX22" i="5"/>
  <c r="CY19" i="5"/>
  <c r="CH72" i="3"/>
  <c r="CH78" i="3" s="1"/>
  <c r="CH71" i="3"/>
  <c r="CH77" i="3" s="1"/>
  <c r="CH70" i="3"/>
  <c r="CH76" i="3" s="1"/>
  <c r="CH69" i="3"/>
  <c r="CH75" i="3" s="1"/>
  <c r="CH73" i="3"/>
  <c r="CH79" i="3" s="1"/>
  <c r="CM17" i="1"/>
  <c r="CL17" i="1"/>
  <c r="CI59" i="3"/>
  <c r="CI58" i="3"/>
  <c r="CI50" i="3"/>
  <c r="CT64" i="6"/>
  <c r="CS65" i="6"/>
  <c r="CS66" i="6" s="1"/>
  <c r="CS67" i="6" s="1"/>
  <c r="CM22" i="1" s="1"/>
  <c r="CU61" i="6"/>
  <c r="CU70" i="5"/>
  <c r="CT104" i="6"/>
  <c r="CT105" i="6" s="1"/>
  <c r="CT108" i="6" s="1"/>
  <c r="CU79" i="6"/>
  <c r="CT80" i="6"/>
  <c r="CT95" i="6" s="1"/>
  <c r="CW33" i="6"/>
  <c r="CW34" i="6" s="1"/>
  <c r="CW35" i="6" s="1"/>
  <c r="CX32" i="6"/>
  <c r="CW103" i="6"/>
  <c r="CX78" i="6"/>
  <c r="CW81" i="6"/>
  <c r="CT62" i="6"/>
  <c r="CT63" i="6" s="1"/>
  <c r="DD11" i="7"/>
  <c r="CX31" i="1" s="1"/>
  <c r="CV6" i="4"/>
  <c r="CX19" i="3"/>
  <c r="CX21" i="3" s="1"/>
  <c r="CV106" i="6"/>
  <c r="CV107" i="6" s="1"/>
  <c r="CV82" i="6"/>
  <c r="CX67" i="5"/>
  <c r="CY66" i="5"/>
  <c r="CX68" i="5"/>
  <c r="CW118" i="5"/>
  <c r="CV119" i="5"/>
  <c r="CV120" i="5" s="1"/>
  <c r="CV121" i="5" s="1"/>
  <c r="CX71" i="6"/>
  <c r="CW73" i="6"/>
  <c r="CW75" i="6" s="1"/>
  <c r="CW107" i="1"/>
  <c r="CW30" i="3"/>
  <c r="CW26" i="3"/>
  <c r="CW47" i="6"/>
  <c r="CV48" i="6"/>
  <c r="CV54" i="6" s="1"/>
  <c r="CV55" i="6" s="1"/>
  <c r="DA84" i="6"/>
  <c r="CZ85" i="6"/>
  <c r="CX43" i="6"/>
  <c r="CX44" i="6" s="1"/>
  <c r="CX45" i="6" s="1"/>
  <c r="CY42" i="6"/>
  <c r="CQ11" i="4"/>
  <c r="CR1" i="4"/>
  <c r="CT2" i="3"/>
  <c r="CU5" i="3"/>
  <c r="CW80" i="5"/>
  <c r="CV82" i="5"/>
  <c r="CV84" i="5" s="1"/>
  <c r="CY96" i="6"/>
  <c r="CX98" i="6"/>
  <c r="CX100" i="6" s="1"/>
  <c r="CX110" i="6"/>
  <c r="CX111" i="6" s="1"/>
  <c r="CX112" i="6" s="1"/>
  <c r="CY109" i="6"/>
  <c r="CW92" i="6"/>
  <c r="CW93" i="6" s="1"/>
  <c r="CW94" i="6" s="1"/>
  <c r="CW143" i="6" s="1"/>
  <c r="CW87" i="6"/>
  <c r="CW88" i="6" s="1"/>
  <c r="CX86" i="6"/>
  <c r="CK22" i="4"/>
  <c r="CK25" i="4" s="1"/>
  <c r="CK26" i="4" s="1"/>
  <c r="CL10" i="4"/>
  <c r="CK12" i="4"/>
  <c r="CW110" i="5"/>
  <c r="CW111" i="5" s="1"/>
  <c r="CW85" i="5"/>
  <c r="CW86" i="5" s="1"/>
  <c r="CW26" i="5"/>
  <c r="CW18" i="5"/>
  <c r="CW23" i="5" s="1"/>
  <c r="CW24" i="5" s="1"/>
  <c r="CZ93" i="5"/>
  <c r="CY94" i="5"/>
  <c r="CY107" i="5"/>
  <c r="CY109" i="5" s="1"/>
  <c r="CZ105" i="5"/>
  <c r="CT71" i="5"/>
  <c r="CT72" i="5" s="1"/>
  <c r="CT73" i="5" s="1"/>
  <c r="CZ99" i="5"/>
  <c r="CY17" i="3"/>
  <c r="CY16" i="3"/>
  <c r="CW69" i="5"/>
  <c r="CW95" i="5"/>
  <c r="CV101" i="5"/>
  <c r="CV102" i="5" s="1"/>
  <c r="CV103" i="5" s="1"/>
  <c r="CV96" i="5"/>
  <c r="CV97" i="5" s="1"/>
  <c r="CU113" i="5"/>
  <c r="CU114" i="5" s="1"/>
  <c r="CV88" i="5"/>
  <c r="CZ30" i="5"/>
  <c r="CY15" i="5"/>
  <c r="CX16" i="5"/>
  <c r="CX41" i="5" s="1"/>
  <c r="CW144" i="6" l="1"/>
  <c r="CV144" i="6"/>
  <c r="DB113" i="6"/>
  <c r="DA115" i="6"/>
  <c r="CZ132" i="6"/>
  <c r="CZ133" i="6" s="1"/>
  <c r="DA131" i="6"/>
  <c r="CX120" i="6"/>
  <c r="CX126" i="6" s="1"/>
  <c r="CX119" i="6"/>
  <c r="CX127" i="6" s="1"/>
  <c r="CX129" i="6" s="1"/>
  <c r="CX130" i="6" s="1"/>
  <c r="CY118" i="6"/>
  <c r="CZ116" i="6"/>
  <c r="CY137" i="6"/>
  <c r="CZ136" i="6"/>
  <c r="CX122" i="6"/>
  <c r="CX123" i="6" s="1"/>
  <c r="CX124" i="6" s="1"/>
  <c r="CY121" i="6"/>
  <c r="CZ29" i="6"/>
  <c r="DA27" i="6"/>
  <c r="CY30" i="6"/>
  <c r="CY38" i="6" s="1"/>
  <c r="CY40" i="6" s="1"/>
  <c r="CY41" i="6" s="1"/>
  <c r="CY31" i="6"/>
  <c r="CY37" i="6" s="1"/>
  <c r="CW101" i="6"/>
  <c r="CW76" i="6"/>
  <c r="CW77" i="6" s="1"/>
  <c r="CW19" i="6"/>
  <c r="CW22" i="6" s="1"/>
  <c r="CW23" i="6" s="1"/>
  <c r="CY8" i="6"/>
  <c r="CX9" i="6"/>
  <c r="CR154" i="5"/>
  <c r="CV64" i="5"/>
  <c r="CT13" i="1"/>
  <c r="CS14" i="1"/>
  <c r="CX54" i="5"/>
  <c r="CW59" i="5"/>
  <c r="CW56" i="5"/>
  <c r="CY34" i="5"/>
  <c r="CY38" i="5" s="1"/>
  <c r="CZ33" i="5"/>
  <c r="DA50" i="5"/>
  <c r="CZ51" i="5"/>
  <c r="CZ52" i="5" s="1"/>
  <c r="CY35" i="5"/>
  <c r="CX36" i="5"/>
  <c r="CX39" i="5" s="1"/>
  <c r="CW45" i="5"/>
  <c r="DD40" i="5"/>
  <c r="CX57" i="5"/>
  <c r="CW58" i="5"/>
  <c r="CW60" i="5" s="1"/>
  <c r="CW46" i="5" s="1"/>
  <c r="CW48" i="5" s="1"/>
  <c r="CW49" i="5" s="1"/>
  <c r="CW53" i="5" s="1"/>
  <c r="CW90" i="5" s="1"/>
  <c r="CW61" i="5"/>
  <c r="CW62" i="5" s="1"/>
  <c r="CW63" i="5" s="1"/>
  <c r="CV152" i="5"/>
  <c r="CV153" i="5" s="1"/>
  <c r="CW29" i="5"/>
  <c r="CW31" i="5" s="1"/>
  <c r="CW32" i="5" s="1"/>
  <c r="CX146" i="5"/>
  <c r="CW150" i="5"/>
  <c r="CW151" i="5" s="1"/>
  <c r="CW147" i="5"/>
  <c r="CW149" i="5" s="1"/>
  <c r="CW135" i="5" s="1"/>
  <c r="CW137" i="5" s="1"/>
  <c r="CW138" i="5" s="1"/>
  <c r="CW142" i="5" s="1"/>
  <c r="CW91" i="5" s="1"/>
  <c r="CX130" i="5"/>
  <c r="CY123" i="5"/>
  <c r="CY127" i="5" s="1"/>
  <c r="CZ122" i="5"/>
  <c r="CW131" i="5"/>
  <c r="CW132" i="5" s="1"/>
  <c r="CW134" i="5" s="1"/>
  <c r="CW148" i="5"/>
  <c r="CW145" i="5"/>
  <c r="CX143" i="5"/>
  <c r="CX140" i="5"/>
  <c r="CX141" i="5" s="1"/>
  <c r="CY139" i="5"/>
  <c r="CY124" i="5"/>
  <c r="CX125" i="5"/>
  <c r="CX128" i="5" s="1"/>
  <c r="CZ129" i="5"/>
  <c r="CX69" i="5"/>
  <c r="CN23" i="1"/>
  <c r="CK46" i="3"/>
  <c r="CK48" i="3" s="1"/>
  <c r="CK18" i="1"/>
  <c r="CK35" i="1" s="1"/>
  <c r="CK37" i="1" s="1"/>
  <c r="CI57" i="3"/>
  <c r="CI31" i="3"/>
  <c r="CI32" i="3" s="1"/>
  <c r="CI25" i="3"/>
  <c r="CI106" i="1"/>
  <c r="CI29" i="3"/>
  <c r="CJ50" i="3"/>
  <c r="CJ58" i="3"/>
  <c r="CJ59" i="3"/>
  <c r="CS104" i="5"/>
  <c r="CS154" i="5" s="1"/>
  <c r="CS115" i="5"/>
  <c r="CS116" i="5" s="1"/>
  <c r="CS117" i="5" s="1"/>
  <c r="CY22" i="5"/>
  <c r="CZ19" i="5"/>
  <c r="CE23" i="4"/>
  <c r="CE24" i="4" s="1"/>
  <c r="CF9" i="4"/>
  <c r="CY43" i="6"/>
  <c r="CY44" i="6" s="1"/>
  <c r="CY45" i="6" s="1"/>
  <c r="CZ42" i="6"/>
  <c r="CZ109" i="6"/>
  <c r="CY110" i="6"/>
  <c r="CY111" i="6" s="1"/>
  <c r="CY112" i="6" s="1"/>
  <c r="CM10" i="4"/>
  <c r="CL12" i="4"/>
  <c r="CL22" i="4"/>
  <c r="CL25" i="4" s="1"/>
  <c r="CL26" i="4" s="1"/>
  <c r="CZ15" i="5"/>
  <c r="CY16" i="5"/>
  <c r="CY41" i="5" s="1"/>
  <c r="DA99" i="5"/>
  <c r="CS1" i="4"/>
  <c r="CU2" i="3"/>
  <c r="CV5" i="3"/>
  <c r="CX92" i="6"/>
  <c r="CX93" i="6" s="1"/>
  <c r="CX94" i="6" s="1"/>
  <c r="CX143" i="6" s="1"/>
  <c r="CX87" i="6"/>
  <c r="CX88" i="6" s="1"/>
  <c r="CY86" i="6"/>
  <c r="DE11" i="7"/>
  <c r="CW6" i="4"/>
  <c r="CY19" i="3"/>
  <c r="CY21" i="3" s="1"/>
  <c r="CY98" i="6"/>
  <c r="CY100" i="6" s="1"/>
  <c r="CZ96" i="6"/>
  <c r="CW48" i="6"/>
  <c r="CW54" i="6" s="1"/>
  <c r="CW55" i="6" s="1"/>
  <c r="CX47" i="6"/>
  <c r="CW106" i="6"/>
  <c r="CW107" i="6" s="1"/>
  <c r="CW82" i="6"/>
  <c r="CX80" i="5"/>
  <c r="CW82" i="5"/>
  <c r="CW84" i="5" s="1"/>
  <c r="CV70" i="5"/>
  <c r="CV71" i="5" s="1"/>
  <c r="CV72" i="5" s="1"/>
  <c r="CX81" i="6"/>
  <c r="CZ66" i="5"/>
  <c r="CY67" i="5"/>
  <c r="CY68" i="5"/>
  <c r="DA30" i="5"/>
  <c r="DA93" i="5"/>
  <c r="CZ94" i="5"/>
  <c r="DB84" i="6"/>
  <c r="DA85" i="6"/>
  <c r="CV61" i="6"/>
  <c r="CU62" i="6"/>
  <c r="CU63" i="6" s="1"/>
  <c r="CU64" i="6" s="1"/>
  <c r="CU65" i="6" s="1"/>
  <c r="CU66" i="6" s="1"/>
  <c r="CU67" i="6" s="1"/>
  <c r="CO22" i="1" s="1"/>
  <c r="CX95" i="5"/>
  <c r="CW96" i="5"/>
  <c r="CW97" i="5" s="1"/>
  <c r="CW101" i="5"/>
  <c r="CW102" i="5" s="1"/>
  <c r="CW103" i="5" s="1"/>
  <c r="CY71" i="6"/>
  <c r="CX73" i="6"/>
  <c r="CX75" i="6" s="1"/>
  <c r="CX103" i="6"/>
  <c r="CY78" i="6"/>
  <c r="CU104" i="6"/>
  <c r="CU105" i="6" s="1"/>
  <c r="CU108" i="6" s="1"/>
  <c r="CV79" i="6"/>
  <c r="CU80" i="6"/>
  <c r="CU95" i="6" s="1"/>
  <c r="CY32" i="6"/>
  <c r="CX33" i="6"/>
  <c r="CX34" i="6" s="1"/>
  <c r="CX35" i="6" s="1"/>
  <c r="CU71" i="5"/>
  <c r="CU72" i="5" s="1"/>
  <c r="CU73" i="5" s="1"/>
  <c r="CT74" i="5"/>
  <c r="CT75" i="5" s="1"/>
  <c r="CT76" i="5" s="1"/>
  <c r="CT77" i="5" s="1"/>
  <c r="CX118" i="5"/>
  <c r="CW119" i="5"/>
  <c r="CW120" i="5" s="1"/>
  <c r="CW121" i="5" s="1"/>
  <c r="CT65" i="6"/>
  <c r="CT66" i="6" s="1"/>
  <c r="CT67" i="6" s="1"/>
  <c r="CN22" i="1" s="1"/>
  <c r="CV113" i="5"/>
  <c r="CV114" i="5" s="1"/>
  <c r="CW88" i="5"/>
  <c r="CW89" i="5" s="1"/>
  <c r="CM47" i="3"/>
  <c r="CM23" i="1"/>
  <c r="CM36" i="1" s="1"/>
  <c r="CX110" i="5"/>
  <c r="CX111" i="5" s="1"/>
  <c r="CX26" i="5"/>
  <c r="CX85" i="5"/>
  <c r="CX86" i="5" s="1"/>
  <c r="CX18" i="5"/>
  <c r="CX23" i="5" s="1"/>
  <c r="CX24" i="5" s="1"/>
  <c r="CV89" i="5"/>
  <c r="DA105" i="5"/>
  <c r="CZ107" i="5"/>
  <c r="CZ109" i="5" s="1"/>
  <c r="CR11" i="4"/>
  <c r="CX30" i="3"/>
  <c r="CX107" i="1"/>
  <c r="CX26" i="3"/>
  <c r="CX134" i="6" l="1"/>
  <c r="CX144" i="6" s="1"/>
  <c r="CZ118" i="6"/>
  <c r="DA116" i="6"/>
  <c r="CY120" i="6"/>
  <c r="CY126" i="6" s="1"/>
  <c r="CY119" i="6"/>
  <c r="CY127" i="6" s="1"/>
  <c r="CY129" i="6" s="1"/>
  <c r="CY130" i="6" s="1"/>
  <c r="CY134" i="6" s="1"/>
  <c r="CY122" i="6"/>
  <c r="CY123" i="6" s="1"/>
  <c r="CY124" i="6" s="1"/>
  <c r="CZ121" i="6"/>
  <c r="DA132" i="6"/>
  <c r="DA133" i="6" s="1"/>
  <c r="DB131" i="6"/>
  <c r="CZ137" i="6"/>
  <c r="DA136" i="6"/>
  <c r="DC113" i="6"/>
  <c r="DB115" i="6"/>
  <c r="CY9" i="6"/>
  <c r="CY33" i="6" s="1"/>
  <c r="CY34" i="6" s="1"/>
  <c r="CY35" i="6" s="1"/>
  <c r="CZ8" i="6"/>
  <c r="DB27" i="6"/>
  <c r="DA29" i="6"/>
  <c r="CX19" i="6"/>
  <c r="CX22" i="6" s="1"/>
  <c r="CX23" i="6" s="1"/>
  <c r="CX101" i="6"/>
  <c r="CX76" i="6"/>
  <c r="CX77" i="6" s="1"/>
  <c r="CZ30" i="6"/>
  <c r="CZ38" i="6" s="1"/>
  <c r="CZ40" i="6" s="1"/>
  <c r="CZ41" i="6" s="1"/>
  <c r="CZ31" i="6"/>
  <c r="CZ37" i="6" s="1"/>
  <c r="CU13" i="1"/>
  <c r="CT14" i="1"/>
  <c r="DA33" i="5"/>
  <c r="CZ34" i="5"/>
  <c r="CZ38" i="5" s="1"/>
  <c r="CX59" i="5"/>
  <c r="CX56" i="5"/>
  <c r="CY54" i="5"/>
  <c r="CX58" i="5"/>
  <c r="CX60" i="5" s="1"/>
  <c r="CX46" i="5" s="1"/>
  <c r="CX48" i="5" s="1"/>
  <c r="CX49" i="5" s="1"/>
  <c r="CX53" i="5" s="1"/>
  <c r="CX90" i="5" s="1"/>
  <c r="CY57" i="5"/>
  <c r="CX61" i="5"/>
  <c r="CX62" i="5" s="1"/>
  <c r="CX63" i="5" s="1"/>
  <c r="CX45" i="5"/>
  <c r="CZ35" i="5"/>
  <c r="CY36" i="5"/>
  <c r="CY39" i="5" s="1"/>
  <c r="DE40" i="5"/>
  <c r="DB50" i="5"/>
  <c r="DA51" i="5"/>
  <c r="DA52" i="5" s="1"/>
  <c r="CW64" i="5"/>
  <c r="CX42" i="5"/>
  <c r="CX43" i="5" s="1"/>
  <c r="CW152" i="5"/>
  <c r="CX29" i="5"/>
  <c r="CX31" i="5" s="1"/>
  <c r="CX147" i="5"/>
  <c r="CX149" i="5" s="1"/>
  <c r="CX135" i="5" s="1"/>
  <c r="CX137" i="5" s="1"/>
  <c r="CX138" i="5" s="1"/>
  <c r="CX142" i="5" s="1"/>
  <c r="CX91" i="5" s="1"/>
  <c r="CX150" i="5"/>
  <c r="CX151" i="5" s="1"/>
  <c r="CY146" i="5"/>
  <c r="CY130" i="5"/>
  <c r="CZ123" i="5"/>
  <c r="CZ127" i="5" s="1"/>
  <c r="DA122" i="5"/>
  <c r="CX131" i="5"/>
  <c r="CX132" i="5" s="1"/>
  <c r="CX134" i="5" s="1"/>
  <c r="CW153" i="5"/>
  <c r="CY125" i="5"/>
  <c r="CY128" i="5" s="1"/>
  <c r="CZ124" i="5"/>
  <c r="CX148" i="5"/>
  <c r="CX145" i="5"/>
  <c r="CY143" i="5"/>
  <c r="CY140" i="5"/>
  <c r="CY141" i="5" s="1"/>
  <c r="CZ139" i="5"/>
  <c r="DA129" i="5"/>
  <c r="CN47" i="3"/>
  <c r="CM18" i="1"/>
  <c r="CT115" i="5"/>
  <c r="CT116" i="5" s="1"/>
  <c r="CT117" i="5" s="1"/>
  <c r="CT104" i="5"/>
  <c r="CG2" i="4"/>
  <c r="CG9" i="4" s="1"/>
  <c r="CI27" i="3"/>
  <c r="CJ24" i="3" s="1"/>
  <c r="CF23" i="4"/>
  <c r="CF24" i="4" s="1"/>
  <c r="CK58" i="3"/>
  <c r="CK50" i="3"/>
  <c r="CK59" i="3"/>
  <c r="CL46" i="3"/>
  <c r="CL48" i="3" s="1"/>
  <c r="CL18" i="1"/>
  <c r="CL35" i="1" s="1"/>
  <c r="CL37" i="1" s="1"/>
  <c r="CN17" i="1"/>
  <c r="CI70" i="3"/>
  <c r="CI76" i="3" s="1"/>
  <c r="CI73" i="3"/>
  <c r="CI79" i="3" s="1"/>
  <c r="CI69" i="3"/>
  <c r="CI75" i="3" s="1"/>
  <c r="CI71" i="3"/>
  <c r="CI77" i="3" s="1"/>
  <c r="CI72" i="3"/>
  <c r="CI78" i="3" s="1"/>
  <c r="CY69" i="5"/>
  <c r="CZ22" i="5"/>
  <c r="DA19" i="5"/>
  <c r="CJ31" i="3"/>
  <c r="CJ32" i="3" s="1"/>
  <c r="CJ57" i="3"/>
  <c r="CJ29" i="3"/>
  <c r="CJ106" i="1"/>
  <c r="CJ25" i="3"/>
  <c r="CH2" i="4" s="1"/>
  <c r="CV73" i="5"/>
  <c r="CV74" i="5" s="1"/>
  <c r="CV75" i="5" s="1"/>
  <c r="CV76" i="5" s="1"/>
  <c r="CV77" i="5" s="1"/>
  <c r="CU74" i="5"/>
  <c r="CU75" i="5" s="1"/>
  <c r="CU76" i="5" s="1"/>
  <c r="CU77" i="5" s="1"/>
  <c r="DB93" i="5"/>
  <c r="DA94" i="5"/>
  <c r="CZ98" i="6"/>
  <c r="CZ100" i="6" s="1"/>
  <c r="DA96" i="6"/>
  <c r="CZ110" i="6"/>
  <c r="CZ111" i="6" s="1"/>
  <c r="CZ112" i="6" s="1"/>
  <c r="DA109" i="6"/>
  <c r="CW61" i="6"/>
  <c r="CW62" i="6" s="1"/>
  <c r="CW63" i="6" s="1"/>
  <c r="CX106" i="6"/>
  <c r="CX107" i="6" s="1"/>
  <c r="CX82" i="6"/>
  <c r="CY81" i="6"/>
  <c r="DB99" i="5"/>
  <c r="DB105" i="5"/>
  <c r="DA107" i="5"/>
  <c r="DA109" i="5" s="1"/>
  <c r="CW113" i="5"/>
  <c r="CW114" i="5" s="1"/>
  <c r="CX88" i="5"/>
  <c r="DC84" i="6"/>
  <c r="DB85" i="6"/>
  <c r="CY31" i="1"/>
  <c r="B31" i="1" s="1"/>
  <c r="B32" i="1" s="1"/>
  <c r="B11" i="7" a="1"/>
  <c r="B11" i="7" s="1"/>
  <c r="B12" i="7" s="1"/>
  <c r="CV62" i="6"/>
  <c r="CV63" i="6" s="1"/>
  <c r="CV64" i="6"/>
  <c r="CX101" i="5"/>
  <c r="CX102" i="5" s="1"/>
  <c r="CX103" i="5" s="1"/>
  <c r="CY95" i="5"/>
  <c r="CX96" i="5"/>
  <c r="CX97" i="5" s="1"/>
  <c r="DB30" i="5"/>
  <c r="CW70" i="5"/>
  <c r="CW71" i="5" s="1"/>
  <c r="CW72" i="5" s="1"/>
  <c r="DA15" i="5"/>
  <c r="CZ16" i="5"/>
  <c r="CX82" i="5"/>
  <c r="CX84" i="5" s="1"/>
  <c r="CY80" i="5"/>
  <c r="CX48" i="6"/>
  <c r="CX54" i="6" s="1"/>
  <c r="CX55" i="6" s="1"/>
  <c r="CY47" i="6"/>
  <c r="CZ86" i="6"/>
  <c r="CY87" i="6"/>
  <c r="CY88" i="6" s="1"/>
  <c r="CY92" i="6"/>
  <c r="CY93" i="6" s="1"/>
  <c r="CY94" i="6" s="1"/>
  <c r="CY143" i="6" s="1"/>
  <c r="CZ32" i="6"/>
  <c r="CV104" i="6"/>
  <c r="CV105" i="6" s="1"/>
  <c r="CV108" i="6" s="1"/>
  <c r="CW79" i="6"/>
  <c r="CV80" i="6"/>
  <c r="CV95" i="6" s="1"/>
  <c r="CY118" i="5"/>
  <c r="CX119" i="5"/>
  <c r="CX120" i="5" s="1"/>
  <c r="CX121" i="5" s="1"/>
  <c r="CY103" i="6"/>
  <c r="CZ78" i="6"/>
  <c r="DA42" i="6"/>
  <c r="CZ43" i="6"/>
  <c r="CZ44" i="6" s="1"/>
  <c r="CY30" i="3"/>
  <c r="CY107" i="1"/>
  <c r="B107" i="1" s="1"/>
  <c r="CY26" i="3"/>
  <c r="J22" i="3"/>
  <c r="CY110" i="5"/>
  <c r="CY111" i="5" s="1"/>
  <c r="CY26" i="5"/>
  <c r="CY85" i="5"/>
  <c r="CY86" i="5" s="1"/>
  <c r="CY18" i="5"/>
  <c r="CY23" i="5" s="1"/>
  <c r="CY24" i="5" s="1"/>
  <c r="CS11" i="4"/>
  <c r="CX32" i="5"/>
  <c r="CN36" i="1"/>
  <c r="CY73" i="6"/>
  <c r="CY75" i="6" s="1"/>
  <c r="CZ71" i="6"/>
  <c r="DA66" i="5"/>
  <c r="CZ67" i="5"/>
  <c r="CZ68" i="5"/>
  <c r="CT1" i="4"/>
  <c r="CV2" i="3"/>
  <c r="CW5" i="3"/>
  <c r="CN10" i="4"/>
  <c r="CM12" i="4"/>
  <c r="CM22" i="4"/>
  <c r="CM25" i="4" s="1"/>
  <c r="CM26" i="4" s="1"/>
  <c r="CY144" i="6" l="1"/>
  <c r="DB132" i="6"/>
  <c r="DB133" i="6" s="1"/>
  <c r="DC131" i="6"/>
  <c r="CZ122" i="6"/>
  <c r="CZ123" i="6" s="1"/>
  <c r="CZ124" i="6" s="1"/>
  <c r="DA121" i="6"/>
  <c r="DC115" i="6"/>
  <c r="DD113" i="6"/>
  <c r="DA137" i="6"/>
  <c r="DB136" i="6"/>
  <c r="DA118" i="6"/>
  <c r="DB116" i="6"/>
  <c r="CZ120" i="6"/>
  <c r="CZ119" i="6"/>
  <c r="CZ127" i="6" s="1"/>
  <c r="CZ129" i="6" s="1"/>
  <c r="CZ130" i="6" s="1"/>
  <c r="DB29" i="6"/>
  <c r="DC27" i="6"/>
  <c r="DA31" i="6"/>
  <c r="DA37" i="6" s="1"/>
  <c r="DA30" i="6"/>
  <c r="DA38" i="6" s="1"/>
  <c r="DA40" i="6" s="1"/>
  <c r="DA41" i="6" s="1"/>
  <c r="CZ9" i="6"/>
  <c r="DA8" i="6"/>
  <c r="CZ45" i="6"/>
  <c r="CZ81" i="6" s="1"/>
  <c r="CY101" i="6"/>
  <c r="CY76" i="6"/>
  <c r="CY77" i="6" s="1"/>
  <c r="CY19" i="6"/>
  <c r="CY22" i="6" s="1"/>
  <c r="CY23" i="6" s="1"/>
  <c r="CT154" i="5"/>
  <c r="CV13" i="1"/>
  <c r="CU14" i="1"/>
  <c r="CZ54" i="5"/>
  <c r="CY59" i="5"/>
  <c r="CY56" i="5"/>
  <c r="CX64" i="5"/>
  <c r="DA34" i="5"/>
  <c r="DA38" i="5" s="1"/>
  <c r="DB33" i="5"/>
  <c r="CY131" i="5"/>
  <c r="CY132" i="5" s="1"/>
  <c r="DB51" i="5"/>
  <c r="DB52" i="5" s="1"/>
  <c r="DC50" i="5"/>
  <c r="CZ130" i="5"/>
  <c r="CZ41" i="5"/>
  <c r="CY58" i="5"/>
  <c r="CY60" i="5" s="1"/>
  <c r="CY46" i="5" s="1"/>
  <c r="CY48" i="5" s="1"/>
  <c r="CY49" i="5" s="1"/>
  <c r="CY53" i="5" s="1"/>
  <c r="CY90" i="5" s="1"/>
  <c r="CZ57" i="5"/>
  <c r="CY61" i="5"/>
  <c r="CY62" i="5" s="1"/>
  <c r="CY42" i="5"/>
  <c r="CY43" i="5" s="1"/>
  <c r="CY45" i="5" s="1"/>
  <c r="CZ36" i="5"/>
  <c r="CZ39" i="5" s="1"/>
  <c r="DA35" i="5"/>
  <c r="CX152" i="5"/>
  <c r="CX153" i="5" s="1"/>
  <c r="CY29" i="5"/>
  <c r="CY31" i="5" s="1"/>
  <c r="CY150" i="5"/>
  <c r="CY151" i="5" s="1"/>
  <c r="CZ146" i="5"/>
  <c r="CY147" i="5"/>
  <c r="CY149" i="5" s="1"/>
  <c r="CY135" i="5" s="1"/>
  <c r="CY137" i="5" s="1"/>
  <c r="CY138" i="5" s="1"/>
  <c r="CY142" i="5" s="1"/>
  <c r="CY91" i="5" s="1"/>
  <c r="CY134" i="5"/>
  <c r="CM46" i="3"/>
  <c r="CM48" i="3" s="1"/>
  <c r="CM50" i="3" s="1"/>
  <c r="CM31" i="3" s="1"/>
  <c r="DB122" i="5"/>
  <c r="DA123" i="5"/>
  <c r="DA127" i="5" s="1"/>
  <c r="CY32" i="5"/>
  <c r="DB129" i="5"/>
  <c r="CY148" i="5"/>
  <c r="CZ143" i="5"/>
  <c r="CY145" i="5"/>
  <c r="CZ125" i="5"/>
  <c r="CZ128" i="5" s="1"/>
  <c r="DA124" i="5"/>
  <c r="DA139" i="5"/>
  <c r="CZ140" i="5"/>
  <c r="CZ141" i="5" s="1"/>
  <c r="CN46" i="3"/>
  <c r="CN48" i="3" s="1"/>
  <c r="CO17" i="1"/>
  <c r="CK106" i="1"/>
  <c r="CK25" i="3"/>
  <c r="CI2" i="4" s="1"/>
  <c r="CK31" i="3"/>
  <c r="CK32" i="3" s="1"/>
  <c r="CK29" i="3"/>
  <c r="CK57" i="3"/>
  <c r="CJ69" i="3"/>
  <c r="CJ75" i="3" s="1"/>
  <c r="CJ71" i="3"/>
  <c r="CJ77" i="3" s="1"/>
  <c r="CJ73" i="3"/>
  <c r="CJ79" i="3" s="1"/>
  <c r="CJ72" i="3"/>
  <c r="CJ78" i="3" s="1"/>
  <c r="CJ70" i="3"/>
  <c r="CJ76" i="3" s="1"/>
  <c r="CU104" i="5"/>
  <c r="CU115" i="5"/>
  <c r="CU116" i="5" s="1"/>
  <c r="CU117" i="5" s="1"/>
  <c r="CP17" i="1"/>
  <c r="DA22" i="5"/>
  <c r="DB19" i="5"/>
  <c r="CJ27" i="3"/>
  <c r="CK24" i="3" s="1"/>
  <c r="CL58" i="3"/>
  <c r="CL50" i="3"/>
  <c r="CL59" i="3"/>
  <c r="CM35" i="1"/>
  <c r="CM37" i="1" s="1"/>
  <c r="CG23" i="4"/>
  <c r="CG24" i="4" s="1"/>
  <c r="CH9" i="4"/>
  <c r="CT11" i="4"/>
  <c r="CZ103" i="6"/>
  <c r="DA78" i="6"/>
  <c r="DA32" i="6"/>
  <c r="CZ33" i="6"/>
  <c r="CZ34" i="6" s="1"/>
  <c r="CZ35" i="6" s="1"/>
  <c r="CW64" i="6"/>
  <c r="CW65" i="6"/>
  <c r="CW66" i="6" s="1"/>
  <c r="CW67" i="6" s="1"/>
  <c r="CQ22" i="1" s="1"/>
  <c r="DC105" i="5"/>
  <c r="DB107" i="5"/>
  <c r="DB109" i="5" s="1"/>
  <c r="CN12" i="4"/>
  <c r="CO10" i="4"/>
  <c r="CN22" i="4"/>
  <c r="CN25" i="4" s="1"/>
  <c r="CN26" i="4" s="1"/>
  <c r="CU1" i="4"/>
  <c r="CW2" i="3"/>
  <c r="CX5" i="3"/>
  <c r="CY48" i="6"/>
  <c r="CY54" i="6" s="1"/>
  <c r="CY55" i="6" s="1"/>
  <c r="CZ47" i="6"/>
  <c r="CY106" i="6"/>
  <c r="CY107" i="6" s="1"/>
  <c r="CY82" i="6"/>
  <c r="CW73" i="5"/>
  <c r="CW74" i="5" s="1"/>
  <c r="CW75" i="5" s="1"/>
  <c r="CW76" i="5" s="1"/>
  <c r="CW77" i="5" s="1"/>
  <c r="DA71" i="6"/>
  <c r="CZ73" i="6"/>
  <c r="CZ75" i="6" s="1"/>
  <c r="DC30" i="5"/>
  <c r="DD84" i="6"/>
  <c r="DC85" i="6"/>
  <c r="DC99" i="5"/>
  <c r="DA98" i="6"/>
  <c r="DA100" i="6" s="1"/>
  <c r="DB96" i="6"/>
  <c r="CZ69" i="5"/>
  <c r="CO47" i="3"/>
  <c r="CO23" i="1"/>
  <c r="CO36" i="1" s="1"/>
  <c r="CY119" i="5"/>
  <c r="CY120" i="5" s="1"/>
  <c r="CY121" i="5" s="1"/>
  <c r="CZ118" i="5"/>
  <c r="CY101" i="5"/>
  <c r="CY102" i="5" s="1"/>
  <c r="CY103" i="5" s="1"/>
  <c r="CY96" i="5"/>
  <c r="CY97" i="5" s="1"/>
  <c r="CZ95" i="5"/>
  <c r="CW104" i="6"/>
  <c r="CW105" i="6" s="1"/>
  <c r="CW108" i="6" s="1"/>
  <c r="CX79" i="6"/>
  <c r="CW80" i="6"/>
  <c r="CW95" i="6" s="1"/>
  <c r="DA86" i="6"/>
  <c r="CZ92" i="6"/>
  <c r="CZ93" i="6" s="1"/>
  <c r="CZ94" i="6" s="1"/>
  <c r="CZ143" i="6" s="1"/>
  <c r="CZ87" i="6"/>
  <c r="CZ88" i="6" s="1"/>
  <c r="E68" i="1"/>
  <c r="B81" i="1"/>
  <c r="D81" i="1" s="1"/>
  <c r="CY82" i="5"/>
  <c r="CY84" i="5" s="1"/>
  <c r="CZ80" i="5"/>
  <c r="CV65" i="6"/>
  <c r="CV66" i="6" s="1"/>
  <c r="CV67" i="6" s="1"/>
  <c r="CP22" i="1" s="1"/>
  <c r="DC93" i="5"/>
  <c r="DB94" i="5"/>
  <c r="CZ85" i="5"/>
  <c r="CZ86" i="5" s="1"/>
  <c r="CZ110" i="5"/>
  <c r="CZ111" i="5" s="1"/>
  <c r="CZ26" i="5"/>
  <c r="CZ18" i="5"/>
  <c r="CZ23" i="5" s="1"/>
  <c r="CZ24" i="5" s="1"/>
  <c r="CX61" i="6"/>
  <c r="CX62" i="6" s="1"/>
  <c r="CX63" i="6" s="1"/>
  <c r="DA110" i="6"/>
  <c r="DA111" i="6" s="1"/>
  <c r="DA112" i="6" s="1"/>
  <c r="DB109" i="6"/>
  <c r="CX70" i="5"/>
  <c r="CX71" i="5" s="1"/>
  <c r="CX72" i="5" s="1"/>
  <c r="DA67" i="5"/>
  <c r="DB66" i="5"/>
  <c r="DA68" i="5"/>
  <c r="DA43" i="6"/>
  <c r="DA44" i="6" s="1"/>
  <c r="DA45" i="6" s="1"/>
  <c r="DB42" i="6"/>
  <c r="DB15" i="5"/>
  <c r="DA16" i="5"/>
  <c r="DA41" i="5" s="1"/>
  <c r="CX113" i="5"/>
  <c r="CX114" i="5" s="1"/>
  <c r="CY88" i="5"/>
  <c r="CY89" i="5" s="1"/>
  <c r="CX89" i="5"/>
  <c r="CZ134" i="6" l="1"/>
  <c r="CZ126" i="6"/>
  <c r="DB137" i="6"/>
  <c r="DC136" i="6"/>
  <c r="DA119" i="6"/>
  <c r="DA127" i="6" s="1"/>
  <c r="DA129" i="6" s="1"/>
  <c r="DA130" i="6" s="1"/>
  <c r="DA134" i="6" s="1"/>
  <c r="DA120" i="6"/>
  <c r="DA126" i="6" s="1"/>
  <c r="DD115" i="6"/>
  <c r="DE113" i="6"/>
  <c r="DE115" i="6" s="1"/>
  <c r="DB121" i="6"/>
  <c r="DA122" i="6"/>
  <c r="DA123" i="6" s="1"/>
  <c r="DA124" i="6" s="1"/>
  <c r="DC116" i="6"/>
  <c r="DB118" i="6"/>
  <c r="DC132" i="6"/>
  <c r="DC133" i="6" s="1"/>
  <c r="DD131" i="6"/>
  <c r="DB8" i="6"/>
  <c r="DA9" i="6"/>
  <c r="DD27" i="6"/>
  <c r="DC29" i="6"/>
  <c r="CZ76" i="6"/>
  <c r="CZ77" i="6" s="1"/>
  <c r="CZ19" i="6"/>
  <c r="CZ22" i="6" s="1"/>
  <c r="CZ23" i="6" s="1"/>
  <c r="CZ101" i="6"/>
  <c r="DB31" i="6"/>
  <c r="DB37" i="6" s="1"/>
  <c r="DB30" i="6"/>
  <c r="DB38" i="6" s="1"/>
  <c r="DB40" i="6" s="1"/>
  <c r="DB41" i="6" s="1"/>
  <c r="CU154" i="5"/>
  <c r="CW13" i="1"/>
  <c r="CV14" i="1"/>
  <c r="DB34" i="5"/>
  <c r="DB38" i="5" s="1"/>
  <c r="DC33" i="5"/>
  <c r="CY63" i="5"/>
  <c r="CY64" i="5" s="1"/>
  <c r="DA54" i="5"/>
  <c r="CZ56" i="5"/>
  <c r="CZ59" i="5"/>
  <c r="CY152" i="5"/>
  <c r="DD50" i="5"/>
  <c r="DC51" i="5"/>
  <c r="DC52" i="5" s="1"/>
  <c r="DA36" i="5"/>
  <c r="DA39" i="5" s="1"/>
  <c r="DB35" i="5"/>
  <c r="CZ58" i="5"/>
  <c r="CZ60" i="5" s="1"/>
  <c r="CZ46" i="5" s="1"/>
  <c r="CZ48" i="5" s="1"/>
  <c r="CZ49" i="5" s="1"/>
  <c r="CZ53" i="5" s="1"/>
  <c r="CZ90" i="5" s="1"/>
  <c r="CZ61" i="5"/>
  <c r="CZ62" i="5" s="1"/>
  <c r="DA57" i="5"/>
  <c r="CZ42" i="5"/>
  <c r="CZ43" i="5" s="1"/>
  <c r="CZ45" i="5" s="1"/>
  <c r="CM106" i="1"/>
  <c r="CM58" i="3"/>
  <c r="CM57" i="3"/>
  <c r="CM71" i="3" s="1"/>
  <c r="CM77" i="3" s="1"/>
  <c r="CM29" i="3"/>
  <c r="CZ29" i="5"/>
  <c r="CZ31" i="5" s="1"/>
  <c r="CZ32" i="5" s="1"/>
  <c r="CZ147" i="5"/>
  <c r="CZ149" i="5" s="1"/>
  <c r="CZ135" i="5" s="1"/>
  <c r="CZ137" i="5" s="1"/>
  <c r="CZ138" i="5" s="1"/>
  <c r="CZ142" i="5" s="1"/>
  <c r="CZ91" i="5" s="1"/>
  <c r="DA146" i="5"/>
  <c r="CZ150" i="5"/>
  <c r="CZ151" i="5" s="1"/>
  <c r="CM25" i="3"/>
  <c r="CK2" i="4" s="1"/>
  <c r="CM59" i="3"/>
  <c r="DA130" i="5"/>
  <c r="DB123" i="5"/>
  <c r="DB127" i="5" s="1"/>
  <c r="DC122" i="5"/>
  <c r="CZ131" i="5"/>
  <c r="CZ132" i="5" s="1"/>
  <c r="CZ134" i="5" s="1"/>
  <c r="CQ23" i="1"/>
  <c r="CN18" i="1"/>
  <c r="CN35" i="1" s="1"/>
  <c r="CN37" i="1" s="1"/>
  <c r="DA125" i="5"/>
  <c r="DA128" i="5" s="1"/>
  <c r="DB124" i="5"/>
  <c r="DC129" i="5"/>
  <c r="DB139" i="5"/>
  <c r="DA140" i="5"/>
  <c r="DA141" i="5" s="1"/>
  <c r="CZ148" i="5"/>
  <c r="CZ145" i="5"/>
  <c r="DA143" i="5"/>
  <c r="CY153" i="5"/>
  <c r="DA69" i="5"/>
  <c r="CH23" i="4"/>
  <c r="CH24" i="4" s="1"/>
  <c r="CI9" i="4"/>
  <c r="CL31" i="3"/>
  <c r="CL32" i="3" s="1"/>
  <c r="CM32" i="3" s="1"/>
  <c r="CL106" i="1"/>
  <c r="CL57" i="3"/>
  <c r="CL29" i="3"/>
  <c r="CL25" i="3"/>
  <c r="CJ2" i="4" s="1"/>
  <c r="CK27" i="3"/>
  <c r="CL24" i="3" s="1"/>
  <c r="CK70" i="3"/>
  <c r="CK76" i="3" s="1"/>
  <c r="CK69" i="3"/>
  <c r="CK75" i="3" s="1"/>
  <c r="CK73" i="3"/>
  <c r="CK79" i="3" s="1"/>
  <c r="CK72" i="3"/>
  <c r="CK78" i="3" s="1"/>
  <c r="CK71" i="3"/>
  <c r="CK77" i="3" s="1"/>
  <c r="DC19" i="5"/>
  <c r="DB22" i="5"/>
  <c r="CV115" i="5"/>
  <c r="CV116" i="5" s="1"/>
  <c r="CV117" i="5" s="1"/>
  <c r="CV104" i="5"/>
  <c r="CV154" i="5" s="1"/>
  <c r="CN50" i="3"/>
  <c r="CN59" i="3"/>
  <c r="CN58" i="3"/>
  <c r="DB98" i="6"/>
  <c r="DB100" i="6" s="1"/>
  <c r="DC96" i="6"/>
  <c r="CU11" i="4"/>
  <c r="DA85" i="5"/>
  <c r="DA86" i="5" s="1"/>
  <c r="DA26" i="5"/>
  <c r="DA110" i="5"/>
  <c r="DA111" i="5" s="1"/>
  <c r="DA18" i="5"/>
  <c r="DA23" i="5" s="1"/>
  <c r="DA24" i="5" s="1"/>
  <c r="CX73" i="5"/>
  <c r="DA103" i="6"/>
  <c r="DB78" i="6"/>
  <c r="CY70" i="5"/>
  <c r="CY71" i="5" s="1"/>
  <c r="CY72" i="5" s="1"/>
  <c r="CZ106" i="6"/>
  <c r="CZ107" i="6" s="1"/>
  <c r="CZ82" i="6"/>
  <c r="DD99" i="5"/>
  <c r="DA73" i="6"/>
  <c r="DA75" i="6" s="1"/>
  <c r="DB71" i="6"/>
  <c r="CZ48" i="6"/>
  <c r="CZ54" i="6" s="1"/>
  <c r="CZ55" i="6" s="1"/>
  <c r="DA47" i="6"/>
  <c r="CP23" i="1"/>
  <c r="CP36" i="1" s="1"/>
  <c r="CP47" i="3"/>
  <c r="DB110" i="6"/>
  <c r="DB111" i="6" s="1"/>
  <c r="DB112" i="6" s="1"/>
  <c r="DC109" i="6"/>
  <c r="CY61" i="6"/>
  <c r="CY62" i="6" s="1"/>
  <c r="CY63" i="6" s="1"/>
  <c r="DD93" i="5"/>
  <c r="DC94" i="5"/>
  <c r="CX104" i="6"/>
  <c r="CX105" i="6" s="1"/>
  <c r="CX108" i="6" s="1"/>
  <c r="CY79" i="6"/>
  <c r="CX80" i="6"/>
  <c r="CX95" i="6" s="1"/>
  <c r="DC107" i="5"/>
  <c r="DC109" i="5" s="1"/>
  <c r="DD105" i="5"/>
  <c r="CO12" i="4"/>
  <c r="CO22" i="4"/>
  <c r="CO25" i="4" s="1"/>
  <c r="CO26" i="4" s="1"/>
  <c r="CP10" i="4"/>
  <c r="CV1" i="4"/>
  <c r="CY5" i="3"/>
  <c r="CX2" i="3"/>
  <c r="DB68" i="5"/>
  <c r="DC66" i="5"/>
  <c r="DB67" i="5"/>
  <c r="DD30" i="5"/>
  <c r="DB32" i="6"/>
  <c r="DA33" i="6"/>
  <c r="DA34" i="6" s="1"/>
  <c r="DA35" i="6" s="1"/>
  <c r="DB86" i="6"/>
  <c r="DA87" i="6"/>
  <c r="DA88" i="6" s="1"/>
  <c r="DA92" i="6"/>
  <c r="DA93" i="6" s="1"/>
  <c r="DA94" i="6" s="1"/>
  <c r="DA143" i="6" s="1"/>
  <c r="CZ101" i="5"/>
  <c r="CZ102" i="5" s="1"/>
  <c r="CZ103" i="5" s="1"/>
  <c r="DA95" i="5"/>
  <c r="CZ96" i="5"/>
  <c r="CZ97" i="5" s="1"/>
  <c r="DB16" i="5"/>
  <c r="DB41" i="5" s="1"/>
  <c r="DC15" i="5"/>
  <c r="CY113" i="5"/>
  <c r="CY114" i="5" s="1"/>
  <c r="CZ88" i="5"/>
  <c r="CZ89" i="5" s="1"/>
  <c r="DC42" i="6"/>
  <c r="DB43" i="6"/>
  <c r="DB44" i="6" s="1"/>
  <c r="DD85" i="6"/>
  <c r="DE84" i="6"/>
  <c r="DE85" i="6" s="1"/>
  <c r="DA81" i="6"/>
  <c r="CZ82" i="5"/>
  <c r="CZ84" i="5" s="1"/>
  <c r="DA80" i="5"/>
  <c r="CZ119" i="5"/>
  <c r="CZ120" i="5" s="1"/>
  <c r="CZ121" i="5" s="1"/>
  <c r="DA118" i="5"/>
  <c r="CX64" i="6"/>
  <c r="CX65" i="6" s="1"/>
  <c r="CX66" i="6" s="1"/>
  <c r="CX67" i="6" s="1"/>
  <c r="CR22" i="1" s="1"/>
  <c r="DB45" i="6" l="1"/>
  <c r="DB143" i="6"/>
  <c r="CZ144" i="6"/>
  <c r="DB119" i="6"/>
  <c r="DB127" i="6" s="1"/>
  <c r="DB129" i="6" s="1"/>
  <c r="DB130" i="6" s="1"/>
  <c r="DB134" i="6" s="1"/>
  <c r="DB120" i="6"/>
  <c r="DB126" i="6" s="1"/>
  <c r="DD136" i="6"/>
  <c r="DC137" i="6"/>
  <c r="DC121" i="6"/>
  <c r="DB122" i="6"/>
  <c r="DB123" i="6" s="1"/>
  <c r="DB124" i="6" s="1"/>
  <c r="DE131" i="6"/>
  <c r="DE132" i="6" s="1"/>
  <c r="DE133" i="6" s="1"/>
  <c r="DD132" i="6"/>
  <c r="DD133" i="6" s="1"/>
  <c r="DA144" i="6"/>
  <c r="DD116" i="6"/>
  <c r="DC118" i="6"/>
  <c r="DE27" i="6"/>
  <c r="DE29" i="6" s="1"/>
  <c r="DD29" i="6"/>
  <c r="DC30" i="6"/>
  <c r="DC38" i="6" s="1"/>
  <c r="DC40" i="6" s="1"/>
  <c r="DC41" i="6" s="1"/>
  <c r="DC31" i="6"/>
  <c r="DC37" i="6" s="1"/>
  <c r="DA76" i="6"/>
  <c r="DA77" i="6" s="1"/>
  <c r="DA19" i="6"/>
  <c r="DA22" i="6" s="1"/>
  <c r="DA23" i="6" s="1"/>
  <c r="DA101" i="6"/>
  <c r="DB9" i="6"/>
  <c r="DC8" i="6"/>
  <c r="CX13" i="1"/>
  <c r="CW14" i="1"/>
  <c r="CL27" i="3"/>
  <c r="CM24" i="3" s="1"/>
  <c r="DC34" i="5"/>
  <c r="DC38" i="5" s="1"/>
  <c r="DD33" i="5"/>
  <c r="CM72" i="3"/>
  <c r="CM78" i="3" s="1"/>
  <c r="DA56" i="5"/>
  <c r="DA59" i="5"/>
  <c r="DB54" i="5"/>
  <c r="CZ63" i="5"/>
  <c r="CZ64" i="5" s="1"/>
  <c r="DC35" i="5"/>
  <c r="DB36" i="5"/>
  <c r="DB39" i="5" s="1"/>
  <c r="DA42" i="5"/>
  <c r="DA43" i="5" s="1"/>
  <c r="DA45" i="5" s="1"/>
  <c r="DE50" i="5"/>
  <c r="DE51" i="5" s="1"/>
  <c r="DE52" i="5" s="1"/>
  <c r="DD51" i="5"/>
  <c r="DD52" i="5" s="1"/>
  <c r="DA61" i="5"/>
  <c r="DA62" i="5" s="1"/>
  <c r="DA63" i="5" s="1"/>
  <c r="DA58" i="5"/>
  <c r="DA60" i="5" s="1"/>
  <c r="DA46" i="5" s="1"/>
  <c r="DA48" i="5" s="1"/>
  <c r="DA49" i="5" s="1"/>
  <c r="DA53" i="5" s="1"/>
  <c r="DA90" i="5" s="1"/>
  <c r="DB57" i="5"/>
  <c r="CM69" i="3"/>
  <c r="CM75" i="3" s="1"/>
  <c r="CM73" i="3"/>
  <c r="CM79" i="3" s="1"/>
  <c r="CM70" i="3"/>
  <c r="CM76" i="3" s="1"/>
  <c r="CR47" i="3"/>
  <c r="CM27" i="3"/>
  <c r="CN24" i="3" s="1"/>
  <c r="DA29" i="5"/>
  <c r="DA31" i="5" s="1"/>
  <c r="DA32" i="5" s="1"/>
  <c r="DA147" i="5"/>
  <c r="DA149" i="5" s="1"/>
  <c r="DA135" i="5" s="1"/>
  <c r="DA137" i="5" s="1"/>
  <c r="DA138" i="5" s="1"/>
  <c r="DA142" i="5" s="1"/>
  <c r="DA91" i="5" s="1"/>
  <c r="DA150" i="5"/>
  <c r="DA151" i="5" s="1"/>
  <c r="DB146" i="5"/>
  <c r="CZ152" i="5"/>
  <c r="CZ153" i="5" s="1"/>
  <c r="DB130" i="5"/>
  <c r="DA131" i="5"/>
  <c r="DA132" i="5" s="1"/>
  <c r="DA134" i="5" s="1"/>
  <c r="CQ47" i="3"/>
  <c r="DD122" i="5"/>
  <c r="DC123" i="5"/>
  <c r="DC127" i="5" s="1"/>
  <c r="DC139" i="5"/>
  <c r="DB140" i="5"/>
  <c r="DB141" i="5" s="1"/>
  <c r="DA148" i="5"/>
  <c r="DA145" i="5"/>
  <c r="DB143" i="5"/>
  <c r="DB125" i="5"/>
  <c r="DB128" i="5" s="1"/>
  <c r="DC124" i="5"/>
  <c r="DD129" i="5"/>
  <c r="CQ17" i="1"/>
  <c r="CN29" i="3"/>
  <c r="CN57" i="3"/>
  <c r="CN106" i="1"/>
  <c r="CN25" i="3"/>
  <c r="CL2" i="4" s="1"/>
  <c r="CN31" i="3"/>
  <c r="CN32" i="3" s="1"/>
  <c r="CW104" i="5"/>
  <c r="CW154" i="5" s="1"/>
  <c r="CW115" i="5"/>
  <c r="CW116" i="5" s="1"/>
  <c r="CW117" i="5" s="1"/>
  <c r="DC22" i="5"/>
  <c r="DD19" i="5"/>
  <c r="CO18" i="1"/>
  <c r="CO46" i="3"/>
  <c r="CO48" i="3" s="1"/>
  <c r="CJ9" i="4"/>
  <c r="CJ23" i="4" s="1"/>
  <c r="CJ24" i="4" s="1"/>
  <c r="CI23" i="4"/>
  <c r="CI24" i="4" s="1"/>
  <c r="CL73" i="3"/>
  <c r="CL79" i="3" s="1"/>
  <c r="CL69" i="3"/>
  <c r="CL75" i="3" s="1"/>
  <c r="CL71" i="3"/>
  <c r="CL77" i="3" s="1"/>
  <c r="CL70" i="3"/>
  <c r="CL76" i="3" s="1"/>
  <c r="CL72" i="3"/>
  <c r="CL78" i="3" s="1"/>
  <c r="CQ36" i="1"/>
  <c r="DC110" i="6"/>
  <c r="DC111" i="6" s="1"/>
  <c r="DC112" i="6" s="1"/>
  <c r="DD109" i="6"/>
  <c r="DB103" i="6"/>
  <c r="DC78" i="6"/>
  <c r="DA119" i="5"/>
  <c r="DA120" i="5" s="1"/>
  <c r="DA121" i="5" s="1"/>
  <c r="DB118" i="5"/>
  <c r="DE99" i="5"/>
  <c r="DA101" i="5"/>
  <c r="DA102" i="5" s="1"/>
  <c r="DA103" i="5" s="1"/>
  <c r="DB95" i="5"/>
  <c r="DA96" i="5"/>
  <c r="DA97" i="5" s="1"/>
  <c r="DC67" i="5"/>
  <c r="DC68" i="5"/>
  <c r="DD66" i="5"/>
  <c r="DA48" i="6"/>
  <c r="DA54" i="6" s="1"/>
  <c r="DA55" i="6" s="1"/>
  <c r="DB47" i="6"/>
  <c r="DD96" i="6"/>
  <c r="DC98" i="6"/>
  <c r="DC100" i="6" s="1"/>
  <c r="CY104" i="6"/>
  <c r="CY105" i="6" s="1"/>
  <c r="CY108" i="6" s="1"/>
  <c r="CZ79" i="6"/>
  <c r="CY80" i="6"/>
  <c r="CY95" i="6" s="1"/>
  <c r="DC71" i="6"/>
  <c r="DB73" i="6"/>
  <c r="DB75" i="6" s="1"/>
  <c r="DB80" i="5"/>
  <c r="DA82" i="5"/>
  <c r="DA84" i="5" s="1"/>
  <c r="CP22" i="4"/>
  <c r="CP25" i="4" s="1"/>
  <c r="CP26" i="4" s="1"/>
  <c r="CP12" i="4"/>
  <c r="CQ10" i="4"/>
  <c r="DB81" i="6"/>
  <c r="DD107" i="5"/>
  <c r="DD109" i="5" s="1"/>
  <c r="DE105" i="5"/>
  <c r="DE107" i="5" s="1"/>
  <c r="DE109" i="5" s="1"/>
  <c r="CZ61" i="6"/>
  <c r="CZ62" i="6" s="1"/>
  <c r="CZ63" i="6" s="1"/>
  <c r="CV11" i="4"/>
  <c r="CY64" i="6"/>
  <c r="CY65" i="6"/>
  <c r="CY66" i="6" s="1"/>
  <c r="CY67" i="6" s="1"/>
  <c r="CS22" i="1" s="1"/>
  <c r="DC43" i="6"/>
  <c r="DC44" i="6" s="1"/>
  <c r="DD42" i="6"/>
  <c r="DB69" i="5"/>
  <c r="CZ113" i="5"/>
  <c r="CZ114" i="5" s="1"/>
  <c r="DA88" i="5"/>
  <c r="DA89" i="5" s="1"/>
  <c r="DC16" i="5"/>
  <c r="DD15" i="5"/>
  <c r="DC32" i="6"/>
  <c r="DA106" i="6"/>
  <c r="DA107" i="6" s="1"/>
  <c r="DA82" i="6"/>
  <c r="DB110" i="5"/>
  <c r="DB111" i="5" s="1"/>
  <c r="DB85" i="5"/>
  <c r="DB86" i="5" s="1"/>
  <c r="DB26" i="5"/>
  <c r="DB18" i="5"/>
  <c r="DB23" i="5" s="1"/>
  <c r="DB24" i="5" s="1"/>
  <c r="DE30" i="5"/>
  <c r="CZ70" i="5"/>
  <c r="CZ71" i="5" s="1"/>
  <c r="CZ72" i="5" s="1"/>
  <c r="CY73" i="5"/>
  <c r="CY74" i="5" s="1"/>
  <c r="CY75" i="5" s="1"/>
  <c r="CY76" i="5" s="1"/>
  <c r="CY77" i="5" s="1"/>
  <c r="DB87" i="6"/>
  <c r="DB88" i="6" s="1"/>
  <c r="DB92" i="6"/>
  <c r="DB93" i="6" s="1"/>
  <c r="DB94" i="6" s="1"/>
  <c r="DC86" i="6"/>
  <c r="CW1" i="4"/>
  <c r="CY2" i="3"/>
  <c r="DE93" i="5"/>
  <c r="DE94" i="5" s="1"/>
  <c r="DD94" i="5"/>
  <c r="CX74" i="5"/>
  <c r="CX75" i="5" s="1"/>
  <c r="CX76" i="5" s="1"/>
  <c r="CX77" i="5" s="1"/>
  <c r="DD121" i="6" l="1"/>
  <c r="DC122" i="6"/>
  <c r="DC123" i="6" s="1"/>
  <c r="DC124" i="6" s="1"/>
  <c r="DC119" i="6"/>
  <c r="DC127" i="6" s="1"/>
  <c r="DC129" i="6" s="1"/>
  <c r="DC130" i="6" s="1"/>
  <c r="DC120" i="6"/>
  <c r="DE136" i="6"/>
  <c r="DE137" i="6" s="1"/>
  <c r="DD137" i="6"/>
  <c r="DE116" i="6"/>
  <c r="DE118" i="6" s="1"/>
  <c r="DD118" i="6"/>
  <c r="DB144" i="6"/>
  <c r="DC45" i="6"/>
  <c r="DC81" i="6" s="1"/>
  <c r="DB101" i="6"/>
  <c r="DB76" i="6"/>
  <c r="DB77" i="6" s="1"/>
  <c r="DB19" i="6"/>
  <c r="DB22" i="6" s="1"/>
  <c r="DB23" i="6" s="1"/>
  <c r="DB33" i="6"/>
  <c r="DB34" i="6" s="1"/>
  <c r="DB35" i="6" s="1"/>
  <c r="DD31" i="6"/>
  <c r="DD37" i="6" s="1"/>
  <c r="G37" i="6" s="1" a="1"/>
  <c r="G37" i="6" s="1"/>
  <c r="F56" i="1" s="1"/>
  <c r="DD30" i="6"/>
  <c r="DD38" i="6" s="1"/>
  <c r="DD40" i="6" s="1"/>
  <c r="DD41" i="6" s="1"/>
  <c r="DD8" i="6"/>
  <c r="DC9" i="6"/>
  <c r="DE30" i="6"/>
  <c r="DE38" i="6" s="1"/>
  <c r="DE40" i="6" s="1"/>
  <c r="DE41" i="6" s="1"/>
  <c r="DE31" i="6"/>
  <c r="DE37" i="6" s="1"/>
  <c r="CX14" i="1"/>
  <c r="CY13" i="1"/>
  <c r="CY14" i="1" s="1"/>
  <c r="DB56" i="5"/>
  <c r="DB59" i="5"/>
  <c r="DC54" i="5"/>
  <c r="DD34" i="5"/>
  <c r="DD38" i="5" s="1"/>
  <c r="DE33" i="5"/>
  <c r="DE34" i="5" s="1"/>
  <c r="DE38" i="5" s="1"/>
  <c r="DA64" i="5"/>
  <c r="DD35" i="5"/>
  <c r="DC36" i="5"/>
  <c r="DC39" i="5" s="1"/>
  <c r="DB61" i="5"/>
  <c r="DB62" i="5" s="1"/>
  <c r="DB63" i="5" s="1"/>
  <c r="DB58" i="5"/>
  <c r="DB60" i="5" s="1"/>
  <c r="DB46" i="5" s="1"/>
  <c r="DB48" i="5" s="1"/>
  <c r="DB49" i="5" s="1"/>
  <c r="DB53" i="5" s="1"/>
  <c r="DB90" i="5" s="1"/>
  <c r="DC57" i="5"/>
  <c r="DC130" i="5"/>
  <c r="DC41" i="5"/>
  <c r="DB42" i="5"/>
  <c r="DB43" i="5" s="1"/>
  <c r="DB45" i="5" s="1"/>
  <c r="CR23" i="1"/>
  <c r="CR36" i="1" s="1"/>
  <c r="DA152" i="5"/>
  <c r="DA153" i="5" s="1"/>
  <c r="DB29" i="5"/>
  <c r="DB31" i="5" s="1"/>
  <c r="DB150" i="5"/>
  <c r="DB151" i="5" s="1"/>
  <c r="DC146" i="5"/>
  <c r="DB147" i="5"/>
  <c r="DB149" i="5" s="1"/>
  <c r="DB135" i="5" s="1"/>
  <c r="DB137" i="5" s="1"/>
  <c r="DB138" i="5" s="1"/>
  <c r="DB142" i="5"/>
  <c r="DB91" i="5" s="1"/>
  <c r="DB131" i="5"/>
  <c r="DB132" i="5" s="1"/>
  <c r="DB134" i="5" s="1"/>
  <c r="DE122" i="5"/>
  <c r="DE123" i="5" s="1"/>
  <c r="DE127" i="5" s="1"/>
  <c r="DD123" i="5"/>
  <c r="DD127" i="5" s="1"/>
  <c r="DB148" i="5"/>
  <c r="DB145" i="5"/>
  <c r="DB152" i="5" s="1"/>
  <c r="DC143" i="5"/>
  <c r="DE129" i="5"/>
  <c r="DC125" i="5"/>
  <c r="DC128" i="5" s="1"/>
  <c r="DD124" i="5"/>
  <c r="DD139" i="5"/>
  <c r="DC140" i="5"/>
  <c r="DC141" i="5" s="1"/>
  <c r="DC69" i="5"/>
  <c r="CX115" i="5"/>
  <c r="CX116" i="5" s="1"/>
  <c r="CX117" i="5" s="1"/>
  <c r="CX104" i="5"/>
  <c r="DD22" i="5"/>
  <c r="DE19" i="5"/>
  <c r="DE22" i="5" s="1"/>
  <c r="CO59" i="3"/>
  <c r="CO50" i="3"/>
  <c r="CO58" i="3"/>
  <c r="CN73" i="3"/>
  <c r="CN79" i="3" s="1"/>
  <c r="CN69" i="3"/>
  <c r="CN75" i="3" s="1"/>
  <c r="CN72" i="3"/>
  <c r="CN78" i="3" s="1"/>
  <c r="CN70" i="3"/>
  <c r="CN76" i="3" s="1"/>
  <c r="CN71" i="3"/>
  <c r="CN77" i="3" s="1"/>
  <c r="CO35" i="1"/>
  <c r="CO37" i="1" s="1"/>
  <c r="CR17" i="1"/>
  <c r="CK9" i="4"/>
  <c r="DB32" i="5"/>
  <c r="CP18" i="1"/>
  <c r="CP46" i="3"/>
  <c r="CP48" i="3" s="1"/>
  <c r="CN27" i="3"/>
  <c r="CO24" i="3" s="1"/>
  <c r="CZ104" i="6"/>
  <c r="CZ105" i="6" s="1"/>
  <c r="CZ108" i="6" s="1"/>
  <c r="DA79" i="6"/>
  <c r="CZ80" i="6"/>
  <c r="CZ95" i="6" s="1"/>
  <c r="DD68" i="5"/>
  <c r="DD67" i="5"/>
  <c r="DE66" i="5"/>
  <c r="DB119" i="5"/>
  <c r="DB120" i="5" s="1"/>
  <c r="DB121" i="5" s="1"/>
  <c r="DC118" i="5"/>
  <c r="DB88" i="5"/>
  <c r="DB89" i="5" s="1"/>
  <c r="DA113" i="5"/>
  <c r="DA114" i="5" s="1"/>
  <c r="DA61" i="6"/>
  <c r="CQ22" i="4"/>
  <c r="CQ25" i="4" s="1"/>
  <c r="CQ26" i="4" s="1"/>
  <c r="CQ12" i="4"/>
  <c r="CR10" i="4"/>
  <c r="DD98" i="6"/>
  <c r="DD100" i="6" s="1"/>
  <c r="DE96" i="6"/>
  <c r="DE98" i="6" s="1"/>
  <c r="DE100" i="6" s="1"/>
  <c r="DB96" i="5"/>
  <c r="DB97" i="5" s="1"/>
  <c r="DC95" i="5"/>
  <c r="DB101" i="5"/>
  <c r="DB102" i="5" s="1"/>
  <c r="DB103" i="5" s="1"/>
  <c r="DD110" i="6"/>
  <c r="DD111" i="6" s="1"/>
  <c r="DD112" i="6" s="1"/>
  <c r="DE109" i="6"/>
  <c r="DE110" i="6" s="1"/>
  <c r="DE111" i="6" s="1"/>
  <c r="DE112" i="6" s="1"/>
  <c r="DD16" i="5"/>
  <c r="DD41" i="5" s="1"/>
  <c r="DE15" i="5"/>
  <c r="DE16" i="5" s="1"/>
  <c r="DE41" i="5" s="1"/>
  <c r="DC80" i="5"/>
  <c r="DB82" i="5"/>
  <c r="DB84" i="5" s="1"/>
  <c r="DC92" i="6"/>
  <c r="DC93" i="6" s="1"/>
  <c r="DC94" i="6" s="1"/>
  <c r="DC143" i="6" s="1"/>
  <c r="DC87" i="6"/>
  <c r="DC88" i="6" s="1"/>
  <c r="DD86" i="6"/>
  <c r="CZ64" i="6"/>
  <c r="CZ73" i="5"/>
  <c r="CZ74" i="5" s="1"/>
  <c r="CZ75" i="5" s="1"/>
  <c r="CZ76" i="5" s="1"/>
  <c r="CZ77" i="5" s="1"/>
  <c r="DC103" i="6"/>
  <c r="DD78" i="6"/>
  <c r="DC73" i="6"/>
  <c r="DC75" i="6" s="1"/>
  <c r="DD71" i="6"/>
  <c r="DA70" i="5"/>
  <c r="DE42" i="6"/>
  <c r="DE43" i="6" s="1"/>
  <c r="DE44" i="6" s="1"/>
  <c r="DD43" i="6"/>
  <c r="DD44" i="6" s="1"/>
  <c r="DC110" i="5"/>
  <c r="DC111" i="5" s="1"/>
  <c r="DC85" i="5"/>
  <c r="DC86" i="5" s="1"/>
  <c r="DC26" i="5"/>
  <c r="DC18" i="5"/>
  <c r="DC23" i="5" s="1"/>
  <c r="DC24" i="5" s="1"/>
  <c r="DB106" i="6"/>
  <c r="DB107" i="6" s="1"/>
  <c r="DB82" i="6"/>
  <c r="CW11" i="4"/>
  <c r="DD32" i="6"/>
  <c r="G109" i="5" a="1"/>
  <c r="G109" i="5" s="1"/>
  <c r="D51" i="1" s="1"/>
  <c r="DC47" i="6"/>
  <c r="DB48" i="6"/>
  <c r="DB54" i="6" s="1"/>
  <c r="DB55" i="6" s="1"/>
  <c r="DE45" i="6" l="1"/>
  <c r="DD143" i="6"/>
  <c r="DC126" i="6"/>
  <c r="DC134" i="6"/>
  <c r="DE121" i="6"/>
  <c r="DE122" i="6" s="1"/>
  <c r="DE123" i="6" s="1"/>
  <c r="DE124" i="6" s="1"/>
  <c r="DD122" i="6"/>
  <c r="DD123" i="6" s="1"/>
  <c r="DD124" i="6" s="1"/>
  <c r="DE120" i="6"/>
  <c r="DE119" i="6"/>
  <c r="DE127" i="6" s="1"/>
  <c r="DE129" i="6" s="1"/>
  <c r="DE130" i="6" s="1"/>
  <c r="DD119" i="6"/>
  <c r="DD127" i="6" s="1"/>
  <c r="DD129" i="6" s="1"/>
  <c r="DD130" i="6" s="1"/>
  <c r="DD134" i="6" s="1"/>
  <c r="DD120" i="6"/>
  <c r="DD126" i="6" s="1"/>
  <c r="DC76" i="6"/>
  <c r="DC77" i="6" s="1"/>
  <c r="DC19" i="6"/>
  <c r="DC22" i="6" s="1"/>
  <c r="DC23" i="6" s="1"/>
  <c r="DC101" i="6"/>
  <c r="DD9" i="6"/>
  <c r="DE8" i="6"/>
  <c r="DE9" i="6" s="1"/>
  <c r="DC33" i="6"/>
  <c r="DC34" i="6" s="1"/>
  <c r="DC35" i="6" s="1"/>
  <c r="E88" i="1"/>
  <c r="DD45" i="6"/>
  <c r="DD81" i="6" s="1"/>
  <c r="CX154" i="5"/>
  <c r="DB64" i="5"/>
  <c r="DC56" i="5"/>
  <c r="DD54" i="5"/>
  <c r="DC59" i="5"/>
  <c r="DD57" i="5"/>
  <c r="DC61" i="5"/>
  <c r="DC62" i="5" s="1"/>
  <c r="DC63" i="5" s="1"/>
  <c r="DC58" i="5"/>
  <c r="DC60" i="5" s="1"/>
  <c r="DC46" i="5" s="1"/>
  <c r="DC48" i="5" s="1"/>
  <c r="DC49" i="5" s="1"/>
  <c r="DC53" i="5" s="1"/>
  <c r="DC90" i="5" s="1"/>
  <c r="DD36" i="5"/>
  <c r="DD39" i="5" s="1"/>
  <c r="DE35" i="5"/>
  <c r="DE36" i="5" s="1"/>
  <c r="DE39" i="5" s="1"/>
  <c r="DC42" i="5"/>
  <c r="DC43" i="5" s="1"/>
  <c r="DC45" i="5" s="1"/>
  <c r="DB153" i="5"/>
  <c r="DC29" i="5"/>
  <c r="DC31" i="5" s="1"/>
  <c r="DC150" i="5"/>
  <c r="DC151" i="5" s="1"/>
  <c r="DC147" i="5"/>
  <c r="DC149" i="5" s="1"/>
  <c r="DC135" i="5" s="1"/>
  <c r="DC137" i="5" s="1"/>
  <c r="DC138" i="5" s="1"/>
  <c r="DC142" i="5" s="1"/>
  <c r="DC91" i="5" s="1"/>
  <c r="DD146" i="5"/>
  <c r="DC32" i="5"/>
  <c r="CR46" i="3"/>
  <c r="CR48" i="3" s="1"/>
  <c r="DD130" i="5"/>
  <c r="DE130" i="5"/>
  <c r="DC131" i="5"/>
  <c r="DC132" i="5" s="1"/>
  <c r="DC134" i="5" s="1"/>
  <c r="DC148" i="5"/>
  <c r="DC145" i="5"/>
  <c r="DC152" i="5" s="1"/>
  <c r="DD143" i="5"/>
  <c r="DD140" i="5"/>
  <c r="DD141" i="5" s="1"/>
  <c r="DE139" i="5"/>
  <c r="DE140" i="5" s="1"/>
  <c r="DE141" i="5" s="1"/>
  <c r="DD125" i="5"/>
  <c r="DD128" i="5" s="1"/>
  <c r="DE124" i="5"/>
  <c r="DE125" i="5" s="1"/>
  <c r="DE128" i="5" s="1"/>
  <c r="CS17" i="1"/>
  <c r="CL9" i="4"/>
  <c r="CK23" i="4"/>
  <c r="CK24" i="4" s="1"/>
  <c r="CQ46" i="3"/>
  <c r="CQ48" i="3" s="1"/>
  <c r="CQ18" i="1"/>
  <c r="CO106" i="1"/>
  <c r="CO31" i="3"/>
  <c r="CO32" i="3" s="1"/>
  <c r="CO25" i="3"/>
  <c r="CO29" i="3"/>
  <c r="CO57" i="3"/>
  <c r="CP50" i="3"/>
  <c r="CP59" i="3"/>
  <c r="CP58" i="3"/>
  <c r="CP35" i="1"/>
  <c r="CP37" i="1" s="1"/>
  <c r="CY115" i="5"/>
  <c r="CY116" i="5" s="1"/>
  <c r="CY117" i="5" s="1"/>
  <c r="CY104" i="5"/>
  <c r="CY154" i="5" s="1"/>
  <c r="DD118" i="5"/>
  <c r="DC119" i="5"/>
  <c r="DC120" i="5" s="1"/>
  <c r="DC121" i="5" s="1"/>
  <c r="DC106" i="6"/>
  <c r="DC107" i="6" s="1"/>
  <c r="DC82" i="6"/>
  <c r="G112" i="6"/>
  <c r="F55" i="1" s="1"/>
  <c r="CR22" i="4"/>
  <c r="CR25" i="4" s="1"/>
  <c r="CR26" i="4" s="1"/>
  <c r="CR12" i="4"/>
  <c r="CS10" i="4"/>
  <c r="DD110" i="5"/>
  <c r="DD111" i="5" s="1"/>
  <c r="DD85" i="5"/>
  <c r="DD86" i="5" s="1"/>
  <c r="DD26" i="5"/>
  <c r="DD18" i="5"/>
  <c r="DD23" i="5" s="1"/>
  <c r="DD24" i="5" s="1"/>
  <c r="DE81" i="6"/>
  <c r="DB70" i="5"/>
  <c r="DD47" i="6"/>
  <c r="DC48" i="6"/>
  <c r="DC54" i="6" s="1"/>
  <c r="DC55" i="6" s="1"/>
  <c r="DB61" i="6"/>
  <c r="DB62" i="6" s="1"/>
  <c r="DB63" i="6" s="1"/>
  <c r="DD69" i="5"/>
  <c r="DD73" i="6"/>
  <c r="DD75" i="6" s="1"/>
  <c r="DE71" i="6"/>
  <c r="DE73" i="6" s="1"/>
  <c r="DE75" i="6" s="1"/>
  <c r="DA62" i="6"/>
  <c r="DA63" i="6" s="1"/>
  <c r="DA71" i="5"/>
  <c r="DA72" i="5" s="1"/>
  <c r="DA73" i="5" s="1"/>
  <c r="DD80" i="5"/>
  <c r="DC82" i="5"/>
  <c r="DC84" i="5" s="1"/>
  <c r="DC96" i="5"/>
  <c r="DC97" i="5" s="1"/>
  <c r="DC101" i="5"/>
  <c r="DC102" i="5" s="1"/>
  <c r="DC103" i="5" s="1"/>
  <c r="DD95" i="5"/>
  <c r="CS47" i="3"/>
  <c r="CS23" i="1"/>
  <c r="CS36" i="1" s="1"/>
  <c r="DA64" i="6"/>
  <c r="CZ65" i="6"/>
  <c r="CZ66" i="6" s="1"/>
  <c r="CZ67" i="6" s="1"/>
  <c r="CT22" i="1" s="1"/>
  <c r="DA104" i="6"/>
  <c r="DA105" i="6" s="1"/>
  <c r="DA108" i="6" s="1"/>
  <c r="DB79" i="6"/>
  <c r="DA80" i="6"/>
  <c r="DA95" i="6" s="1"/>
  <c r="DD103" i="6"/>
  <c r="DE78" i="6"/>
  <c r="DE103" i="6" s="1"/>
  <c r="DF66" i="5"/>
  <c r="DG66" i="5" s="1"/>
  <c r="DH66" i="5" s="1"/>
  <c r="DI66" i="5" s="1"/>
  <c r="DJ66" i="5" s="1"/>
  <c r="DK66" i="5" s="1"/>
  <c r="DL66" i="5" s="1"/>
  <c r="DE68" i="5"/>
  <c r="DE67" i="5"/>
  <c r="DE32" i="6"/>
  <c r="DE86" i="6"/>
  <c r="DD92" i="6"/>
  <c r="DD93" i="6" s="1"/>
  <c r="DD94" i="6" s="1"/>
  <c r="DD87" i="6"/>
  <c r="DD88" i="6" s="1"/>
  <c r="DE110" i="5"/>
  <c r="DE111" i="5" s="1"/>
  <c r="DE85" i="5"/>
  <c r="DE86" i="5" s="1"/>
  <c r="DE26" i="5"/>
  <c r="DE18" i="5"/>
  <c r="DE23" i="5" s="1"/>
  <c r="DE24" i="5" s="1"/>
  <c r="G100" i="6" a="1"/>
  <c r="G100" i="6" s="1"/>
  <c r="F51" i="1" s="1"/>
  <c r="DB113" i="5"/>
  <c r="DB114" i="5" s="1"/>
  <c r="DC88" i="5"/>
  <c r="DC89" i="5" s="1"/>
  <c r="DC144" i="6" l="1"/>
  <c r="DD144" i="6"/>
  <c r="DE19" i="6"/>
  <c r="DE22" i="6" s="1"/>
  <c r="DE23" i="6" s="1"/>
  <c r="DE76" i="6"/>
  <c r="DE77" i="6" s="1"/>
  <c r="DE101" i="6"/>
  <c r="DD101" i="6"/>
  <c r="DD76" i="6"/>
  <c r="DD77" i="6" s="1"/>
  <c r="DD19" i="6"/>
  <c r="DD22" i="6" s="1"/>
  <c r="G45" i="6" a="1"/>
  <c r="G45" i="6" s="1"/>
  <c r="F57" i="1" s="1"/>
  <c r="DE33" i="6"/>
  <c r="DE34" i="6" s="1"/>
  <c r="DE35" i="6" s="1"/>
  <c r="DD33" i="6"/>
  <c r="DD34" i="6" s="1"/>
  <c r="DD35" i="6" s="1"/>
  <c r="DD56" i="5"/>
  <c r="DE54" i="5"/>
  <c r="DD59" i="5"/>
  <c r="DC64" i="5"/>
  <c r="DE57" i="5"/>
  <c r="DD61" i="5"/>
  <c r="DD62" i="5" s="1"/>
  <c r="DD63" i="5" s="1"/>
  <c r="DD58" i="5"/>
  <c r="DD60" i="5" s="1"/>
  <c r="DD46" i="5" s="1"/>
  <c r="DD48" i="5" s="1"/>
  <c r="DD49" i="5" s="1"/>
  <c r="DD53" i="5" s="1"/>
  <c r="DD90" i="5" s="1"/>
  <c r="DE42" i="5"/>
  <c r="DE43" i="5" s="1"/>
  <c r="DE45" i="5" s="1"/>
  <c r="DD42" i="5"/>
  <c r="DD43" i="5" s="1"/>
  <c r="DD45" i="5"/>
  <c r="DD29" i="5"/>
  <c r="DD31" i="5" s="1"/>
  <c r="DD32" i="5" s="1"/>
  <c r="DD147" i="5"/>
  <c r="DD149" i="5" s="1"/>
  <c r="DD135" i="5" s="1"/>
  <c r="DD137" i="5" s="1"/>
  <c r="DD138" i="5" s="1"/>
  <c r="DD142" i="5" s="1"/>
  <c r="DD91" i="5" s="1"/>
  <c r="DE146" i="5"/>
  <c r="DD150" i="5"/>
  <c r="DD151" i="5" s="1"/>
  <c r="CR18" i="1"/>
  <c r="CR35" i="1" s="1"/>
  <c r="CR37" i="1" s="1"/>
  <c r="DC153" i="5"/>
  <c r="DD148" i="5"/>
  <c r="DD145" i="5"/>
  <c r="DE143" i="5"/>
  <c r="DD131" i="5"/>
  <c r="DD132" i="5" s="1"/>
  <c r="DD134" i="5" s="1"/>
  <c r="DE131" i="5"/>
  <c r="DE132" i="5" s="1"/>
  <c r="DE134" i="5" s="1"/>
  <c r="CZ115" i="5"/>
  <c r="CZ116" i="5" s="1"/>
  <c r="CZ117" i="5" s="1"/>
  <c r="CZ104" i="5"/>
  <c r="CQ35" i="1"/>
  <c r="CQ37" i="1" s="1"/>
  <c r="CP106" i="1"/>
  <c r="CP29" i="3"/>
  <c r="CP57" i="3"/>
  <c r="CP31" i="3"/>
  <c r="CP32" i="3" s="1"/>
  <c r="CP25" i="3"/>
  <c r="CN2" i="4" s="1"/>
  <c r="CO71" i="3"/>
  <c r="CO77" i="3" s="1"/>
  <c r="CO69" i="3"/>
  <c r="CO75" i="3" s="1"/>
  <c r="CO73" i="3"/>
  <c r="CO79" i="3" s="1"/>
  <c r="CO70" i="3"/>
  <c r="CO76" i="3" s="1"/>
  <c r="CO72" i="3"/>
  <c r="CO78" i="3" s="1"/>
  <c r="CL23" i="4"/>
  <c r="CL24" i="4" s="1"/>
  <c r="CR58" i="3"/>
  <c r="CR50" i="3"/>
  <c r="CR59" i="3"/>
  <c r="CT17" i="1"/>
  <c r="CQ50" i="3"/>
  <c r="CQ59" i="3"/>
  <c r="CQ58" i="3"/>
  <c r="CM2" i="4"/>
  <c r="CM9" i="4" s="1"/>
  <c r="CO27" i="3"/>
  <c r="CP24" i="3" s="1"/>
  <c r="DA74" i="5"/>
  <c r="DA75" i="5" s="1"/>
  <c r="DA76" i="5" s="1"/>
  <c r="DA77" i="5" s="1"/>
  <c r="DB64" i="6"/>
  <c r="DB65" i="6" s="1"/>
  <c r="DB66" i="6" s="1"/>
  <c r="DB67" i="6" s="1"/>
  <c r="CV22" i="1" s="1"/>
  <c r="DD106" i="6"/>
  <c r="DD107" i="6" s="1"/>
  <c r="DD82" i="6"/>
  <c r="DA65" i="6"/>
  <c r="DA66" i="6" s="1"/>
  <c r="DA67" i="6" s="1"/>
  <c r="CU22" i="1" s="1"/>
  <c r="DC61" i="6"/>
  <c r="DC113" i="5"/>
  <c r="DC114" i="5" s="1"/>
  <c r="DD88" i="5"/>
  <c r="G75" i="6" a="1"/>
  <c r="G75" i="6" s="1"/>
  <c r="F45" i="1" s="1"/>
  <c r="DE47" i="6"/>
  <c r="DE48" i="6" s="1"/>
  <c r="DE54" i="6" s="1"/>
  <c r="DD48" i="6"/>
  <c r="DD54" i="6" s="1"/>
  <c r="DD55" i="6" s="1"/>
  <c r="DE106" i="6"/>
  <c r="DE107" i="6" s="1"/>
  <c r="DE82" i="6"/>
  <c r="DE118" i="5"/>
  <c r="DD119" i="5"/>
  <c r="DD120" i="5" s="1"/>
  <c r="DD121" i="5" s="1"/>
  <c r="DE69" i="5"/>
  <c r="DD101" i="5"/>
  <c r="DD102" i="5" s="1"/>
  <c r="DD103" i="5" s="1"/>
  <c r="DE95" i="5"/>
  <c r="DD96" i="5"/>
  <c r="DD97" i="5" s="1"/>
  <c r="CS22" i="4"/>
  <c r="CS25" i="4" s="1"/>
  <c r="CS26" i="4" s="1"/>
  <c r="CT10" i="4"/>
  <c r="CS12" i="4"/>
  <c r="DC70" i="5"/>
  <c r="DB104" i="6"/>
  <c r="DB105" i="6" s="1"/>
  <c r="DB108" i="6" s="1"/>
  <c r="DC79" i="6"/>
  <c r="DB80" i="6"/>
  <c r="DB95" i="6" s="1"/>
  <c r="CT47" i="3"/>
  <c r="CT23" i="1"/>
  <c r="CT36" i="1" s="1"/>
  <c r="H51" i="1"/>
  <c r="DE92" i="6"/>
  <c r="DE93" i="6" s="1"/>
  <c r="DE94" i="6" s="1"/>
  <c r="DE134" i="6" s="1"/>
  <c r="DE87" i="6"/>
  <c r="DE88" i="6" s="1"/>
  <c r="G88" i="6" s="1" a="1"/>
  <c r="G88" i="6" s="1"/>
  <c r="F48" i="1" s="1"/>
  <c r="DE80" i="5"/>
  <c r="DE82" i="5" s="1"/>
  <c r="DE84" i="5" s="1"/>
  <c r="DD82" i="5"/>
  <c r="DD84" i="5" s="1"/>
  <c r="DB71" i="5"/>
  <c r="DB72" i="5" s="1"/>
  <c r="DB73" i="5" s="1"/>
  <c r="G134" i="6" l="1" a="1"/>
  <c r="G134" i="6" s="1"/>
  <c r="G94" i="6" a="1"/>
  <c r="G94" i="6" s="1"/>
  <c r="F49" i="1" s="1"/>
  <c r="DE143" i="6"/>
  <c r="G143" i="6" s="1"/>
  <c r="DE126" i="6"/>
  <c r="G126" i="6" s="1" a="1"/>
  <c r="G126" i="6" s="1"/>
  <c r="G82" i="6" a="1"/>
  <c r="G82" i="6" s="1"/>
  <c r="F47" i="1" s="1"/>
  <c r="DD23" i="6"/>
  <c r="G23" i="6" s="1"/>
  <c r="F42" i="1" s="1"/>
  <c r="G22" i="6"/>
  <c r="G107" i="6"/>
  <c r="F53" i="1" s="1"/>
  <c r="CZ154" i="5"/>
  <c r="DD64" i="5"/>
  <c r="DE59" i="5"/>
  <c r="DE56" i="5"/>
  <c r="G45" i="5" a="1"/>
  <c r="G45" i="5" s="1"/>
  <c r="D56" i="1" s="1"/>
  <c r="DE58" i="5"/>
  <c r="DE60" i="5" s="1"/>
  <c r="DE46" i="5" s="1"/>
  <c r="DE48" i="5" s="1"/>
  <c r="DE49" i="5" s="1"/>
  <c r="DE53" i="5" s="1"/>
  <c r="DE61" i="5"/>
  <c r="DE62" i="5" s="1"/>
  <c r="DE63" i="5" s="1"/>
  <c r="G63" i="5" s="1"/>
  <c r="D58" i="1" s="1"/>
  <c r="CV23" i="1"/>
  <c r="DE29" i="5"/>
  <c r="DE31" i="5" s="1"/>
  <c r="DE32" i="5" s="1"/>
  <c r="G32" i="5" s="1" a="1"/>
  <c r="G32" i="5" s="1"/>
  <c r="D42" i="1" s="1"/>
  <c r="DE150" i="5"/>
  <c r="DE151" i="5" s="1"/>
  <c r="DE147" i="5"/>
  <c r="DE149" i="5" s="1"/>
  <c r="DE135" i="5" s="1"/>
  <c r="DE137" i="5" s="1"/>
  <c r="DE138" i="5" s="1"/>
  <c r="DE142" i="5" s="1"/>
  <c r="DE91" i="5" s="1"/>
  <c r="DD152" i="5"/>
  <c r="DD153" i="5"/>
  <c r="CP27" i="3"/>
  <c r="CQ24" i="3" s="1"/>
  <c r="G134" i="5" a="1"/>
  <c r="G134" i="5" s="1"/>
  <c r="DE148" i="5"/>
  <c r="DE145" i="5"/>
  <c r="CN9" i="4"/>
  <c r="CM23" i="4"/>
  <c r="CM24" i="4" s="1"/>
  <c r="DA115" i="5"/>
  <c r="DA116" i="5" s="1"/>
  <c r="DA117" i="5" s="1"/>
  <c r="DA104" i="5"/>
  <c r="DA154" i="5" s="1"/>
  <c r="CU17" i="1"/>
  <c r="CQ25" i="3"/>
  <c r="CO2" i="4" s="1"/>
  <c r="CQ106" i="1"/>
  <c r="CQ57" i="3"/>
  <c r="CQ29" i="3"/>
  <c r="CQ31" i="3"/>
  <c r="CQ32" i="3" s="1"/>
  <c r="CT46" i="3"/>
  <c r="CT48" i="3" s="1"/>
  <c r="CT18" i="1"/>
  <c r="CS46" i="3"/>
  <c r="CS48" i="3" s="1"/>
  <c r="CS18" i="1"/>
  <c r="CS35" i="1" s="1"/>
  <c r="CS37" i="1" s="1"/>
  <c r="CR31" i="3"/>
  <c r="CR57" i="3"/>
  <c r="CR29" i="3"/>
  <c r="CR106" i="1"/>
  <c r="CR25" i="3"/>
  <c r="CP2" i="4" s="1"/>
  <c r="CP69" i="3"/>
  <c r="CP75" i="3" s="1"/>
  <c r="CP70" i="3"/>
  <c r="CP76" i="3" s="1"/>
  <c r="CP71" i="3"/>
  <c r="CP77" i="3" s="1"/>
  <c r="CP73" i="3"/>
  <c r="CP79" i="3" s="1"/>
  <c r="CP72" i="3"/>
  <c r="CP78" i="3" s="1"/>
  <c r="DB74" i="5"/>
  <c r="DB75" i="5" s="1"/>
  <c r="DB76" i="5" s="1"/>
  <c r="DB77" i="5" s="1"/>
  <c r="DD61" i="6"/>
  <c r="DD62" i="6" s="1"/>
  <c r="DD63" i="6" s="1"/>
  <c r="DF118" i="5"/>
  <c r="DG118" i="5" s="1"/>
  <c r="DH118" i="5" s="1"/>
  <c r="DI118" i="5" s="1"/>
  <c r="DJ118" i="5" s="1"/>
  <c r="DK118" i="5" s="1"/>
  <c r="DL118" i="5" s="1"/>
  <c r="DE119" i="5"/>
  <c r="DE120" i="5" s="1"/>
  <c r="DE121" i="5" s="1"/>
  <c r="G121" i="5" s="1"/>
  <c r="G84" i="5" a="1"/>
  <c r="G84" i="5" s="1"/>
  <c r="D45" i="1" s="1"/>
  <c r="H45" i="1" s="1"/>
  <c r="B108" i="1"/>
  <c r="C108" i="1" s="1"/>
  <c r="C109" i="1" s="1"/>
  <c r="DD113" i="5"/>
  <c r="DD114" i="5" s="1"/>
  <c r="DE88" i="5"/>
  <c r="CU10" i="4"/>
  <c r="CT12" i="4"/>
  <c r="CT22" i="4"/>
  <c r="CT25" i="4" s="1"/>
  <c r="CT26" i="4" s="1"/>
  <c r="DC62" i="6"/>
  <c r="DC63" i="6" s="1"/>
  <c r="DC64" i="6" s="1"/>
  <c r="DE101" i="5"/>
  <c r="DE102" i="5" s="1"/>
  <c r="DE103" i="5" s="1"/>
  <c r="G103" i="5" s="1" a="1"/>
  <c r="G103" i="5" s="1"/>
  <c r="D49" i="1" s="1"/>
  <c r="H49" i="1" s="1"/>
  <c r="DE96" i="5"/>
  <c r="DE97" i="5" s="1"/>
  <c r="G97" i="5" s="1" a="1"/>
  <c r="G97" i="5" s="1"/>
  <c r="D48" i="1" s="1"/>
  <c r="H48" i="1" s="1"/>
  <c r="G54" i="6"/>
  <c r="F58" i="1" s="1"/>
  <c r="DE55" i="6"/>
  <c r="DD89" i="5"/>
  <c r="DD70" i="5"/>
  <c r="DD71" i="5" s="1"/>
  <c r="DD72" i="5" s="1"/>
  <c r="DC71" i="5"/>
  <c r="DC72" i="5" s="1"/>
  <c r="DC73" i="5" s="1"/>
  <c r="CU47" i="3"/>
  <c r="CU23" i="1"/>
  <c r="DC104" i="6"/>
  <c r="DC105" i="6" s="1"/>
  <c r="DC108" i="6" s="1"/>
  <c r="DD79" i="6"/>
  <c r="DC80" i="6"/>
  <c r="DC95" i="6" s="1"/>
  <c r="E87" i="1" l="1"/>
  <c r="DE144" i="6"/>
  <c r="G144" i="6" s="1"/>
  <c r="H56" i="1"/>
  <c r="H58" i="1"/>
  <c r="CV47" i="3"/>
  <c r="DE152" i="5"/>
  <c r="DE153" i="5" s="1"/>
  <c r="G153" i="5" s="1"/>
  <c r="DE90" i="5"/>
  <c r="G53" i="5" a="1"/>
  <c r="G53" i="5" s="1"/>
  <c r="D57" i="1" s="1"/>
  <c r="G142" i="5" a="1"/>
  <c r="G142" i="5" s="1"/>
  <c r="DE64" i="5"/>
  <c r="G64" i="5" s="1"/>
  <c r="D59" i="1" s="1"/>
  <c r="C87" i="1"/>
  <c r="CQ27" i="3"/>
  <c r="CR24" i="3" s="1"/>
  <c r="CR27" i="3" s="1"/>
  <c r="CS24" i="3" s="1"/>
  <c r="CU18" i="1"/>
  <c r="CU35" i="1" s="1"/>
  <c r="CT35" i="1"/>
  <c r="CT37" i="1" s="1"/>
  <c r="CV17" i="1"/>
  <c r="CT58" i="3"/>
  <c r="CT59" i="3"/>
  <c r="CT50" i="3"/>
  <c r="CT31" i="3" s="1"/>
  <c r="CR73" i="3"/>
  <c r="CR79" i="3" s="1"/>
  <c r="CR69" i="3"/>
  <c r="CR75" i="3" s="1"/>
  <c r="CR70" i="3"/>
  <c r="CR76" i="3" s="1"/>
  <c r="CR71" i="3"/>
  <c r="CR77" i="3" s="1"/>
  <c r="CR72" i="3"/>
  <c r="CR78" i="3" s="1"/>
  <c r="CV36" i="1"/>
  <c r="CS58" i="3"/>
  <c r="CS59" i="3"/>
  <c r="CS50" i="3"/>
  <c r="CR32" i="3"/>
  <c r="CQ69" i="3"/>
  <c r="CQ75" i="3" s="1"/>
  <c r="CQ70" i="3"/>
  <c r="CQ76" i="3" s="1"/>
  <c r="CQ73" i="3"/>
  <c r="CQ79" i="3" s="1"/>
  <c r="CQ71" i="3"/>
  <c r="CQ77" i="3" s="1"/>
  <c r="CQ72" i="3"/>
  <c r="CQ78" i="3" s="1"/>
  <c r="CW23" i="1"/>
  <c r="CU36" i="1"/>
  <c r="DB115" i="5"/>
  <c r="DB116" i="5" s="1"/>
  <c r="DB117" i="5" s="1"/>
  <c r="DB104" i="5"/>
  <c r="DB154" i="5" s="1"/>
  <c r="CN23" i="4"/>
  <c r="CN24" i="4" s="1"/>
  <c r="CO9" i="4"/>
  <c r="DD64" i="6"/>
  <c r="DC65" i="6"/>
  <c r="DC66" i="6" s="1"/>
  <c r="DC67" i="6" s="1"/>
  <c r="CW22" i="1" s="1"/>
  <c r="DD73" i="5"/>
  <c r="DD74" i="5" s="1"/>
  <c r="DD75" i="5" s="1"/>
  <c r="DD76" i="5" s="1"/>
  <c r="DD77" i="5" s="1"/>
  <c r="DC74" i="5"/>
  <c r="DC75" i="5" s="1"/>
  <c r="DC76" i="5" s="1"/>
  <c r="DC77" i="5" s="1"/>
  <c r="G55" i="6"/>
  <c r="F59" i="1" s="1"/>
  <c r="DD104" i="6"/>
  <c r="DD105" i="6" s="1"/>
  <c r="DD108" i="6" s="1"/>
  <c r="DE79" i="6"/>
  <c r="DD80" i="6"/>
  <c r="DD95" i="6" s="1"/>
  <c r="H42" i="1"/>
  <c r="DE70" i="5"/>
  <c r="DE71" i="5"/>
  <c r="DE72" i="5" s="1"/>
  <c r="CV10" i="4"/>
  <c r="CU12" i="4"/>
  <c r="CU22" i="4"/>
  <c r="CU25" i="4" s="1"/>
  <c r="CU26" i="4" s="1"/>
  <c r="DE61" i="6"/>
  <c r="DE62" i="6"/>
  <c r="DE63" i="6" s="1"/>
  <c r="B111" i="1"/>
  <c r="DE113" i="5"/>
  <c r="DE114" i="5" s="1"/>
  <c r="DE89" i="5"/>
  <c r="D55" i="1"/>
  <c r="H59" i="1" l="1"/>
  <c r="G152" i="5"/>
  <c r="H57" i="1"/>
  <c r="CU46" i="3"/>
  <c r="CU48" i="3" s="1"/>
  <c r="CU50" i="3" s="1"/>
  <c r="CU29" i="3" s="1"/>
  <c r="CU37" i="1"/>
  <c r="CT106" i="1"/>
  <c r="CT25" i="3"/>
  <c r="CR2" i="4" s="1"/>
  <c r="CT29" i="3"/>
  <c r="CT57" i="3"/>
  <c r="CT71" i="3" s="1"/>
  <c r="CT77" i="3" s="1"/>
  <c r="CX23" i="1"/>
  <c r="CW47" i="3"/>
  <c r="CW17" i="1"/>
  <c r="CO23" i="4"/>
  <c r="CO24" i="4" s="1"/>
  <c r="CP9" i="4"/>
  <c r="CS31" i="3"/>
  <c r="CS32" i="3" s="1"/>
  <c r="CT32" i="3" s="1"/>
  <c r="CS57" i="3"/>
  <c r="CS106" i="1"/>
  <c r="CS25" i="3"/>
  <c r="CS29" i="3"/>
  <c r="G114" i="5" a="1"/>
  <c r="G114" i="5" s="1"/>
  <c r="DE73" i="5"/>
  <c r="DE74" i="5" s="1"/>
  <c r="DE75" i="5" s="1"/>
  <c r="DE76" i="5" s="1"/>
  <c r="DE77" i="5" s="1"/>
  <c r="G77" i="5" s="1"/>
  <c r="DE64" i="6"/>
  <c r="DE65" i="6"/>
  <c r="DE66" i="6" s="1"/>
  <c r="DE67" i="6" s="1"/>
  <c r="DE104" i="6"/>
  <c r="DE105" i="6" s="1"/>
  <c r="DE80" i="6"/>
  <c r="CW36" i="1"/>
  <c r="DD65" i="6"/>
  <c r="DD66" i="6" s="1"/>
  <c r="DD67" i="6" s="1"/>
  <c r="CX22" i="1" s="1"/>
  <c r="H55" i="1"/>
  <c r="G89" i="5" a="1"/>
  <c r="G89" i="5" s="1"/>
  <c r="CV12" i="4"/>
  <c r="CW10" i="4"/>
  <c r="CV22" i="4"/>
  <c r="CV25" i="4" s="1"/>
  <c r="CV26" i="4" s="1"/>
  <c r="CU106" i="1" l="1"/>
  <c r="CU57" i="3"/>
  <c r="CU71" i="3" s="1"/>
  <c r="CU77" i="3" s="1"/>
  <c r="CU31" i="3"/>
  <c r="CU25" i="3"/>
  <c r="CS2" i="4" s="1"/>
  <c r="CT69" i="3"/>
  <c r="CT75" i="3" s="1"/>
  <c r="CU58" i="3"/>
  <c r="CU59" i="3"/>
  <c r="CX47" i="3"/>
  <c r="CT73" i="3"/>
  <c r="CT79" i="3" s="1"/>
  <c r="CT70" i="3"/>
  <c r="CT76" i="3" s="1"/>
  <c r="CX36" i="1"/>
  <c r="CT72" i="3"/>
  <c r="CT78" i="3" s="1"/>
  <c r="CX17" i="1"/>
  <c r="CS70" i="3"/>
  <c r="CS76" i="3" s="1"/>
  <c r="CS73" i="3"/>
  <c r="CS79" i="3" s="1"/>
  <c r="CS71" i="3"/>
  <c r="CS77" i="3" s="1"/>
  <c r="CS72" i="3"/>
  <c r="CS78" i="3" s="1"/>
  <c r="CS69" i="3"/>
  <c r="CS75" i="3" s="1"/>
  <c r="DE115" i="5"/>
  <c r="DE116" i="5" s="1"/>
  <c r="DC115" i="5"/>
  <c r="DC116" i="5" s="1"/>
  <c r="DC117" i="5" s="1"/>
  <c r="DC104" i="5"/>
  <c r="DC154" i="5" s="1"/>
  <c r="CP23" i="4"/>
  <c r="CP24" i="4" s="1"/>
  <c r="DD115" i="5"/>
  <c r="DD116" i="5" s="1"/>
  <c r="DD117" i="5" s="1"/>
  <c r="DD104" i="5"/>
  <c r="DD154" i="5" s="1"/>
  <c r="CQ2" i="4"/>
  <c r="CQ9" i="4" s="1"/>
  <c r="CS27" i="3"/>
  <c r="CT24" i="3" s="1"/>
  <c r="CT27" i="3" s="1"/>
  <c r="CU24" i="3" s="1"/>
  <c r="CV46" i="3"/>
  <c r="CV48" i="3" s="1"/>
  <c r="CV18" i="1"/>
  <c r="CV35" i="1" s="1"/>
  <c r="CV37" i="1" s="1"/>
  <c r="CU32" i="3"/>
  <c r="G105" i="6" a="1"/>
  <c r="G105" i="6" s="1"/>
  <c r="DE108" i="6"/>
  <c r="G108" i="6" s="1"/>
  <c r="F54" i="1" s="1"/>
  <c r="G67" i="6"/>
  <c r="F43" i="1" s="1"/>
  <c r="G76" i="5"/>
  <c r="D43" i="1" s="1"/>
  <c r="CW12" i="4"/>
  <c r="CW22" i="4"/>
  <c r="CW25" i="4" s="1"/>
  <c r="CW26" i="4" s="1"/>
  <c r="C89" i="1"/>
  <c r="D46" i="1"/>
  <c r="CU70" i="3"/>
  <c r="CU76" i="3" s="1"/>
  <c r="CU72" i="3"/>
  <c r="CU78" i="3" s="1"/>
  <c r="G80" i="6" a="1"/>
  <c r="G80" i="6" s="1"/>
  <c r="DE95" i="6"/>
  <c r="D52" i="1"/>
  <c r="C90" i="1"/>
  <c r="CU69" i="3" l="1"/>
  <c r="CU75" i="3" s="1"/>
  <c r="CU73" i="3"/>
  <c r="CU79" i="3" s="1"/>
  <c r="CU27" i="3"/>
  <c r="CV24" i="3" s="1"/>
  <c r="CR9" i="4"/>
  <c r="CQ23" i="4"/>
  <c r="CQ24" i="4" s="1"/>
  <c r="CV59" i="3"/>
  <c r="CV50" i="3"/>
  <c r="CV58" i="3"/>
  <c r="G116" i="5" a="1"/>
  <c r="G116" i="5" s="1"/>
  <c r="D53" i="1" s="1"/>
  <c r="H53" i="1" s="1"/>
  <c r="DE117" i="5"/>
  <c r="CX46" i="3"/>
  <c r="CX48" i="3" s="1"/>
  <c r="CX18" i="1"/>
  <c r="G91" i="5" a="1"/>
  <c r="G91" i="5" s="1"/>
  <c r="D47" i="1" s="1"/>
  <c r="H47" i="1" s="1"/>
  <c r="DE104" i="5"/>
  <c r="CY17" i="1"/>
  <c r="D44" i="1"/>
  <c r="CY22" i="1"/>
  <c r="G68" i="6"/>
  <c r="F44" i="1" s="1"/>
  <c r="G95" i="6" a="1"/>
  <c r="G95" i="6" s="1"/>
  <c r="F50" i="1" s="1"/>
  <c r="C91" i="1"/>
  <c r="H43" i="1"/>
  <c r="F46" i="1"/>
  <c r="E89" i="1"/>
  <c r="H54" i="1"/>
  <c r="F52" i="1"/>
  <c r="E90" i="1"/>
  <c r="DE154" i="5" l="1"/>
  <c r="CX59" i="3"/>
  <c r="CX50" i="3"/>
  <c r="CX58" i="3"/>
  <c r="D50" i="1"/>
  <c r="H50" i="1" s="1"/>
  <c r="CW46" i="3"/>
  <c r="CW48" i="3" s="1"/>
  <c r="CW18" i="1"/>
  <c r="CW35" i="1" s="1"/>
  <c r="CW37" i="1" s="1"/>
  <c r="CV29" i="3"/>
  <c r="CV25" i="3"/>
  <c r="CV31" i="3"/>
  <c r="CV32" i="3" s="1"/>
  <c r="CV106" i="1"/>
  <c r="CV57" i="3"/>
  <c r="E91" i="1"/>
  <c r="CS9" i="4"/>
  <c r="CR23" i="4"/>
  <c r="CR24" i="4" s="1"/>
  <c r="B22" i="1"/>
  <c r="B79" i="1" s="1"/>
  <c r="M43" i="1"/>
  <c r="H44" i="1"/>
  <c r="CY47" i="3"/>
  <c r="CY23" i="1"/>
  <c r="B23" i="1" s="1"/>
  <c r="G145" i="6"/>
  <c r="F60" i="1" s="1"/>
  <c r="H46" i="1"/>
  <c r="K43" i="1"/>
  <c r="B17" i="1" a="1"/>
  <c r="B17" i="1" s="1"/>
  <c r="H52" i="1"/>
  <c r="G56" i="1" l="1"/>
  <c r="G57" i="1"/>
  <c r="G58" i="1"/>
  <c r="G59" i="1"/>
  <c r="CX35" i="1"/>
  <c r="CX37" i="1" s="1"/>
  <c r="CV73" i="3"/>
  <c r="CV79" i="3" s="1"/>
  <c r="CV69" i="3"/>
  <c r="CV75" i="3" s="1"/>
  <c r="CV72" i="3"/>
  <c r="CV78" i="3" s="1"/>
  <c r="CV70" i="3"/>
  <c r="CV76" i="3" s="1"/>
  <c r="CV71" i="3"/>
  <c r="CV77" i="3" s="1"/>
  <c r="CX106" i="1"/>
  <c r="CX29" i="3"/>
  <c r="CX25" i="3"/>
  <c r="CV2" i="4" s="1"/>
  <c r="CX31" i="3"/>
  <c r="CX57" i="3"/>
  <c r="CS23" i="4"/>
  <c r="CS24" i="4" s="1"/>
  <c r="CW50" i="3"/>
  <c r="CW58" i="3"/>
  <c r="CW59" i="3"/>
  <c r="CY46" i="3"/>
  <c r="CY48" i="3" s="1"/>
  <c r="CY18" i="1"/>
  <c r="CT2" i="4"/>
  <c r="CT9" i="4" s="1"/>
  <c r="CV27" i="3"/>
  <c r="CW24" i="3" s="1"/>
  <c r="G61" i="1"/>
  <c r="G55" i="1"/>
  <c r="G51" i="1"/>
  <c r="G45" i="1"/>
  <c r="G49" i="1"/>
  <c r="G47" i="1"/>
  <c r="G53" i="1"/>
  <c r="G48" i="1"/>
  <c r="G42" i="1"/>
  <c r="G43" i="1"/>
  <c r="G54" i="1"/>
  <c r="G52" i="1"/>
  <c r="C79" i="1"/>
  <c r="B24" i="1"/>
  <c r="G50" i="1"/>
  <c r="G44" i="1"/>
  <c r="G46" i="1"/>
  <c r="G60" i="1"/>
  <c r="M44" i="1"/>
  <c r="CY36" i="1"/>
  <c r="CY59" i="3" l="1"/>
  <c r="CY58" i="3"/>
  <c r="CY50" i="3"/>
  <c r="CY25" i="3" s="1"/>
  <c r="CW106" i="1"/>
  <c r="CW25" i="3"/>
  <c r="CU2" i="4" s="1"/>
  <c r="CU9" i="4" s="1"/>
  <c r="CW29" i="3"/>
  <c r="CW57" i="3"/>
  <c r="CW31" i="3"/>
  <c r="CW32" i="3" s="1"/>
  <c r="CX32" i="3" s="1"/>
  <c r="CT23" i="4"/>
  <c r="CT24" i="4" s="1"/>
  <c r="E60" i="1"/>
  <c r="K44" i="1"/>
  <c r="K45" i="1" s="1"/>
  <c r="L45" i="1" s="1"/>
  <c r="CX72" i="3"/>
  <c r="CX78" i="3" s="1"/>
  <c r="CX73" i="3"/>
  <c r="CX79" i="3" s="1"/>
  <c r="CX71" i="3"/>
  <c r="CX77" i="3" s="1"/>
  <c r="CX70" i="3"/>
  <c r="CX76" i="3" s="1"/>
  <c r="CX69" i="3"/>
  <c r="CX75" i="3" s="1"/>
  <c r="H60" i="1"/>
  <c r="B113" i="1" s="1"/>
  <c r="B18" i="1" a="1"/>
  <c r="B18" i="1" s="1"/>
  <c r="CY35" i="1"/>
  <c r="CY37" i="1" s="1"/>
  <c r="E79" i="1"/>
  <c r="D79" i="1"/>
  <c r="CY57" i="3"/>
  <c r="B33" i="1"/>
  <c r="E93" i="1"/>
  <c r="M45" i="1"/>
  <c r="E74" i="1"/>
  <c r="E54" i="1" l="1"/>
  <c r="E58" i="1"/>
  <c r="E56" i="1"/>
  <c r="E59" i="1"/>
  <c r="E57" i="1"/>
  <c r="L44" i="1"/>
  <c r="CY106" i="1"/>
  <c r="B106" i="1" s="1"/>
  <c r="B109" i="1" s="1"/>
  <c r="CY31" i="3"/>
  <c r="CY32" i="3" s="1"/>
  <c r="CW27" i="3"/>
  <c r="CX24" i="3" s="1"/>
  <c r="CX27" i="3" s="1"/>
  <c r="CY24" i="3" s="1"/>
  <c r="CY27" i="3" s="1"/>
  <c r="CY29" i="3"/>
  <c r="CU23" i="4"/>
  <c r="CU24" i="4" s="1"/>
  <c r="CV9" i="4"/>
  <c r="CV23" i="4" s="1"/>
  <c r="CV24" i="4" s="1"/>
  <c r="CW72" i="3"/>
  <c r="CW78" i="3" s="1"/>
  <c r="CW70" i="3"/>
  <c r="CW76" i="3" s="1"/>
  <c r="CW71" i="3"/>
  <c r="CW77" i="3" s="1"/>
  <c r="CW69" i="3"/>
  <c r="CW75" i="3" s="1"/>
  <c r="CW73" i="3"/>
  <c r="CW79" i="3" s="1"/>
  <c r="C80" i="1"/>
  <c r="B19" i="1"/>
  <c r="E44" i="1"/>
  <c r="H61" i="1"/>
  <c r="E55" i="1"/>
  <c r="E45" i="1"/>
  <c r="E43" i="1"/>
  <c r="E49" i="1"/>
  <c r="E42" i="1"/>
  <c r="E52" i="1"/>
  <c r="E51" i="1"/>
  <c r="E46" i="1"/>
  <c r="E53" i="1"/>
  <c r="E47" i="1"/>
  <c r="E50" i="1"/>
  <c r="E61" i="1"/>
  <c r="E48" i="1"/>
  <c r="L43" i="1"/>
  <c r="CW2" i="4"/>
  <c r="N45" i="1"/>
  <c r="N43" i="1"/>
  <c r="CY73" i="3"/>
  <c r="CY79" i="3" s="1"/>
  <c r="CY69" i="3"/>
  <c r="CY75" i="3" s="1"/>
  <c r="CY71" i="3"/>
  <c r="CY77" i="3" s="1"/>
  <c r="CY70" i="3"/>
  <c r="CY76" i="3" s="1"/>
  <c r="CY72" i="3"/>
  <c r="CY78" i="3" s="1"/>
  <c r="B16" i="2"/>
  <c r="B82" i="1"/>
  <c r="N44" i="1"/>
  <c r="C110" i="1" l="1"/>
  <c r="B112" i="1"/>
  <c r="C113" i="1"/>
  <c r="CW9" i="4"/>
  <c r="CW23" i="4" s="1"/>
  <c r="CW24" i="4" s="1"/>
  <c r="B17" i="2"/>
  <c r="D89" i="1"/>
  <c r="C82" i="1"/>
  <c r="E82" i="1" s="1"/>
  <c r="D90" i="1"/>
  <c r="C95" i="1"/>
  <c r="D91" i="1"/>
  <c r="D88" i="1"/>
  <c r="C98" i="1"/>
  <c r="C97" i="1"/>
  <c r="E69" i="1"/>
  <c r="C93" i="1"/>
  <c r="D87" i="1"/>
  <c r="C96" i="1"/>
  <c r="E80" i="1"/>
  <c r="D80" i="1"/>
  <c r="H107" i="2"/>
  <c r="H63" i="2"/>
  <c r="H126" i="2"/>
  <c r="H20" i="2"/>
  <c r="H45" i="2"/>
  <c r="H3" i="2"/>
  <c r="D82" i="1" l="1"/>
  <c r="C92" i="1"/>
  <c r="D93" i="1"/>
  <c r="L107" i="2"/>
  <c r="L63" i="2"/>
  <c r="L45" i="2"/>
  <c r="L3" i="2"/>
  <c r="L126" i="2"/>
  <c r="L20" i="2"/>
  <c r="D92" i="1" l="1"/>
  <c r="C9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6" authorId="0" shapeId="0" xr:uid="{00000000-0006-0000-0000-000003000000}">
      <text>
        <r>
          <rPr>
            <sz val="10"/>
            <color rgb="FF000000"/>
            <rFont val="Arial"/>
            <family val="2"/>
            <scheme val="minor"/>
          </rPr>
          <t>======
ID#AAAAVnRw7dY
Boris Heyermann    (2022-02-18 00:16:49)
The rest of the model was done with 4%, we can adjust the Summary here</t>
        </r>
      </text>
    </comment>
    <comment ref="A41" authorId="0" shapeId="0" xr:uid="{00000000-0006-0000-0000-000002000000}">
      <text>
        <r>
          <rPr>
            <sz val="10"/>
            <color rgb="FF000000"/>
            <rFont val="Arial"/>
            <family val="2"/>
            <scheme val="minor"/>
          </rPr>
          <t>======
ID#AAAAVnRw7dc
Chenxu Yang    (2022-02-18 00:18:38)
deleted indirect costs of traveling public, residents and environment</t>
        </r>
      </text>
    </comment>
    <comment ref="B45" authorId="0" shapeId="0" xr:uid="{00000000-0006-0000-0000-000001000000}">
      <text>
        <r>
          <rPr>
            <sz val="10"/>
            <color rgb="FF000000"/>
            <rFont val="Arial"/>
            <family val="2"/>
          </rPr>
          <t xml:space="preserve">======
</t>
        </r>
        <r>
          <rPr>
            <sz val="10"/>
            <color rgb="FF000000"/>
            <rFont val="Arial"/>
            <family val="2"/>
          </rPr>
          <t xml:space="preserve">ID#AAAAVnRw7dg
</t>
        </r>
        <r>
          <rPr>
            <sz val="10"/>
            <color rgb="FF000000"/>
            <rFont val="Arial"/>
            <family val="2"/>
          </rPr>
          <t xml:space="preserve">Chenxu Yang    (2022-02-18 00:19:02)
</t>
        </r>
        <r>
          <rPr>
            <sz val="10"/>
            <color rgb="FF000000"/>
            <rFont val="Arial"/>
            <family val="2"/>
          </rPr>
          <t>deleted headline risks</t>
        </r>
      </text>
    </comment>
  </commentList>
  <extLst>
    <ext xmlns:r="http://schemas.openxmlformats.org/officeDocument/2006/relationships" uri="GoogleSheetsCustomDataVersion1">
      <go:sheetsCustomData xmlns:go="http://customooxmlschemas.google.com/" r:id="rId1" roundtripDataSignature="AMtx7mjvn0wxet8QRZ2f84ElcPkIkxanV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0100-000001000000}">
      <text>
        <r>
          <rPr>
            <sz val="10"/>
            <color rgb="FF000000"/>
            <rFont val="Arial"/>
            <family val="2"/>
            <scheme val="minor"/>
          </rPr>
          <t>======
ID#AAAAWLXnyxU
Boris Heyermann    (2022-02-18 00:16:49)
The rest of the model was done with 4%, we can adjust the Summary here</t>
        </r>
      </text>
    </comment>
  </commentList>
  <extLst>
    <ext xmlns:r="http://schemas.openxmlformats.org/officeDocument/2006/relationships" uri="GoogleSheetsCustomDataVersion1">
      <go:sheetsCustomData xmlns:go="http://customooxmlschemas.google.com/" r:id="rId1" roundtripDataSignature="AMtx7mjBb6+tva+MFh1CIM+zY0QgIYqtE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11" authorId="0" shapeId="0" xr:uid="{00000000-0006-0000-0400-00006E000000}">
      <text>
        <r>
          <rPr>
            <sz val="10"/>
            <color rgb="FF000000"/>
            <rFont val="Arial"/>
            <family val="2"/>
            <scheme val="minor"/>
          </rPr>
          <t>======
ID#AAAAUu_Aalo
tc={9DA42248-591B-A24F-8033-D795837BED17}    (2022-02-15 22:20:30)
[Threaded comment]
Your version of Excel allows you to read this threaded comment; however, any edits to it will get removed if the file is opened in a newer version of Excel. Learn more: https://go.microsoft.com/fwlink/?linkid=870924
Comment:
    0.5% should be close to Terri thesis. This is so high
 --&gt; 0.5% for 25 years, then flat</t>
        </r>
      </text>
    </comment>
    <comment ref="H15" authorId="0" shapeId="0" xr:uid="{00000000-0006-0000-0400-00006C000000}">
      <text>
        <r>
          <rPr>
            <sz val="10"/>
            <color rgb="FF000000"/>
            <rFont val="Arial"/>
            <family val="2"/>
            <scheme val="minor"/>
          </rPr>
          <t>======
ID#AAAAVnRw7dU
Boris Heyermann    (2022-02-18 00:16:49)
Boris Heyermann: Updated from 481.4 to 73 acording to Terri's and the Utilidor group comments</t>
        </r>
      </text>
    </comment>
    <comment ref="C16" authorId="0" shapeId="0" xr:uid="{00000000-0006-0000-0400-00006D000000}">
      <text>
        <r>
          <rPr>
            <sz val="10"/>
            <color rgb="FF000000"/>
            <rFont val="Arial"/>
            <family val="2"/>
            <scheme val="minor"/>
          </rPr>
          <t>======
ID#AAAAUu_Aals
tc={80321DA6-C2AE-D741-A5C9-7B6A5E61611C}    (2022-02-15 22:20:30)
[Threaded comment]
Your version of Excel allows you to read this threaded comment; however, any edits to it will get removed if the file is opened in a newer version of Excel. Learn more: https://go.microsoft.com/fwlink/?linkid=870924
Comment:
    assumption is wrong. 2000 cuts at 100 years late</t>
        </r>
      </text>
    </comment>
    <comment ref="B33" authorId="0" shapeId="0" xr:uid="{00000000-0006-0000-0400-000071000000}">
      <text>
        <r>
          <rPr>
            <sz val="10"/>
            <color rgb="FF000000"/>
            <rFont val="Arial"/>
            <family val="2"/>
            <scheme val="minor"/>
          </rPr>
          <t>======
ID#AAAAUu_AalE
tc={7DC740C1-F6DA-3647-A01D-B41C57488336}    (2022-02-15 22:20:30)
[Threaded comment]
Your version of Excel allows you to read this threaded comment; however, any edits to it will get removed if the file is opened in a newer version of Excel. Learn more: https://go.microsoft.com/fwlink/?linkid=870924
Comment:
    Low NPV was mainly caused by this. Wrong assumption in later years</t>
        </r>
      </text>
    </comment>
    <comment ref="D33" authorId="0" shapeId="0" xr:uid="{00000000-0006-0000-0400-000070000000}">
      <text>
        <r>
          <rPr>
            <sz val="10"/>
            <color rgb="FF000000"/>
            <rFont val="Arial"/>
            <family val="2"/>
            <scheme val="minor"/>
          </rPr>
          <t>======
ID#AAAAUu_Aalg
    (2022-02-15 22:20:30)
+sok2109@columbia.edu Sam could you fill out units and sources?
	-Haeun Kim</t>
        </r>
      </text>
    </comment>
    <comment ref="H40" authorId="0" shapeId="0" xr:uid="{00000000-0006-0000-0400-000027000000}">
      <text>
        <r>
          <rPr>
            <sz val="10"/>
            <color rgb="FF000000"/>
            <rFont val="Arial"/>
            <family val="2"/>
          </rPr>
          <t xml:space="preserve">======
</t>
        </r>
        <r>
          <rPr>
            <sz val="10"/>
            <color rgb="FF000000"/>
            <rFont val="Arial"/>
            <family val="2"/>
          </rPr>
          <t xml:space="preserve">ID#AAAAX2xmd70
</t>
        </r>
        <r>
          <rPr>
            <sz val="10"/>
            <color rgb="FF000000"/>
            <rFont val="Arial"/>
            <family val="2"/>
          </rPr>
          <t xml:space="preserve">Boris Heyermann    (2022-04-05 19:28:11)
</t>
        </r>
        <r>
          <rPr>
            <sz val="10"/>
            <color rgb="FF000000"/>
            <rFont val="Arial"/>
            <family val="2"/>
          </rPr>
          <t>Increase of 11% per year for the next 25 years, then flat</t>
        </r>
      </text>
    </comment>
    <comment ref="G80" authorId="0" shapeId="0" xr:uid="{00000000-0006-0000-0400-00005C000000}">
      <text>
        <r>
          <rPr>
            <sz val="10"/>
            <color rgb="FF000000"/>
            <rFont val="Arial"/>
            <family val="2"/>
            <scheme val="minor"/>
          </rPr>
          <t>======
ID#AAAAX2xmd4c
Boris Heyermann    (2022-04-05 19:28:11)
8% increase per year seems excesive
--&gt; inflation rate</t>
        </r>
      </text>
    </comment>
    <comment ref="G87" authorId="0" shapeId="0" xr:uid="{00000000-0006-0000-0400-000029000000}">
      <text>
        <r>
          <rPr>
            <sz val="10"/>
            <color rgb="FF000000"/>
            <rFont val="Arial"/>
            <family val="2"/>
            <scheme val="minor"/>
          </rPr>
          <t>======
ID#AAAAX2xmd7s
Boris Heyermann    (2022-04-05 19:28:11)
Updated acording to Terry's and the Utilidors group comments</t>
        </r>
      </text>
    </comment>
    <comment ref="G88" authorId="0" shapeId="0" xr:uid="{00000000-0006-0000-0400-00000F000000}">
      <text>
        <r>
          <rPr>
            <sz val="10"/>
            <color rgb="FF000000"/>
            <rFont val="Arial"/>
            <family val="2"/>
            <scheme val="minor"/>
          </rPr>
          <t>======
ID#AAAAX2xmd9Y
Boris Heyermann    (2022-04-05 19:28:11)
Updated according to Terry's and the Utilidor group comments</t>
        </r>
      </text>
    </comment>
    <comment ref="I88" authorId="0" shapeId="0" xr:uid="{00000000-0006-0000-0400-000054000000}">
      <text>
        <r>
          <rPr>
            <sz val="10"/>
            <color rgb="FF000000"/>
            <rFont val="Arial"/>
            <family val="2"/>
          </rPr>
          <t xml:space="preserve">======
</t>
        </r>
        <r>
          <rPr>
            <sz val="10"/>
            <color rgb="FF000000"/>
            <rFont val="Arial"/>
            <family val="2"/>
          </rPr>
          <t xml:space="preserve">ID#AAAAX2xmd48
</t>
        </r>
        <r>
          <rPr>
            <sz val="10"/>
            <color rgb="FF000000"/>
            <rFont val="Arial"/>
            <family val="2"/>
          </rPr>
          <t xml:space="preserve">Boris Heyermann    (2022-04-05 19:28:11)
</t>
        </r>
        <r>
          <rPr>
            <sz val="10"/>
            <color rgb="FF000000"/>
            <rFont val="Arial"/>
            <family val="2"/>
          </rPr>
          <t>Price increases 8% (inflation rate x2), every 10 years</t>
        </r>
      </text>
    </comment>
    <comment ref="J88" authorId="0" shapeId="0" xr:uid="{00000000-0006-0000-0400-00001E000000}">
      <text>
        <r>
          <rPr>
            <sz val="10"/>
            <color rgb="FF000000"/>
            <rFont val="Arial"/>
            <family val="2"/>
            <scheme val="minor"/>
          </rPr>
          <t>======
ID#AAAAX2xmd8c
Boris Heyermann    (2022-04-05 19:28:11)
Price increases 8% (inflation rate x2), every 10 years</t>
        </r>
      </text>
    </comment>
    <comment ref="K88" authorId="0" shapeId="0" xr:uid="{00000000-0006-0000-0400-000019000000}">
      <text>
        <r>
          <rPr>
            <sz val="10"/>
            <color rgb="FF000000"/>
            <rFont val="Arial"/>
            <family val="2"/>
            <scheme val="minor"/>
          </rPr>
          <t>======
ID#AAAAX2xmd8s
Boris Heyermann    (2022-04-05 19:28:11)
Price increases 8% (inflation rate x2), every 10 years</t>
        </r>
      </text>
    </comment>
    <comment ref="L88" authorId="0" shapeId="0" xr:uid="{00000000-0006-0000-0400-000064000000}">
      <text>
        <r>
          <rPr>
            <sz val="10"/>
            <color rgb="FF000000"/>
            <rFont val="Arial"/>
            <family val="2"/>
            <scheme val="minor"/>
          </rPr>
          <t>======
ID#AAAAX2xmd38
Boris Heyermann    (2022-04-05 19:28:11)
Price increases 8% (inflation rate x2), every 10 years</t>
        </r>
      </text>
    </comment>
    <comment ref="M88" authorId="0" shapeId="0" xr:uid="{00000000-0006-0000-0400-00005A000000}">
      <text>
        <r>
          <rPr>
            <sz val="10"/>
            <color rgb="FF000000"/>
            <rFont val="Arial"/>
            <family val="2"/>
            <scheme val="minor"/>
          </rPr>
          <t>======
ID#AAAAX2xmd4k
Boris Heyermann    (2022-04-05 19:28:11)
Price increases 8% (inflation rate x2), every 10 years</t>
        </r>
      </text>
    </comment>
    <comment ref="N88" authorId="0" shapeId="0" xr:uid="{00000000-0006-0000-0400-000067000000}">
      <text>
        <r>
          <rPr>
            <sz val="10"/>
            <color rgb="FF000000"/>
            <rFont val="Arial"/>
            <family val="2"/>
            <scheme val="minor"/>
          </rPr>
          <t>======
ID#AAAAX2xmd3o
Boris Heyermann    (2022-04-05 19:28:11)
Price increases 8% (inflation rate x2), every 10 years</t>
        </r>
      </text>
    </comment>
    <comment ref="O88" authorId="0" shapeId="0" xr:uid="{00000000-0006-0000-0400-00005B000000}">
      <text>
        <r>
          <rPr>
            <sz val="10"/>
            <color rgb="FF000000"/>
            <rFont val="Arial"/>
            <family val="2"/>
            <scheme val="minor"/>
          </rPr>
          <t>======
ID#AAAAX2xmd4g
Boris Heyermann    (2022-04-05 19:28:11)
Price increases 8% (inflation rate x2), every 10 years</t>
        </r>
      </text>
    </comment>
    <comment ref="P88" authorId="0" shapeId="0" xr:uid="{00000000-0006-0000-0400-000023000000}">
      <text>
        <r>
          <rPr>
            <sz val="10"/>
            <color rgb="FF000000"/>
            <rFont val="Arial"/>
            <family val="2"/>
            <scheme val="minor"/>
          </rPr>
          <t>======
ID#AAAAX2xmd8E
Boris Heyermann    (2022-04-05 19:28:11)
Price increases 8% (inflation rate x2), every 10 years</t>
        </r>
      </text>
    </comment>
    <comment ref="Q88" authorId="0" shapeId="0" xr:uid="{00000000-0006-0000-0400-000026000000}">
      <text>
        <r>
          <rPr>
            <sz val="10"/>
            <color rgb="FF000000"/>
            <rFont val="Arial"/>
            <family val="2"/>
            <scheme val="minor"/>
          </rPr>
          <t>======
ID#AAAAX2xmd74
Boris Heyermann    (2022-04-05 19:28:11)
Price increases 8% (inflation rate x2), every 10 years</t>
        </r>
      </text>
    </comment>
    <comment ref="R88" authorId="0" shapeId="0" xr:uid="{00000000-0006-0000-0400-000052000000}">
      <text>
        <r>
          <rPr>
            <sz val="10"/>
            <color rgb="FF000000"/>
            <rFont val="Arial"/>
            <family val="2"/>
            <scheme val="minor"/>
          </rPr>
          <t>======
ID#AAAAX2xmd5E
Boris Heyermann    (2022-04-05 19:28:11)
Price increases 8% (inflation rate x2), every 10 years</t>
        </r>
      </text>
    </comment>
    <comment ref="S88" authorId="0" shapeId="0" xr:uid="{00000000-0006-0000-0400-000057000000}">
      <text>
        <r>
          <rPr>
            <sz val="10"/>
            <color rgb="FF000000"/>
            <rFont val="Arial"/>
            <family val="2"/>
            <scheme val="minor"/>
          </rPr>
          <t>======
ID#AAAAX2xmd4w
Boris Heyermann    (2022-04-05 19:28:11)
Price increases 8% (inflation rate x2), every 10 years</t>
        </r>
      </text>
    </comment>
    <comment ref="T88" authorId="0" shapeId="0" xr:uid="{00000000-0006-0000-0400-00001C000000}">
      <text>
        <r>
          <rPr>
            <sz val="10"/>
            <color rgb="FF000000"/>
            <rFont val="Arial"/>
            <family val="2"/>
            <scheme val="minor"/>
          </rPr>
          <t>======
ID#AAAAX2xmd8k
Boris Heyermann    (2022-04-05 19:28:11)
Price increases 8% (inflation rate x2), every 10 years</t>
        </r>
      </text>
    </comment>
    <comment ref="U88" authorId="0" shapeId="0" xr:uid="{00000000-0006-0000-0400-00006B000000}">
      <text>
        <r>
          <rPr>
            <sz val="10"/>
            <color rgb="FF000000"/>
            <rFont val="Arial"/>
            <family val="2"/>
            <scheme val="minor"/>
          </rPr>
          <t>======
ID#AAAAX2xmd3c
Boris Heyermann    (2022-04-05 19:28:11)
Price increases 8% (inflation rate x2), every 10 years</t>
        </r>
      </text>
    </comment>
    <comment ref="V88" authorId="0" shapeId="0" xr:uid="{00000000-0006-0000-0400-000046000000}">
      <text>
        <r>
          <rPr>
            <sz val="10"/>
            <color rgb="FF000000"/>
            <rFont val="Arial"/>
            <family val="2"/>
            <scheme val="minor"/>
          </rPr>
          <t>======
ID#AAAAX2xmd54
Boris Heyermann    (2022-04-05 19:28:11)
Price increases 8% (inflation rate x2), every 10 years</t>
        </r>
      </text>
    </comment>
    <comment ref="W88" authorId="0" shapeId="0" xr:uid="{00000000-0006-0000-0400-000003000000}">
      <text>
        <r>
          <rPr>
            <sz val="10"/>
            <color rgb="FF000000"/>
            <rFont val="Arial"/>
            <family val="2"/>
            <scheme val="minor"/>
          </rPr>
          <t>======
ID#AAAAX2xmd-I
Boris Heyermann    (2022-04-05 19:28:11)
Price increases 8% (inflation rate x2), every 10 years</t>
        </r>
      </text>
    </comment>
    <comment ref="X88" authorId="0" shapeId="0" xr:uid="{00000000-0006-0000-0400-00004A000000}">
      <text>
        <r>
          <rPr>
            <sz val="10"/>
            <color rgb="FF000000"/>
            <rFont val="Arial"/>
            <family val="2"/>
            <scheme val="minor"/>
          </rPr>
          <t>======
ID#AAAAX2xmd5k
Boris Heyermann    (2022-04-05 19:28:11)
Price increases 8% (inflation rate x2), every 10 years</t>
        </r>
      </text>
    </comment>
    <comment ref="Y88" authorId="0" shapeId="0" xr:uid="{00000000-0006-0000-0400-000001000000}">
      <text>
        <r>
          <rPr>
            <sz val="10"/>
            <color rgb="FF000000"/>
            <rFont val="Arial"/>
            <family val="2"/>
            <scheme val="minor"/>
          </rPr>
          <t>======
ID#AAAAX2xmd-U
Boris Heyermann    (2022-04-05 19:28:11)
Price increases 8% (inflation rate x2), every 10 years</t>
        </r>
      </text>
    </comment>
    <comment ref="Z88" authorId="0" shapeId="0" xr:uid="{00000000-0006-0000-0400-00003B000000}">
      <text>
        <r>
          <rPr>
            <sz val="10"/>
            <color rgb="FF000000"/>
            <rFont val="Arial"/>
            <family val="2"/>
            <scheme val="minor"/>
          </rPr>
          <t>======
ID#AAAAX2xmd6k
Boris Heyermann    (2022-04-05 19:28:11)
Price increases 8% (inflation rate x2), every 10 years</t>
        </r>
      </text>
    </comment>
    <comment ref="AA88" authorId="0" shapeId="0" xr:uid="{00000000-0006-0000-0400-000051000000}">
      <text>
        <r>
          <rPr>
            <sz val="10"/>
            <color rgb="FF000000"/>
            <rFont val="Arial"/>
            <family val="2"/>
            <scheme val="minor"/>
          </rPr>
          <t>======
ID#AAAAX2xmd5I
Boris Heyermann    (2022-04-05 19:28:11)
Price increases 8% (inflation rate x2), every 10 years</t>
        </r>
      </text>
    </comment>
    <comment ref="AB88" authorId="0" shapeId="0" xr:uid="{00000000-0006-0000-0400-000007000000}">
      <text>
        <r>
          <rPr>
            <sz val="10"/>
            <color rgb="FF000000"/>
            <rFont val="Arial"/>
            <family val="2"/>
            <scheme val="minor"/>
          </rPr>
          <t>======
ID#AAAAX2xmd98
Boris Heyermann    (2022-04-05 19:28:11)
Price increases 8% (inflation rate x2), every 10 years</t>
        </r>
      </text>
    </comment>
    <comment ref="AC88" authorId="0" shapeId="0" xr:uid="{00000000-0006-0000-0400-000066000000}">
      <text>
        <r>
          <rPr>
            <sz val="10"/>
            <color rgb="FF000000"/>
            <rFont val="Arial"/>
            <family val="2"/>
            <scheme val="minor"/>
          </rPr>
          <t>======
ID#AAAAX2xmd3w
Boris Heyermann    (2022-04-05 19:28:11)
Price increases 8% (inflation rate x2), every 10 years</t>
        </r>
      </text>
    </comment>
    <comment ref="AD88" authorId="0" shapeId="0" xr:uid="{00000000-0006-0000-0400-000004000000}">
      <text>
        <r>
          <rPr>
            <sz val="10"/>
            <color rgb="FF000000"/>
            <rFont val="Arial"/>
            <family val="2"/>
            <scheme val="minor"/>
          </rPr>
          <t>======
ID#AAAAX2xmd-M
Boris Heyermann    (2022-04-05 19:28:11)
Price increases 8% (inflation rate x2), every 10 years</t>
        </r>
      </text>
    </comment>
    <comment ref="AE88" authorId="0" shapeId="0" xr:uid="{00000000-0006-0000-0400-000045000000}">
      <text>
        <r>
          <rPr>
            <sz val="10"/>
            <color rgb="FF000000"/>
            <rFont val="Arial"/>
            <family val="2"/>
            <scheme val="minor"/>
          </rPr>
          <t>======
ID#AAAAX2xmd50
Boris Heyermann    (2022-04-05 19:28:11)
Price increases 8% (inflation rate x2), every 10 years</t>
        </r>
      </text>
    </comment>
    <comment ref="AF88" authorId="0" shapeId="0" xr:uid="{00000000-0006-0000-0400-000063000000}">
      <text>
        <r>
          <rPr>
            <sz val="10"/>
            <color rgb="FF000000"/>
            <rFont val="Arial"/>
            <family val="2"/>
            <scheme val="minor"/>
          </rPr>
          <t>======
ID#AAAAX2xmd4A
Boris Heyermann    (2022-04-05 19:28:11)
Price increases 8% (inflation rate x2), every 10 years</t>
        </r>
      </text>
    </comment>
    <comment ref="AG88" authorId="0" shapeId="0" xr:uid="{00000000-0006-0000-0400-000031000000}">
      <text>
        <r>
          <rPr>
            <sz val="10"/>
            <color rgb="FF000000"/>
            <rFont val="Arial"/>
            <family val="2"/>
            <scheme val="minor"/>
          </rPr>
          <t>======
ID#AAAAX2xmd7M
Boris Heyermann    (2022-04-05 19:28:11)
Price increases 8% (inflation rate x2), every 10 years</t>
        </r>
      </text>
    </comment>
    <comment ref="AH88" authorId="0" shapeId="0" xr:uid="{00000000-0006-0000-0400-00002F000000}">
      <text>
        <r>
          <rPr>
            <sz val="10"/>
            <color rgb="FF000000"/>
            <rFont val="Arial"/>
            <family val="2"/>
            <scheme val="minor"/>
          </rPr>
          <t>======
ID#AAAAX2xmd7Q
Boris Heyermann    (2022-04-05 19:28:11)
Price increases 8% (inflation rate x2), every 10 years</t>
        </r>
      </text>
    </comment>
    <comment ref="AI88" authorId="0" shapeId="0" xr:uid="{00000000-0006-0000-0400-000039000000}">
      <text>
        <r>
          <rPr>
            <sz val="10"/>
            <color rgb="FF000000"/>
            <rFont val="Arial"/>
            <family val="2"/>
            <scheme val="minor"/>
          </rPr>
          <t>======
ID#AAAAX2xmd6w
Boris Heyermann    (2022-04-05 19:28:11)
Price increases 8% (inflation rate x2), every 10 years</t>
        </r>
      </text>
    </comment>
    <comment ref="AJ88" authorId="0" shapeId="0" xr:uid="{00000000-0006-0000-0400-000035000000}">
      <text>
        <r>
          <rPr>
            <sz val="10"/>
            <color rgb="FF000000"/>
            <rFont val="Arial"/>
            <family val="2"/>
            <scheme val="minor"/>
          </rPr>
          <t>======
ID#AAAAX2xmd7A
Boris Heyermann    (2022-04-05 19:28:11)
Price increases 8% (inflation rate x2), every 10 years</t>
        </r>
      </text>
    </comment>
    <comment ref="AK88" authorId="0" shapeId="0" xr:uid="{00000000-0006-0000-0400-000038000000}">
      <text>
        <r>
          <rPr>
            <sz val="10"/>
            <color rgb="FF000000"/>
            <rFont val="Arial"/>
            <family val="2"/>
            <scheme val="minor"/>
          </rPr>
          <t>======
ID#AAAAX2xmd6s
Boris Heyermann    (2022-04-05 19:28:11)
Price increases 8% (inflation rate x2), every 10 years</t>
        </r>
      </text>
    </comment>
    <comment ref="AL88" authorId="0" shapeId="0" xr:uid="{00000000-0006-0000-0400-000017000000}">
      <text>
        <r>
          <rPr>
            <sz val="10"/>
            <color rgb="FF000000"/>
            <rFont val="Arial"/>
            <family val="2"/>
            <scheme val="minor"/>
          </rPr>
          <t>======
ID#AAAAX2xmd88
Boris Heyermann    (2022-04-05 19:28:11)
Price increases 8% (inflation rate x2), every 10 years</t>
        </r>
      </text>
    </comment>
    <comment ref="AM88" authorId="0" shapeId="0" xr:uid="{00000000-0006-0000-0400-00002B000000}">
      <text>
        <r>
          <rPr>
            <sz val="10"/>
            <color rgb="FF000000"/>
            <rFont val="Arial"/>
            <family val="2"/>
            <scheme val="minor"/>
          </rPr>
          <t>======
ID#AAAAX2xmd7o
Boris Heyermann    (2022-04-05 19:28:11)
Price increases 8% (inflation rate x2), every 10 years</t>
        </r>
      </text>
    </comment>
    <comment ref="AN88" authorId="0" shapeId="0" xr:uid="{00000000-0006-0000-0400-000030000000}">
      <text>
        <r>
          <rPr>
            <sz val="10"/>
            <color rgb="FF000000"/>
            <rFont val="Arial"/>
            <family val="2"/>
            <scheme val="minor"/>
          </rPr>
          <t>======
ID#AAAAX2xmd7U
Boris Heyermann    (2022-04-05 19:28:11)
Price increases 8% (inflation rate x2), every 10 years</t>
        </r>
      </text>
    </comment>
    <comment ref="AO88" authorId="0" shapeId="0" xr:uid="{00000000-0006-0000-0400-000033000000}">
      <text>
        <r>
          <rPr>
            <sz val="10"/>
            <color rgb="FF000000"/>
            <rFont val="Arial"/>
            <family val="2"/>
            <scheme val="minor"/>
          </rPr>
          <t>======
ID#AAAAX2xmd7E
Boris Heyermann    (2022-04-05 19:28:11)
Price increases 8% (inflation rate x2), every 10 years</t>
        </r>
      </text>
    </comment>
    <comment ref="AP88" authorId="0" shapeId="0" xr:uid="{00000000-0006-0000-0400-000009000000}">
      <text>
        <r>
          <rPr>
            <sz val="10"/>
            <color rgb="FF000000"/>
            <rFont val="Arial"/>
            <family val="2"/>
            <scheme val="minor"/>
          </rPr>
          <t>======
ID#AAAAX2xmd9w
Boris Heyermann    (2022-04-05 19:28:11)
Price increases 8% (inflation rate x2), every 10 years</t>
        </r>
      </text>
    </comment>
    <comment ref="AQ88" authorId="0" shapeId="0" xr:uid="{00000000-0006-0000-0400-00000C000000}">
      <text>
        <r>
          <rPr>
            <sz val="10"/>
            <color rgb="FF000000"/>
            <rFont val="Arial"/>
            <family val="2"/>
            <scheme val="minor"/>
          </rPr>
          <t>======
ID#AAAAX2xmd9k
Boris Heyermann    (2022-04-05 19:28:11)
Price increases 8% (inflation rate x2), every 10 years</t>
        </r>
      </text>
    </comment>
    <comment ref="AR88" authorId="0" shapeId="0" xr:uid="{00000000-0006-0000-0400-00005F000000}">
      <text>
        <r>
          <rPr>
            <sz val="10"/>
            <color rgb="FF000000"/>
            <rFont val="Arial"/>
            <family val="2"/>
            <scheme val="minor"/>
          </rPr>
          <t>======
ID#AAAAX2xmd4M
Boris Heyermann    (2022-04-05 19:28:11)
Price increases 8% (inflation rate x2), every 10 years</t>
        </r>
      </text>
    </comment>
    <comment ref="AS88" authorId="0" shapeId="0" xr:uid="{00000000-0006-0000-0400-00001B000000}">
      <text>
        <r>
          <rPr>
            <sz val="10"/>
            <color rgb="FF000000"/>
            <rFont val="Arial"/>
            <family val="2"/>
            <scheme val="minor"/>
          </rPr>
          <t>======
ID#AAAAX2xmd8o
Boris Heyermann    (2022-04-05 19:28:11)
Price increases 8% (inflation rate x2), every 10 years</t>
        </r>
      </text>
    </comment>
    <comment ref="AT88" authorId="0" shapeId="0" xr:uid="{00000000-0006-0000-0400-000060000000}">
      <text>
        <r>
          <rPr>
            <sz val="10"/>
            <color rgb="FF000000"/>
            <rFont val="Arial"/>
            <family val="2"/>
            <scheme val="minor"/>
          </rPr>
          <t>======
ID#AAAAX2xmd4Q
Boris Heyermann    (2022-04-05 19:28:11)
Price increases 8% (inflation rate x2), every 10 years</t>
        </r>
      </text>
    </comment>
    <comment ref="AU88" authorId="0" shapeId="0" xr:uid="{00000000-0006-0000-0400-000024000000}">
      <text>
        <r>
          <rPr>
            <sz val="10"/>
            <color rgb="FF000000"/>
            <rFont val="Arial"/>
            <family val="2"/>
            <scheme val="minor"/>
          </rPr>
          <t>======
ID#AAAAX2xmd8A
Boris Heyermann    (2022-04-05 19:28:11)
Price increases 8% (inflation rate x2), every 10 years</t>
        </r>
      </text>
    </comment>
    <comment ref="AV88" authorId="0" shapeId="0" xr:uid="{00000000-0006-0000-0400-000041000000}">
      <text>
        <r>
          <rPr>
            <sz val="10"/>
            <color rgb="FF000000"/>
            <rFont val="Arial"/>
            <family val="2"/>
            <scheme val="minor"/>
          </rPr>
          <t>======
ID#AAAAX2xmd6M
Boris Heyermann    (2022-04-05 19:28:11)
Price increases 8% (inflation rate x2), every 10 years</t>
        </r>
      </text>
    </comment>
    <comment ref="AW88" authorId="0" shapeId="0" xr:uid="{00000000-0006-0000-0400-00006A000000}">
      <text>
        <r>
          <rPr>
            <sz val="10"/>
            <color rgb="FF000000"/>
            <rFont val="Arial"/>
            <family val="2"/>
            <scheme val="minor"/>
          </rPr>
          <t>======
ID#AAAAX2xmd3k
Boris Heyermann    (2022-04-05 19:28:11)
Price increases 8% (inflation rate x2), every 10 years</t>
        </r>
      </text>
    </comment>
    <comment ref="AX88" authorId="0" shapeId="0" xr:uid="{00000000-0006-0000-0400-000015000000}">
      <text>
        <r>
          <rPr>
            <sz val="10"/>
            <color rgb="FF000000"/>
            <rFont val="Arial"/>
            <family val="2"/>
            <scheme val="minor"/>
          </rPr>
          <t>======
ID#AAAAX2xmd9A
Boris Heyermann    (2022-04-05 19:28:11)
Price increases 8% (inflation rate x2), every 10 years</t>
        </r>
      </text>
    </comment>
    <comment ref="AY88" authorId="0" shapeId="0" xr:uid="{00000000-0006-0000-0400-000032000000}">
      <text>
        <r>
          <rPr>
            <sz val="10"/>
            <color rgb="FF000000"/>
            <rFont val="Arial"/>
            <family val="2"/>
            <scheme val="minor"/>
          </rPr>
          <t>======
ID#AAAAX2xmd7I
Boris Heyermann    (2022-04-05 19:28:11)
Price increases 8% (inflation rate x2), every 10 years</t>
        </r>
      </text>
    </comment>
    <comment ref="AZ88" authorId="0" shapeId="0" xr:uid="{00000000-0006-0000-0400-000068000000}">
      <text>
        <r>
          <rPr>
            <sz val="10"/>
            <color rgb="FF000000"/>
            <rFont val="Arial"/>
            <family val="2"/>
            <scheme val="minor"/>
          </rPr>
          <t>======
ID#AAAAX2xmd3s
Boris Heyermann    (2022-04-05 19:28:11)
Price increases 8% (inflation rate x2), every 10 years</t>
        </r>
      </text>
    </comment>
    <comment ref="BA88" authorId="0" shapeId="0" xr:uid="{00000000-0006-0000-0400-00003E000000}">
      <text>
        <r>
          <rPr>
            <sz val="10"/>
            <color rgb="FF000000"/>
            <rFont val="Arial"/>
            <family val="2"/>
            <scheme val="minor"/>
          </rPr>
          <t>======
ID#AAAAX2xmd6c
Boris Heyermann    (2022-04-05 19:28:11)
Price increases 8% (inflation rate x2), every 10 years</t>
        </r>
      </text>
    </comment>
    <comment ref="BB88" authorId="0" shapeId="0" xr:uid="{00000000-0006-0000-0400-00002A000000}">
      <text>
        <r>
          <rPr>
            <sz val="10"/>
            <color rgb="FF000000"/>
            <rFont val="Arial"/>
            <family val="2"/>
            <scheme val="minor"/>
          </rPr>
          <t>======
ID#AAAAX2xmd7k
Boris Heyermann    (2022-04-05 19:28:11)
Price increases 8% (inflation rate x2), every 10 years</t>
        </r>
      </text>
    </comment>
    <comment ref="BC88" authorId="0" shapeId="0" xr:uid="{00000000-0006-0000-0400-000044000000}">
      <text>
        <r>
          <rPr>
            <sz val="10"/>
            <color rgb="FF000000"/>
            <rFont val="Arial"/>
            <family val="2"/>
            <scheme val="minor"/>
          </rPr>
          <t>======
ID#AAAAX2xmd58
Boris Heyermann    (2022-04-05 19:28:11)
Price increases 8% (inflation rate x2), every 10 years</t>
        </r>
      </text>
    </comment>
    <comment ref="BD88" authorId="0" shapeId="0" xr:uid="{00000000-0006-0000-0400-00000A000000}">
      <text>
        <r>
          <rPr>
            <sz val="10"/>
            <color rgb="FF000000"/>
            <rFont val="Arial"/>
            <family val="2"/>
            <scheme val="minor"/>
          </rPr>
          <t>======
ID#AAAAX2xmd9o
Boris Heyermann    (2022-04-05 19:28:11)
Price increases 8% (inflation rate x2), every 10 years</t>
        </r>
      </text>
    </comment>
    <comment ref="BE88" authorId="0" shapeId="0" xr:uid="{00000000-0006-0000-0400-000049000000}">
      <text>
        <r>
          <rPr>
            <sz val="10"/>
            <color rgb="FF000000"/>
            <rFont val="Arial"/>
            <family val="2"/>
            <scheme val="minor"/>
          </rPr>
          <t>======
ID#AAAAX2xmd5s
Boris Heyermann    (2022-04-05 19:28:11)
Price increases 8% (inflation rate x2), every 10 years</t>
        </r>
      </text>
    </comment>
    <comment ref="BF88" authorId="0" shapeId="0" xr:uid="{00000000-0006-0000-0400-00003C000000}">
      <text>
        <r>
          <rPr>
            <sz val="10"/>
            <color rgb="FF000000"/>
            <rFont val="Arial"/>
            <family val="2"/>
            <scheme val="minor"/>
          </rPr>
          <t>======
ID#AAAAX2xmd6g
Boris Heyermann    (2022-04-05 19:28:11)
Price increases 8% (inflation rate x2), every 10 years</t>
        </r>
      </text>
    </comment>
    <comment ref="BG88" authorId="0" shapeId="0" xr:uid="{00000000-0006-0000-0400-000053000000}">
      <text>
        <r>
          <rPr>
            <sz val="10"/>
            <color rgb="FF000000"/>
            <rFont val="Arial"/>
            <family val="2"/>
            <scheme val="minor"/>
          </rPr>
          <t>======
ID#AAAAX2xmd5A
Boris Heyermann    (2022-04-05 19:28:11)
Price increases 8% (inflation rate x2), every 10 years</t>
        </r>
      </text>
    </comment>
    <comment ref="BH88" authorId="0" shapeId="0" xr:uid="{00000000-0006-0000-0400-00000E000000}">
      <text>
        <r>
          <rPr>
            <sz val="10"/>
            <color rgb="FF000000"/>
            <rFont val="Arial"/>
            <family val="2"/>
            <scheme val="minor"/>
          </rPr>
          <t>======
ID#AAAAX2xmd9c
Boris Heyermann    (2022-04-05 19:28:11)
Price increases 8% (inflation rate x2), every 10 years</t>
        </r>
      </text>
    </comment>
    <comment ref="BI88" authorId="0" shapeId="0" xr:uid="{00000000-0006-0000-0400-00002C000000}">
      <text>
        <r>
          <rPr>
            <sz val="10"/>
            <color rgb="FF000000"/>
            <rFont val="Arial"/>
            <family val="2"/>
            <scheme val="minor"/>
          </rPr>
          <t>======
ID#AAAAX2xmd7g
Boris Heyermann    (2022-04-05 19:28:11)
Price increases 8% (inflation rate x2), every 10 years</t>
        </r>
      </text>
    </comment>
    <comment ref="BJ88" authorId="0" shapeId="0" xr:uid="{00000000-0006-0000-0400-000022000000}">
      <text>
        <r>
          <rPr>
            <sz val="10"/>
            <color rgb="FF000000"/>
            <rFont val="Arial"/>
            <family val="2"/>
            <scheme val="minor"/>
          </rPr>
          <t>======
ID#AAAAX2xmd8I
Boris Heyermann    (2022-04-05 19:28:11)
Price increases 8% (inflation rate x2), every 10 years</t>
        </r>
      </text>
    </comment>
    <comment ref="BK88" authorId="0" shapeId="0" xr:uid="{00000000-0006-0000-0400-000016000000}">
      <text>
        <r>
          <rPr>
            <sz val="10"/>
            <color rgb="FF000000"/>
            <rFont val="Arial"/>
            <family val="2"/>
            <scheme val="minor"/>
          </rPr>
          <t>======
ID#AAAAX2xmd84
Boris Heyermann    (2022-04-05 19:28:11)
Price increases 8% (inflation rate x2), every 10 years</t>
        </r>
      </text>
    </comment>
    <comment ref="BL88" authorId="0" shapeId="0" xr:uid="{00000000-0006-0000-0400-000006000000}">
      <text>
        <r>
          <rPr>
            <sz val="10"/>
            <color rgb="FF000000"/>
            <rFont val="Arial"/>
            <family val="2"/>
            <scheme val="minor"/>
          </rPr>
          <t>======
ID#AAAAX2xmd94
Boris Heyermann    (2022-04-05 19:28:11)
Price increases 8% (inflation rate x2), every 10 years</t>
        </r>
      </text>
    </comment>
    <comment ref="BM88" authorId="0" shapeId="0" xr:uid="{00000000-0006-0000-0400-00001D000000}">
      <text>
        <r>
          <rPr>
            <sz val="10"/>
            <color rgb="FF000000"/>
            <rFont val="Arial"/>
            <family val="2"/>
            <scheme val="minor"/>
          </rPr>
          <t>======
ID#AAAAX2xmd8g
Boris Heyermann    (2022-04-05 19:28:11)
Price increases 8% (inflation rate x2), every 10 years</t>
        </r>
      </text>
    </comment>
    <comment ref="BN88" authorId="0" shapeId="0" xr:uid="{00000000-0006-0000-0400-000036000000}">
      <text>
        <r>
          <rPr>
            <sz val="10"/>
            <color rgb="FF000000"/>
            <rFont val="Arial"/>
            <family val="2"/>
            <scheme val="minor"/>
          </rPr>
          <t>======
ID#AAAAX2xmd60
Boris Heyermann    (2022-04-05 19:28:11)
Price increases 8% (inflation rate x2), every 10 years</t>
        </r>
      </text>
    </comment>
    <comment ref="BO88" authorId="0" shapeId="0" xr:uid="{00000000-0006-0000-0400-00004D000000}">
      <text>
        <r>
          <rPr>
            <sz val="10"/>
            <color rgb="FF000000"/>
            <rFont val="Arial"/>
            <family val="2"/>
            <scheme val="minor"/>
          </rPr>
          <t>======
ID#AAAAX2xmd5Y
Boris Heyermann    (2022-04-05 19:28:11)
Price increases 8% (inflation rate x2), every 10 years</t>
        </r>
      </text>
    </comment>
    <comment ref="BP88" authorId="0" shapeId="0" xr:uid="{00000000-0006-0000-0400-00000D000000}">
      <text>
        <r>
          <rPr>
            <sz val="10"/>
            <color rgb="FF000000"/>
            <rFont val="Arial"/>
            <family val="2"/>
            <scheme val="minor"/>
          </rPr>
          <t>======
ID#AAAAX2xmd9g
Boris Heyermann    (2022-04-05 19:28:11)
Price increases 8% (inflation rate x2), every 10 years</t>
        </r>
      </text>
    </comment>
    <comment ref="BQ88" authorId="0" shapeId="0" xr:uid="{00000000-0006-0000-0400-00005D000000}">
      <text>
        <r>
          <rPr>
            <sz val="10"/>
            <color rgb="FF000000"/>
            <rFont val="Arial"/>
            <family val="2"/>
            <scheme val="minor"/>
          </rPr>
          <t>======
ID#AAAAX2xmd4Y
Boris Heyermann    (2022-04-05 19:28:11)
Price increases 8% (inflation rate x2), every 10 years</t>
        </r>
      </text>
    </comment>
    <comment ref="BR88" authorId="0" shapeId="0" xr:uid="{00000000-0006-0000-0400-000021000000}">
      <text>
        <r>
          <rPr>
            <sz val="10"/>
            <color rgb="FF000000"/>
            <rFont val="Arial"/>
            <family val="2"/>
            <scheme val="minor"/>
          </rPr>
          <t>======
ID#AAAAX2xmd8M
Boris Heyermann    (2022-04-05 19:28:11)
Price increases 8% (inflation rate x2), every 10 years</t>
        </r>
      </text>
    </comment>
    <comment ref="BS88" authorId="0" shapeId="0" xr:uid="{00000000-0006-0000-0400-00003F000000}">
      <text>
        <r>
          <rPr>
            <sz val="10"/>
            <color rgb="FF000000"/>
            <rFont val="Arial"/>
            <family val="2"/>
            <scheme val="minor"/>
          </rPr>
          <t>======
ID#AAAAX2xmd6Q
Boris Heyermann    (2022-04-05 19:28:11)
Price increases 8% (inflation rate x2), every 10 years</t>
        </r>
      </text>
    </comment>
    <comment ref="BT88" authorId="0" shapeId="0" xr:uid="{00000000-0006-0000-0400-000069000000}">
      <text>
        <r>
          <rPr>
            <sz val="10"/>
            <color rgb="FF000000"/>
            <rFont val="Arial"/>
            <family val="2"/>
            <scheme val="minor"/>
          </rPr>
          <t>======
ID#AAAAX2xmd3g
Boris Heyermann    (2022-04-05 19:28:11)
Price increases 8% (inflation rate x2), every 10 years</t>
        </r>
      </text>
    </comment>
    <comment ref="BU88" authorId="0" shapeId="0" xr:uid="{00000000-0006-0000-0400-00002E000000}">
      <text>
        <r>
          <rPr>
            <sz val="10"/>
            <color rgb="FF000000"/>
            <rFont val="Arial"/>
            <family val="2"/>
            <scheme val="minor"/>
          </rPr>
          <t>======
ID#AAAAX2xmd7Y
Boris Heyermann    (2022-04-05 19:28:11)
Price increases 8% (inflation rate x2), every 10 years</t>
        </r>
      </text>
    </comment>
    <comment ref="BV88" authorId="0" shapeId="0" xr:uid="{00000000-0006-0000-0400-00004C000000}">
      <text>
        <r>
          <rPr>
            <sz val="10"/>
            <color rgb="FF000000"/>
            <rFont val="Arial"/>
            <family val="2"/>
            <scheme val="minor"/>
          </rPr>
          <t>======
ID#AAAAX2xmd5g
Boris Heyermann    (2022-04-05 19:28:11)
Price increases 8% (inflation rate x2), every 10 years</t>
        </r>
      </text>
    </comment>
    <comment ref="BW88" authorId="0" shapeId="0" xr:uid="{00000000-0006-0000-0400-00003A000000}">
      <text>
        <r>
          <rPr>
            <sz val="10"/>
            <color rgb="FF000000"/>
            <rFont val="Arial"/>
            <family val="2"/>
            <scheme val="minor"/>
          </rPr>
          <t>======
ID#AAAAX2xmd6o
Boris Heyermann    (2022-04-05 19:28:11)
Price increases 8% (inflation rate x2), every 10 years</t>
        </r>
      </text>
    </comment>
    <comment ref="BX88" authorId="0" shapeId="0" xr:uid="{00000000-0006-0000-0400-000065000000}">
      <text>
        <r>
          <rPr>
            <sz val="10"/>
            <color rgb="FF000000"/>
            <rFont val="Arial"/>
            <family val="2"/>
            <scheme val="minor"/>
          </rPr>
          <t>======
ID#AAAAX2xmd30
Boris Heyermann    (2022-04-05 19:28:11)
Price increases 8% (inflation rate x2), every 10 years</t>
        </r>
      </text>
    </comment>
    <comment ref="BY88" authorId="0" shapeId="0" xr:uid="{00000000-0006-0000-0400-000061000000}">
      <text>
        <r>
          <rPr>
            <sz val="10"/>
            <color rgb="FF000000"/>
            <rFont val="Arial"/>
            <family val="2"/>
            <scheme val="minor"/>
          </rPr>
          <t>======
ID#AAAAX2xmd4I
Boris Heyermann    (2022-04-05 19:28:11)
Price increases 8% (inflation rate x2), every 10 years</t>
        </r>
      </text>
    </comment>
    <comment ref="BZ88" authorId="0" shapeId="0" xr:uid="{00000000-0006-0000-0400-00005E000000}">
      <text>
        <r>
          <rPr>
            <sz val="10"/>
            <color rgb="FF000000"/>
            <rFont val="Arial"/>
            <family val="2"/>
            <scheme val="minor"/>
          </rPr>
          <t>======
ID#AAAAX2xmd4U
Boris Heyermann    (2022-04-05 19:28:11)
Price increases 8% (inflation rate x2), every 10 years</t>
        </r>
      </text>
    </comment>
    <comment ref="CA88" authorId="0" shapeId="0" xr:uid="{00000000-0006-0000-0400-000011000000}">
      <text>
        <r>
          <rPr>
            <sz val="10"/>
            <color rgb="FF000000"/>
            <rFont val="Arial"/>
            <family val="2"/>
            <scheme val="minor"/>
          </rPr>
          <t>======
ID#AAAAX2xmd9Q
Boris Heyermann    (2022-04-05 19:28:11)
Price increases 8% (inflation rate x2), every 10 years</t>
        </r>
      </text>
    </comment>
    <comment ref="CB88" authorId="0" shapeId="0" xr:uid="{00000000-0006-0000-0400-00004F000000}">
      <text>
        <r>
          <rPr>
            <sz val="10"/>
            <color rgb="FF000000"/>
            <rFont val="Arial"/>
            <family val="2"/>
            <scheme val="minor"/>
          </rPr>
          <t>======
ID#AAAAX2xmd5U
Boris Heyermann    (2022-04-05 19:28:11)
Price increases 8% (inflation rate x2), every 10 years</t>
        </r>
      </text>
    </comment>
    <comment ref="CC88" authorId="0" shapeId="0" xr:uid="{00000000-0006-0000-0400-00000B000000}">
      <text>
        <r>
          <rPr>
            <sz val="10"/>
            <color rgb="FF000000"/>
            <rFont val="Arial"/>
            <family val="2"/>
            <scheme val="minor"/>
          </rPr>
          <t>======
ID#AAAAX2xmd9s
Boris Heyermann    (2022-04-05 19:28:11)
Price increases 8% (inflation rate x2), every 10 years</t>
        </r>
      </text>
    </comment>
    <comment ref="CD88" authorId="0" shapeId="0" xr:uid="{00000000-0006-0000-0400-000020000000}">
      <text>
        <r>
          <rPr>
            <sz val="10"/>
            <color rgb="FF000000"/>
            <rFont val="Arial"/>
            <family val="2"/>
            <scheme val="minor"/>
          </rPr>
          <t>======
ID#AAAAX2xmd8Q
Boris Heyermann    (2022-04-05 19:28:11)
Price increases 8% (inflation rate x2), every 10 years</t>
        </r>
      </text>
    </comment>
    <comment ref="CE88" authorId="0" shapeId="0" xr:uid="{00000000-0006-0000-0400-000055000000}">
      <text>
        <r>
          <rPr>
            <sz val="10"/>
            <color rgb="FF000000"/>
            <rFont val="Arial"/>
            <family val="2"/>
            <scheme val="minor"/>
          </rPr>
          <t>======
ID#AAAAX2xmd44
Boris Heyermann    (2022-04-05 19:28:11)
Price increases 8% (inflation rate x2), every 10 years</t>
        </r>
      </text>
    </comment>
    <comment ref="CF88" authorId="0" shapeId="0" xr:uid="{00000000-0006-0000-0400-00004E000000}">
      <text>
        <r>
          <rPr>
            <sz val="10"/>
            <color rgb="FF000000"/>
            <rFont val="Arial"/>
            <family val="2"/>
            <scheme val="minor"/>
          </rPr>
          <t>======
ID#AAAAX2xmd5Q
Boris Heyermann    (2022-04-05 19:28:11)
Price increases 8% (inflation rate x2), every 10 years</t>
        </r>
      </text>
    </comment>
    <comment ref="CG88" authorId="0" shapeId="0" xr:uid="{00000000-0006-0000-0400-00001F000000}">
      <text>
        <r>
          <rPr>
            <sz val="10"/>
            <color rgb="FF000000"/>
            <rFont val="Arial"/>
            <family val="2"/>
            <scheme val="minor"/>
          </rPr>
          <t>======
ID#AAAAX2xmd8Y
Boris Heyermann    (2022-04-05 19:28:11)
Price increases 8% (inflation rate x2), every 10 years</t>
        </r>
      </text>
    </comment>
    <comment ref="CH88" authorId="0" shapeId="0" xr:uid="{00000000-0006-0000-0400-000056000000}">
      <text>
        <r>
          <rPr>
            <sz val="10"/>
            <color rgb="FF000000"/>
            <rFont val="Arial"/>
            <family val="2"/>
            <scheme val="minor"/>
          </rPr>
          <t>======
ID#AAAAX2xmd40
Boris Heyermann    (2022-04-05 19:28:11)
Price increases 8% (inflation rate x2), every 10 years</t>
        </r>
      </text>
    </comment>
    <comment ref="CI88" authorId="0" shapeId="0" xr:uid="{00000000-0006-0000-0400-000059000000}">
      <text>
        <r>
          <rPr>
            <sz val="10"/>
            <color rgb="FF000000"/>
            <rFont val="Arial"/>
            <family val="2"/>
            <scheme val="minor"/>
          </rPr>
          <t>======
ID#AAAAX2xmd4o
Boris Heyermann    (2022-04-05 19:28:11)
Price increases 8% (inflation rate x2), every 10 years</t>
        </r>
      </text>
    </comment>
    <comment ref="CJ88" authorId="0" shapeId="0" xr:uid="{00000000-0006-0000-0400-000034000000}">
      <text>
        <r>
          <rPr>
            <sz val="10"/>
            <color rgb="FF000000"/>
            <rFont val="Arial"/>
            <family val="2"/>
            <scheme val="minor"/>
          </rPr>
          <t>======
ID#AAAAX2xmd68
Boris Heyermann    (2022-04-05 19:28:11)
Price increases 8% (inflation rate x2), every 10 years</t>
        </r>
      </text>
    </comment>
    <comment ref="CK88" authorId="0" shapeId="0" xr:uid="{00000000-0006-0000-0400-000028000000}">
      <text>
        <r>
          <rPr>
            <sz val="10"/>
            <color rgb="FF000000"/>
            <rFont val="Arial"/>
            <family val="2"/>
            <scheme val="minor"/>
          </rPr>
          <t>======
ID#AAAAX2xmd7w
Boris Heyermann    (2022-04-05 19:28:11)
Price increases 8% (inflation rate x2), every 10 years</t>
        </r>
      </text>
    </comment>
    <comment ref="CL88" authorId="0" shapeId="0" xr:uid="{00000000-0006-0000-0400-000037000000}">
      <text>
        <r>
          <rPr>
            <sz val="10"/>
            <color rgb="FF000000"/>
            <rFont val="Arial"/>
            <family val="2"/>
            <scheme val="minor"/>
          </rPr>
          <t>======
ID#AAAAX2xmd64
Boris Heyermann    (2022-04-05 19:28:11)
Price increases 8% (inflation rate x2), every 10 years</t>
        </r>
      </text>
    </comment>
    <comment ref="CM88" authorId="0" shapeId="0" xr:uid="{00000000-0006-0000-0400-000050000000}">
      <text>
        <r>
          <rPr>
            <sz val="10"/>
            <color rgb="FF000000"/>
            <rFont val="Arial"/>
            <family val="2"/>
            <scheme val="minor"/>
          </rPr>
          <t>======
ID#AAAAX2xmd5M
Boris Heyermann    (2022-04-05 19:28:11)
Price increases 8% (inflation rate x2), every 10 years</t>
        </r>
      </text>
    </comment>
    <comment ref="CN88" authorId="0" shapeId="0" xr:uid="{00000000-0006-0000-0400-000025000000}">
      <text>
        <r>
          <rPr>
            <sz val="10"/>
            <color rgb="FF000000"/>
            <rFont val="Arial"/>
            <family val="2"/>
            <scheme val="minor"/>
          </rPr>
          <t>======
ID#AAAAX2xmd78
Boris Heyermann    (2022-04-05 19:28:11)
Price increases 8% (inflation rate x2), every 10 years</t>
        </r>
      </text>
    </comment>
    <comment ref="CO88" authorId="0" shapeId="0" xr:uid="{00000000-0006-0000-0400-000043000000}">
      <text>
        <r>
          <rPr>
            <sz val="10"/>
            <color rgb="FF000000"/>
            <rFont val="Arial"/>
            <family val="2"/>
            <scheme val="minor"/>
          </rPr>
          <t>======
ID#AAAAX2xmd6E
Boris Heyermann    (2022-04-05 19:28:11)
Price increases 8% (inflation rate x2), every 10 years</t>
        </r>
      </text>
    </comment>
    <comment ref="CP88" authorId="0" shapeId="0" xr:uid="{00000000-0006-0000-0400-000042000000}">
      <text>
        <r>
          <rPr>
            <sz val="10"/>
            <color rgb="FF000000"/>
            <rFont val="Arial"/>
            <family val="2"/>
            <scheme val="minor"/>
          </rPr>
          <t>======
ID#AAAAX2xmd6A
Boris Heyermann    (2022-04-05 19:28:11)
Price increases 8% (inflation rate x2), every 10 years</t>
        </r>
      </text>
    </comment>
    <comment ref="CQ88" authorId="0" shapeId="0" xr:uid="{00000000-0006-0000-0400-000014000000}">
      <text>
        <r>
          <rPr>
            <sz val="10"/>
            <color rgb="FF000000"/>
            <rFont val="Arial"/>
            <family val="2"/>
            <scheme val="minor"/>
          </rPr>
          <t>======
ID#AAAAX2xmd9E
Boris Heyermann    (2022-04-05 19:28:11)
Price increases 8% (inflation rate x2), every 10 years</t>
        </r>
      </text>
    </comment>
    <comment ref="CR88" authorId="0" shapeId="0" xr:uid="{00000000-0006-0000-0400-00004B000000}">
      <text>
        <r>
          <rPr>
            <sz val="10"/>
            <color rgb="FF000000"/>
            <rFont val="Arial"/>
            <family val="2"/>
            <scheme val="minor"/>
          </rPr>
          <t>======
ID#AAAAX2xmd5c
Boris Heyermann    (2022-04-05 19:28:11)
Price increases 8% (inflation rate x2), every 10 years</t>
        </r>
      </text>
    </comment>
    <comment ref="CS88" authorId="0" shapeId="0" xr:uid="{00000000-0006-0000-0400-000008000000}">
      <text>
        <r>
          <rPr>
            <sz val="10"/>
            <color rgb="FF000000"/>
            <rFont val="Arial"/>
            <family val="2"/>
            <scheme val="minor"/>
          </rPr>
          <t>======
ID#AAAAX2xmd90
Boris Heyermann    (2022-04-05 19:28:11)
Price increases 8% (inflation rate x2), every 10 years</t>
        </r>
      </text>
    </comment>
    <comment ref="CT88" authorId="0" shapeId="0" xr:uid="{00000000-0006-0000-0400-000062000000}">
      <text>
        <r>
          <rPr>
            <sz val="10"/>
            <color rgb="FF000000"/>
            <rFont val="Arial"/>
            <family val="2"/>
            <scheme val="minor"/>
          </rPr>
          <t>======
ID#AAAAX2xmd4E
Boris Heyermann    (2022-04-05 19:28:11)
Price increases 8% (inflation rate x2), every 10 years</t>
        </r>
      </text>
    </comment>
    <comment ref="CU88" authorId="0" shapeId="0" xr:uid="{00000000-0006-0000-0400-000048000000}">
      <text>
        <r>
          <rPr>
            <sz val="10"/>
            <color rgb="FF000000"/>
            <rFont val="Arial"/>
            <family val="2"/>
            <scheme val="minor"/>
          </rPr>
          <t>======
ID#AAAAX2xmd5o
Boris Heyermann    (2022-04-05 19:28:11)
Price increases 8% (inflation rate x2), every 10 years</t>
        </r>
      </text>
    </comment>
    <comment ref="CV88" authorId="0" shapeId="0" xr:uid="{00000000-0006-0000-0400-000005000000}">
      <text>
        <r>
          <rPr>
            <sz val="10"/>
            <color rgb="FF000000"/>
            <rFont val="Arial"/>
            <family val="2"/>
            <scheme val="minor"/>
          </rPr>
          <t>======
ID#AAAAX2xmd-E
Boris Heyermann    (2022-04-05 19:28:11)
Price increases 8% (inflation rate x2), every 10 years</t>
        </r>
      </text>
    </comment>
    <comment ref="CW88" authorId="0" shapeId="0" xr:uid="{00000000-0006-0000-0400-000010000000}">
      <text>
        <r>
          <rPr>
            <sz val="10"/>
            <color rgb="FF000000"/>
            <rFont val="Arial"/>
            <family val="2"/>
            <scheme val="minor"/>
          </rPr>
          <t>======
ID#AAAAX2xmd9U
Boris Heyermann    (2022-04-05 19:28:11)
Price increases 8% (inflation rate x2), every 10 years</t>
        </r>
      </text>
    </comment>
    <comment ref="CX88" authorId="0" shapeId="0" xr:uid="{00000000-0006-0000-0400-000047000000}">
      <text>
        <r>
          <rPr>
            <sz val="10"/>
            <color rgb="FF000000"/>
            <rFont val="Arial"/>
            <family val="2"/>
            <scheme val="minor"/>
          </rPr>
          <t>======
ID#AAAAX2xmd5w
Boris Heyermann    (2022-04-05 19:28:11)
Price increases 8% (inflation rate x2), every 10 years</t>
        </r>
      </text>
    </comment>
    <comment ref="CY88" authorId="0" shapeId="0" xr:uid="{00000000-0006-0000-0400-00001A000000}">
      <text>
        <r>
          <rPr>
            <sz val="10"/>
            <color rgb="FF000000"/>
            <rFont val="Arial"/>
            <family val="2"/>
            <scheme val="minor"/>
          </rPr>
          <t>======
ID#AAAAX2xmd8w
Boris Heyermann    (2022-04-05 19:28:11)
Price increases 8% (inflation rate x2), every 10 years</t>
        </r>
      </text>
    </comment>
    <comment ref="CZ88" authorId="0" shapeId="0" xr:uid="{00000000-0006-0000-0400-000058000000}">
      <text>
        <r>
          <rPr>
            <sz val="10"/>
            <color rgb="FF000000"/>
            <rFont val="Arial"/>
            <family val="2"/>
            <scheme val="minor"/>
          </rPr>
          <t>======
ID#AAAAX2xmd4s
Boris Heyermann    (2022-04-05 19:28:11)
Price increases 8% (inflation rate x2), every 10 years</t>
        </r>
      </text>
    </comment>
    <comment ref="DA88" authorId="0" shapeId="0" xr:uid="{00000000-0006-0000-0400-00002D000000}">
      <text>
        <r>
          <rPr>
            <sz val="10"/>
            <color rgb="FF000000"/>
            <rFont val="Arial"/>
            <family val="2"/>
            <scheme val="minor"/>
          </rPr>
          <t>======
ID#AAAAX2xmd7c
Boris Heyermann    (2022-04-05 19:28:11)
Price increases 8% (inflation rate x2), every 10 years</t>
        </r>
      </text>
    </comment>
    <comment ref="DB88" authorId="0" shapeId="0" xr:uid="{00000000-0006-0000-0400-000018000000}">
      <text>
        <r>
          <rPr>
            <sz val="10"/>
            <color rgb="FF000000"/>
            <rFont val="Arial"/>
            <family val="2"/>
            <scheme val="minor"/>
          </rPr>
          <t>======
ID#AAAAX2xmd80
Boris Heyermann    (2022-04-05 19:28:11)
Price increases 8% (inflation rate x2), every 10 years</t>
        </r>
      </text>
    </comment>
    <comment ref="DC88" authorId="0" shapeId="0" xr:uid="{00000000-0006-0000-0400-000013000000}">
      <text>
        <r>
          <rPr>
            <sz val="10"/>
            <color rgb="FF000000"/>
            <rFont val="Arial"/>
            <family val="2"/>
            <scheme val="minor"/>
          </rPr>
          <t>======
ID#AAAAX2xmd9I
Boris Heyermann    (2022-04-05 19:28:11)
Price increases 8% (inflation rate x2), every 10 years</t>
        </r>
      </text>
    </comment>
    <comment ref="DD88" authorId="0" shapeId="0" xr:uid="{00000000-0006-0000-0400-00003D000000}">
      <text>
        <r>
          <rPr>
            <sz val="10"/>
            <color rgb="FF000000"/>
            <rFont val="Arial"/>
            <family val="2"/>
            <scheme val="minor"/>
          </rPr>
          <t>======
ID#AAAAX2xmd6Y
Boris Heyermann    (2022-04-05 19:28:11)
Price increases 8% (inflation rate x2), every 10 years</t>
        </r>
      </text>
    </comment>
    <comment ref="DE88" authorId="0" shapeId="0" xr:uid="{00000000-0006-0000-0400-000002000000}">
      <text>
        <r>
          <rPr>
            <sz val="10"/>
            <color rgb="FF000000"/>
            <rFont val="Arial"/>
            <family val="2"/>
            <scheme val="minor"/>
          </rPr>
          <t>======
ID#AAAAX2xmd-Q
Boris Heyermann    (2022-04-05 19:28:11)
Price increases 8% (inflation rate x2), every 10 years</t>
        </r>
      </text>
    </comment>
    <comment ref="C98" authorId="0" shapeId="0" xr:uid="{00000000-0006-0000-0400-00006F000000}">
      <text>
        <r>
          <rPr>
            <sz val="10"/>
            <color rgb="FF000000"/>
            <rFont val="Arial"/>
            <family val="2"/>
            <scheme val="minor"/>
          </rPr>
          <t>======
ID#AAAAUu_Aalk
    (2022-02-15 22:20:30)
Staff time refers to hours of work-- it's related to average wage
	-Samuel Otto Kraus</t>
        </r>
      </text>
    </comment>
    <comment ref="H104" authorId="0" shapeId="0" xr:uid="{00000000-0006-0000-0400-000012000000}">
      <text>
        <r>
          <rPr>
            <sz val="10"/>
            <color rgb="FF000000"/>
            <rFont val="Arial"/>
            <family val="2"/>
            <scheme val="minor"/>
          </rPr>
          <t>======
ID#AAAAX2xmd9M
Boris Heyermann    (2022-04-05 19:28:11)
Not affected by inflation, it incrceases at a different (higher!) rate</t>
        </r>
      </text>
    </comment>
    <comment ref="G118" authorId="0" shapeId="0" xr:uid="{00000000-0006-0000-0400-000040000000}">
      <text>
        <r>
          <rPr>
            <sz val="10"/>
            <color rgb="FF000000"/>
            <rFont val="Arial"/>
            <family val="2"/>
          </rPr>
          <t xml:space="preserve">======
</t>
        </r>
        <r>
          <rPr>
            <sz val="10"/>
            <color rgb="FF000000"/>
            <rFont val="Arial"/>
            <family val="2"/>
          </rPr>
          <t xml:space="preserve">ID#AAAAX2xmd6I
</t>
        </r>
        <r>
          <rPr>
            <sz val="10"/>
            <color rgb="FF000000"/>
            <rFont val="Arial"/>
            <family val="2"/>
          </rPr>
          <t xml:space="preserve">Boris Heyermann    (2022-04-05 19:28:11)
</t>
        </r>
        <r>
          <rPr>
            <sz val="10"/>
            <color rgb="FF000000"/>
            <rFont val="Arial"/>
            <family val="2"/>
          </rPr>
          <t xml:space="preserve">Does not make sense to increase probability of damage by 11% each year
</t>
        </r>
        <r>
          <rPr>
            <sz val="10"/>
            <color rgb="FF000000"/>
            <rFont val="Arial"/>
            <family val="2"/>
          </rPr>
          <t>2% for the first 25 years, then flat</t>
        </r>
      </text>
    </comment>
    <comment ref="B122" authorId="0" shapeId="0" xr:uid="{F40CD95C-6DF6-0846-9E92-C214AEC6A3FE}">
      <text>
        <r>
          <rPr>
            <sz val="10"/>
            <color rgb="FF000000"/>
            <rFont val="Arial"/>
            <family val="2"/>
            <scheme val="minor"/>
          </rPr>
          <t>======
ID#AAAAUu_AalE
tc={7DC740C1-F6DA-3647-A01D-B41C57488336}    (2022-02-15 22:20:30)
[Threaded comment]
Your version of Excel allows you to read this threaded comment; however, any edits to it will get removed if the file is opened in a newer version of Excel. Learn more: https://go.microsoft.com/fwlink/?linkid=870924
Comment:
    Low NPV was mainly caused by this. Wrong assumption in later years</t>
        </r>
      </text>
    </comment>
    <comment ref="D122" authorId="0" shapeId="0" xr:uid="{C6AF1D22-5957-5B49-8BCD-A9F612B80007}">
      <text>
        <r>
          <rPr>
            <sz val="10"/>
            <color rgb="FF000000"/>
            <rFont val="Arial"/>
            <family val="2"/>
          </rPr>
          <t xml:space="preserve">======
</t>
        </r>
        <r>
          <rPr>
            <sz val="10"/>
            <color rgb="FF000000"/>
            <rFont val="Arial"/>
            <family val="2"/>
          </rPr>
          <t xml:space="preserve">ID#AAAAUu_Aalg
</t>
        </r>
        <r>
          <rPr>
            <sz val="10"/>
            <color rgb="FF000000"/>
            <rFont val="Arial"/>
            <family val="2"/>
          </rPr>
          <t xml:space="preserve">    (2022-02-15 22:20:30)
</t>
        </r>
        <r>
          <rPr>
            <sz val="10"/>
            <color rgb="FF000000"/>
            <rFont val="Arial"/>
            <family val="2"/>
          </rPr>
          <t xml:space="preserve">+sok2109@columbia.edu Sam could you fill out units and sources?
</t>
        </r>
        <r>
          <rPr>
            <sz val="10"/>
            <color rgb="FF000000"/>
            <rFont val="Arial"/>
            <family val="2"/>
          </rPr>
          <t xml:space="preserve">	-Haeun Kim</t>
        </r>
      </text>
    </comment>
    <comment ref="H129" authorId="0" shapeId="0" xr:uid="{4C72F4C9-58AB-B842-A4C4-054B6D363EF7}">
      <text>
        <r>
          <rPr>
            <sz val="10"/>
            <color rgb="FF000000"/>
            <rFont val="Arial"/>
            <family val="2"/>
          </rPr>
          <t xml:space="preserve">======
</t>
        </r>
        <r>
          <rPr>
            <sz val="10"/>
            <color rgb="FF000000"/>
            <rFont val="Arial"/>
            <family val="2"/>
          </rPr>
          <t xml:space="preserve">ID#AAAAX2xmd70
</t>
        </r>
        <r>
          <rPr>
            <sz val="10"/>
            <color rgb="FF000000"/>
            <rFont val="Arial"/>
            <family val="2"/>
          </rPr>
          <t xml:space="preserve">Boris Heyermann    (2022-04-05 19:28:11)
</t>
        </r>
        <r>
          <rPr>
            <sz val="10"/>
            <color rgb="FF000000"/>
            <rFont val="Arial"/>
            <family val="2"/>
          </rPr>
          <t>Increase of 11% per year for the next 25 years, then flat</t>
        </r>
      </text>
    </comment>
  </commentList>
  <extLst>
    <ext xmlns:r="http://schemas.openxmlformats.org/officeDocument/2006/relationships" uri="GoogleSheetsCustomDataVersion1">
      <go:sheetsCustomData xmlns:go="http://customooxmlschemas.google.com/" r:id="rId1" roundtripDataSignature="AMtx7mgyE040qEZG+QfOVEwKHXhefofUb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H32" authorId="0" shapeId="0" xr:uid="{00000000-0006-0000-0500-000001000000}">
      <text>
        <r>
          <rPr>
            <sz val="10"/>
            <color rgb="FF000000"/>
            <rFont val="Arial"/>
            <family val="2"/>
            <scheme val="minor"/>
          </rPr>
          <t>======
ID#AAAAX2xmd6U
Boris Heyermann    (2022-04-05 19:28:11)
Increases 11% per year for 25 years, then flat</t>
        </r>
      </text>
    </comment>
    <comment ref="G71" authorId="0" shapeId="0" xr:uid="{00000000-0006-0000-0500-000003000000}">
      <text>
        <r>
          <rPr>
            <sz val="10"/>
            <color rgb="FF000000"/>
            <rFont val="Arial"/>
            <family val="2"/>
            <scheme val="minor"/>
          </rPr>
          <t>======
ID#AAAAUu_AalI
    (2022-02-15 22:20:30)
I assumed City give 25% discount to ConEd for (1) participating Utilidor; (2) ConEd causing less troubles.
	-Haeun Kim
--&gt; No discount, inflation rate</t>
        </r>
      </text>
    </comment>
    <comment ref="H71" authorId="0" shapeId="0" xr:uid="{00000000-0006-0000-0500-000002000000}">
      <text>
        <r>
          <rPr>
            <sz val="10"/>
            <color rgb="FF000000"/>
            <rFont val="Arial"/>
            <family val="2"/>
            <scheme val="minor"/>
          </rPr>
          <t>======
ID#AAAAVnRw7dQ
Boris Heyermann    (2022-02-18 00:16:49)
Took out the discount of 50%</t>
        </r>
      </text>
    </comment>
    <comment ref="H121" authorId="0" shapeId="0" xr:uid="{50957B1E-9F36-5E4E-8B36-80CF73763B7B}">
      <text>
        <r>
          <rPr>
            <sz val="10"/>
            <color rgb="FF000000"/>
            <rFont val="Arial"/>
            <family val="2"/>
            <scheme val="minor"/>
          </rPr>
          <t>======
ID#AAAAX2xmd6U
Boris Heyermann    (2022-04-05 19:28:11)
Increases 11% per year for 25 years, then flat</t>
        </r>
      </text>
    </comment>
  </commentList>
  <extLst>
    <ext xmlns:r="http://schemas.openxmlformats.org/officeDocument/2006/relationships" uri="GoogleSheetsCustomDataVersion1">
      <go:sheetsCustomData xmlns:go="http://customooxmlschemas.google.com/" r:id="rId1" roundtripDataSignature="AMtx7mhEQDYBWlR3PE1jQFWz35gy6qNzRg=="/>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9" authorId="0" shapeId="0" xr:uid="{00000000-0006-0000-0600-000001000000}">
      <text>
        <r>
          <rPr>
            <sz val="10"/>
            <color rgb="FF000000"/>
            <rFont val="Arial"/>
            <family val="2"/>
            <scheme val="minor"/>
          </rPr>
          <t>======
ID#AAAAUu_AalU
tc={1B54B5A8-8E90-2146-B80E-45D64A9468FE}    (2022-02-15 22:20:30)
[Threaded comment]
Your version of Excel allows you to read this threaded comment; however, any edits to it will get removed if the file is opened in a newer version of Excel. Learn more: https://go.microsoft.com/fwlink/?linkid=870924
Comment:
    Maintenance cost should consist of salary of employees, electricity &amp; repair etc.
Reply:
    If 100% is the total cost of the utilidor (after the doubling above), moving and maintaining services during construction probably represents 40-50%, and reinstalling or moving utilities into the utilidor could be 30-40%, with the cost of the utilidor in the order of 10-20%.</t>
        </r>
      </text>
    </comment>
    <comment ref="A17" authorId="0" shapeId="0" xr:uid="{00000000-0006-0000-0600-000002000000}">
      <text>
        <r>
          <rPr>
            <sz val="10"/>
            <color rgb="FF000000"/>
            <rFont val="Arial"/>
            <family val="2"/>
            <scheme val="minor"/>
          </rPr>
          <t>======
ID#AAAAUu_AalQ
tc={39C3E726-4479-9B4C-AAEE-7DC373AAB60A}    (2022-02-15 22:20:30)
[Threaded comment]
Your version of Excel allows you to read this threaded comment; however, any edits to it will get removed if the file is opened in a newer version of Excel. Learn more: https://go.microsoft.com/fwlink/?linkid=870924
Comment:
    The current model has smart infrastructure. May need ICT team to do more research and fill the number</t>
        </r>
      </text>
    </comment>
  </commentList>
  <extLst>
    <ext xmlns:r="http://schemas.openxmlformats.org/officeDocument/2006/relationships" uri="GoogleSheetsCustomDataVersion1">
      <go:sheetsCustomData xmlns:go="http://customooxmlschemas.google.com/" r:id="rId1" roundtripDataSignature="AMtx7mglZKrLonj5bpNt4pOSziCv9tKGMg=="/>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D17" authorId="0" shapeId="0" xr:uid="{00000000-0006-0000-0700-000002000000}">
      <text>
        <r>
          <rPr>
            <sz val="10"/>
            <color rgb="FF000000"/>
            <rFont val="Arial"/>
            <family val="2"/>
            <scheme val="minor"/>
          </rPr>
          <t>======
ID#AAAAUu_AalY
tc={5EF82714-0F6B-9A41-9169-482897B91439}    (2022-02-15 22:20:30)
[Threaded comment]
Your version of Excel allows you to read this threaded comment; however, any edits to it will get removed if the file is opened in a newer version of Excel. Learn more: https://go.microsoft.com/fwlink/?linkid=870924
Comment:
    the length of the Case Study Project may be only 1500 linear feet—Utilidor group
--&gt; Changed from 1821 to 1500</t>
        </r>
      </text>
    </comment>
    <comment ref="B24" authorId="0" shapeId="0" xr:uid="{00000000-0006-0000-0700-000003000000}">
      <text>
        <r>
          <rPr>
            <sz val="10"/>
            <color rgb="FF000000"/>
            <rFont val="Arial"/>
            <family val="2"/>
            <scheme val="minor"/>
          </rPr>
          <t>======
ID#AAAAUu_AalM
tc={9DFF6A22-06C4-3549-B564-32AF07240F8F}    (2022-02-15 22:20:30)
[Threaded comment]
Your version of Excel allows you to read this threaded comment; however, any edits to it will get removed if the file is opened in a newer version of Excel. Learn more: https://go.microsoft.com/fwlink/?linkid=870924
Comment:
    we changed it from 0.04 to 0.02 in the Summary</t>
        </r>
      </text>
    </comment>
    <comment ref="A73" authorId="0" shapeId="0" xr:uid="{00000000-0006-0000-0700-000001000000}">
      <text>
        <r>
          <rPr>
            <sz val="10"/>
            <color rgb="FF000000"/>
            <rFont val="Arial"/>
            <family val="2"/>
            <scheme val="minor"/>
          </rPr>
          <t>======
ID#AAAAUu_Aalc
    (2022-02-15 22:20:30)
+meb2302@columbia.edu  thought this might be helpful. I cited some of the tables which have cost data relating to transportation/traffic.
	-Samuel Otto Kraus
Thanks Sam! I am working on traveling public!
	-Daniela Garcia Santoyo</t>
        </r>
      </text>
    </comment>
  </commentList>
  <extLst>
    <ext xmlns:r="http://schemas.openxmlformats.org/officeDocument/2006/relationships" uri="GoogleSheetsCustomDataVersion1">
      <go:sheetsCustomData xmlns:go="http://customooxmlschemas.google.com/" r:id="rId1" roundtripDataSignature="AMtx7mhmjVyRJf7xS7ZUpowSsxfcMhPbyw=="/>
    </ext>
  </extLst>
</comments>
</file>

<file path=xl/sharedStrings.xml><?xml version="1.0" encoding="utf-8"?>
<sst xmlns="http://schemas.openxmlformats.org/spreadsheetml/2006/main" count="1251" uniqueCount="586">
  <si>
    <t>Key Assumption</t>
  </si>
  <si>
    <t>Discount Rate</t>
  </si>
  <si>
    <t>Number of Street Cuts (% of Total Number of Utility Street Cut Permits on the Case Study Street</t>
  </si>
  <si>
    <t>Cost of construction (% of current estimation)</t>
  </si>
  <si>
    <t>Maintenance cost for Utilidor (% of Utilidor construction estimation)</t>
  </si>
  <si>
    <t>Inflation Rate</t>
  </si>
  <si>
    <t>Fees / Savings</t>
  </si>
  <si>
    <t>Trenching cost per foot</t>
  </si>
  <si>
    <t>Bond Term</t>
  </si>
  <si>
    <t>2nd Bond Term</t>
  </si>
  <si>
    <t>Brief Summary</t>
  </si>
  <si>
    <t>Project Life</t>
  </si>
  <si>
    <t>Year</t>
  </si>
  <si>
    <t>COUNTERFACTUAL</t>
  </si>
  <si>
    <t>NPV</t>
  </si>
  <si>
    <t>NYC Governments (Counterfactual)</t>
  </si>
  <si>
    <t>Utilities (Counterfactual)</t>
  </si>
  <si>
    <t>NPV of counterfactual</t>
  </si>
  <si>
    <t>MODEL</t>
  </si>
  <si>
    <t>NYC Governments (Model)</t>
  </si>
  <si>
    <t>Utilities</t>
  </si>
  <si>
    <t>NPV subtotal for Standing</t>
  </si>
  <si>
    <t>1. Construction cost</t>
  </si>
  <si>
    <t>2. Transportation cost</t>
  </si>
  <si>
    <t>3. Relocating utility cost</t>
  </si>
  <si>
    <t>4. Installation cost</t>
  </si>
  <si>
    <t>5. Resurfacing and refilling cost</t>
  </si>
  <si>
    <t>6. Operation &amp; Maintenance cost</t>
  </si>
  <si>
    <t>7. Debt Service cost</t>
  </si>
  <si>
    <t>NPV subtotal for Utilidor Construction, O&amp;M</t>
  </si>
  <si>
    <t>NPV of model</t>
  </si>
  <si>
    <t>Evol. Of NVP Counterfactual</t>
  </si>
  <si>
    <t>Evol. Of NVP Model</t>
  </si>
  <si>
    <t>ABS Difference</t>
  </si>
  <si>
    <t>Standing Summary</t>
  </si>
  <si>
    <t>Standing</t>
  </si>
  <si>
    <t>Cost Cagetory</t>
  </si>
  <si>
    <t>PV: Counterfactual</t>
  </si>
  <si>
    <t>%</t>
  </si>
  <si>
    <t>PV: Model</t>
  </si>
  <si>
    <t>PV(Model-Counterfactual)</t>
  </si>
  <si>
    <t>Direct Cost</t>
  </si>
  <si>
    <t>NYC Governments</t>
  </si>
  <si>
    <t>DOT</t>
  </si>
  <si>
    <t>Category</t>
  </si>
  <si>
    <t>Counterfactual</t>
  </si>
  <si>
    <t>Percentage</t>
  </si>
  <si>
    <t>Model</t>
  </si>
  <si>
    <t>DEP</t>
  </si>
  <si>
    <t>NYC Government</t>
  </si>
  <si>
    <t>Private Utilties</t>
  </si>
  <si>
    <t>Sum</t>
  </si>
  <si>
    <t>MTA</t>
  </si>
  <si>
    <t>NYC Government Total</t>
  </si>
  <si>
    <t>Electricity (Con-Ed)</t>
  </si>
  <si>
    <t>Con Edison Total</t>
  </si>
  <si>
    <t>Cable Providers (Verizon, Time Warner Cable, and Cablevisions)</t>
  </si>
  <si>
    <t>Telecommunication Providers</t>
  </si>
  <si>
    <t>Total</t>
  </si>
  <si>
    <t>Analytics</t>
  </si>
  <si>
    <t>Benefit / Cost Ratio</t>
  </si>
  <si>
    <t>Cost = Utilidor Construction &amp; Maintenance &amp; Debt Service Cost</t>
  </si>
  <si>
    <t>Benefit = Difference in NPV of standings btw scenarios = NPV of counterfactual - NPV subtotal for Standing</t>
  </si>
  <si>
    <t>B/C Ratio</t>
  </si>
  <si>
    <t>Const Cost/ft</t>
  </si>
  <si>
    <t>Const Cost/mts</t>
  </si>
  <si>
    <t>Payback period (years)</t>
  </si>
  <si>
    <t>NPV Difference in Scenarios</t>
  </si>
  <si>
    <t>Cost Standing</t>
  </si>
  <si>
    <t>NPV of Utilidor (A)</t>
  </si>
  <si>
    <t>NPV of counterfactual  (B)</t>
  </si>
  <si>
    <t>A - B</t>
  </si>
  <si>
    <t>-</t>
  </si>
  <si>
    <t>Costs Dependant on Street Cuts</t>
  </si>
  <si>
    <t>Street Cut</t>
  </si>
  <si>
    <t>Maintenance Cost of Streets</t>
  </si>
  <si>
    <t xml:space="preserve">DEP </t>
  </si>
  <si>
    <t>Maintenance Cost (Probability of Damage due to ohter utility work)</t>
  </si>
  <si>
    <t>Electricity Provider</t>
  </si>
  <si>
    <t>Maintenance Cost</t>
  </si>
  <si>
    <t>Cabel Provider</t>
  </si>
  <si>
    <t>Street cut relevant costs</t>
  </si>
  <si>
    <t>Non-Street cut relevant costs</t>
  </si>
  <si>
    <t>Subtotal</t>
  </si>
  <si>
    <t>Street Cut Relevant Cost</t>
  </si>
  <si>
    <t>DOT Street Maintenance</t>
  </si>
  <si>
    <t>DEP Maintenance</t>
  </si>
  <si>
    <t>ConEd Maintenance</t>
  </si>
  <si>
    <t>ECS Maintenance</t>
  </si>
  <si>
    <t>Non Street Cut Relevant</t>
  </si>
  <si>
    <t>Changes in utility companies' Cash flow</t>
  </si>
  <si>
    <t>Utility user fee (in finance model)</t>
  </si>
  <si>
    <t>Total cost</t>
  </si>
  <si>
    <t>Property tax in Model</t>
  </si>
  <si>
    <t>User fee + Property tax</t>
  </si>
  <si>
    <t>Property tax in Counterfactual</t>
  </si>
  <si>
    <t>Sensitivity Analysis</t>
  </si>
  <si>
    <t>Base:</t>
  </si>
  <si>
    <t>Input</t>
  </si>
  <si>
    <t>Output</t>
  </si>
  <si>
    <t>Revenue</t>
  </si>
  <si>
    <t>No. of Street Cuts</t>
  </si>
  <si>
    <t>Cost of Construction</t>
  </si>
  <si>
    <t>Maintenance Cost for Utilidor</t>
  </si>
  <si>
    <t>Infration Rate</t>
  </si>
  <si>
    <t>Inflation cost</t>
  </si>
  <si>
    <t>Trenching Cost per foot</t>
  </si>
  <si>
    <t>60-20</t>
  </si>
  <si>
    <t xml:space="preserve">Revenue Credit </t>
  </si>
  <si>
    <t>Project year</t>
  </si>
  <si>
    <t>h</t>
  </si>
  <si>
    <t>63-20 Bond year</t>
  </si>
  <si>
    <t>Revenue Credit year</t>
  </si>
  <si>
    <t>2023-2028</t>
  </si>
  <si>
    <t>Initial cost (construction)</t>
  </si>
  <si>
    <t>N/A</t>
  </si>
  <si>
    <t>Maintenance &amp; operation cost</t>
  </si>
  <si>
    <t>NPV of Maintenance &amp; operation cost ( at 2021 base)</t>
  </si>
  <si>
    <t>Bond Issuance Amount</t>
  </si>
  <si>
    <t xml:space="preserve"> Bond Issuance Amount</t>
  </si>
  <si>
    <t>63-20 bond issuance amount ($)</t>
  </si>
  <si>
    <t>Revenue Bond Issuance Amount ($)</t>
  </si>
  <si>
    <t>Assumption</t>
  </si>
  <si>
    <t>\</t>
  </si>
  <si>
    <t>Bond term (year)</t>
  </si>
  <si>
    <t>Interest rate (%)</t>
  </si>
  <si>
    <t>Inflation rate (%)</t>
  </si>
  <si>
    <t>X</t>
  </si>
  <si>
    <t>Bond Payback Calculation</t>
  </si>
  <si>
    <t xml:space="preserve">Interest Payment </t>
  </si>
  <si>
    <t xml:space="preserve">Interest payment </t>
  </si>
  <si>
    <t xml:space="preserve">Principal Payment </t>
  </si>
  <si>
    <t>Principal payment</t>
  </si>
  <si>
    <t>Amount of Payment to  Bond Holders</t>
  </si>
  <si>
    <t>Utilidor Capital Cost</t>
  </si>
  <si>
    <t>Total Payment</t>
  </si>
  <si>
    <t>Payment to bond holders</t>
  </si>
  <si>
    <t>Cash flow for year 2023-2028</t>
  </si>
  <si>
    <t xml:space="preserve">Total cost </t>
  </si>
  <si>
    <t>Beginning Cash</t>
  </si>
  <si>
    <t>Total capital cost</t>
  </si>
  <si>
    <t>Construction</t>
  </si>
  <si>
    <t>Cash flow</t>
  </si>
  <si>
    <t>Debt payment</t>
  </si>
  <si>
    <t>Beginning cash</t>
  </si>
  <si>
    <t>Ending Cash</t>
  </si>
  <si>
    <t>Cash inflow from operations (user fee revenue)</t>
  </si>
  <si>
    <t>Cash outflow from operations (total cost)</t>
  </si>
  <si>
    <t>Ending cash</t>
  </si>
  <si>
    <t>Net profit/loss</t>
  </si>
  <si>
    <t>Revenue from user fee</t>
  </si>
  <si>
    <t>Accumulated profit/loss</t>
  </si>
  <si>
    <t>Debt Service Reverse Fund</t>
  </si>
  <si>
    <t>DSRA requirement</t>
  </si>
  <si>
    <t>DSRA Beginning Balance</t>
  </si>
  <si>
    <t>Add: Net Additional Funding</t>
  </si>
  <si>
    <t>Less: Debt payment</t>
  </si>
  <si>
    <t>DSRA Ending Balance</t>
  </si>
  <si>
    <t>Interest income on DSRF(2% rate)</t>
  </si>
  <si>
    <t>Revenue Model</t>
  </si>
  <si>
    <t>Fees charged/ Savings</t>
  </si>
  <si>
    <t>Savings for Utility Companies</t>
  </si>
  <si>
    <t>Savings</t>
  </si>
  <si>
    <t>User fee</t>
  </si>
  <si>
    <t>User fees per year needed</t>
  </si>
  <si>
    <t># Utilities</t>
  </si>
  <si>
    <t>Utility's Length (miles)</t>
  </si>
  <si>
    <t>Miles to Feets</t>
  </si>
  <si>
    <t>Miles to Mts</t>
  </si>
  <si>
    <t>Utility fees</t>
  </si>
  <si>
    <t>Utility fees per meter</t>
  </si>
  <si>
    <t>Utility fees per feet</t>
  </si>
  <si>
    <t>Cross Sectional Area*</t>
  </si>
  <si>
    <t>* The data is from the Guangzhou University Town case, except for the data for telecommunications and natural gas, which are estimated by the team</t>
  </si>
  <si>
    <t>Const Cost</t>
  </si>
  <si>
    <t>O&amp;M</t>
  </si>
  <si>
    <t>Const+O&amp;M</t>
  </si>
  <si>
    <t>Debt Service Cost</t>
  </si>
  <si>
    <t>Acumulated</t>
  </si>
  <si>
    <t>Total Cost</t>
  </si>
  <si>
    <t>Revenue 60%</t>
  </si>
  <si>
    <t>Debt Service Cost '</t>
  </si>
  <si>
    <t>Total Cost '</t>
  </si>
  <si>
    <t>1st Bond</t>
  </si>
  <si>
    <t>2nd Bond</t>
  </si>
  <si>
    <t>3rd Bond</t>
  </si>
  <si>
    <t>Bonds 60%</t>
  </si>
  <si>
    <t>Cost+O&amp;M</t>
  </si>
  <si>
    <t>Rev-Cost</t>
  </si>
  <si>
    <t>Bond+Rev-Cost-DebtSC</t>
  </si>
  <si>
    <t>Rev60%-Cost</t>
  </si>
  <si>
    <t>Bond+Rev60%-Cost-DebtSC</t>
  </si>
  <si>
    <t>ANNUAL IMPACT</t>
  </si>
  <si>
    <t>COUNTERFACTUAL: COST</t>
  </si>
  <si>
    <t>INDICATOR EFFECT BY YEAR</t>
  </si>
  <si>
    <t>CLASSIFICATION</t>
  </si>
  <si>
    <t>COSTS</t>
  </si>
  <si>
    <t>ASSUMPTIONS / ITEM</t>
  </si>
  <si>
    <t>UNIT</t>
  </si>
  <si>
    <t>SOURCE</t>
  </si>
  <si>
    <t>NOTES</t>
  </si>
  <si>
    <t>Inflation rate</t>
  </si>
  <si>
    <t>Discount rate</t>
  </si>
  <si>
    <t xml:space="preserve">Total number of permits Project </t>
  </si>
  <si>
    <t>#</t>
  </si>
  <si>
    <t># of Permits Area Project (1/3)</t>
  </si>
  <si>
    <t># of Permits Area Project Year</t>
  </si>
  <si>
    <t># of Permits Area  Year Project (1/3)</t>
  </si>
  <si>
    <t>Rate of Permits Issued by Year (Project)</t>
  </si>
  <si>
    <t>Rate of Permits Issued by Year (Manhattan)</t>
  </si>
  <si>
    <t>Inf</t>
  </si>
  <si>
    <t>1. NYC GOVERNMENT</t>
  </si>
  <si>
    <t>Total Number of Utility Street Cut Permits on the Case Study Street</t>
  </si>
  <si>
    <t>Actual number of Street Cuts</t>
  </si>
  <si>
    <t>Rule of thumb assumtionMar/11/2020 Utilidor Working Group Meeting: DOT: 1/3 of total permits</t>
  </si>
  <si>
    <t>1/3 of total permits</t>
  </si>
  <si>
    <t>Percentage of Utility Street Cuts Rated Fair or Bad</t>
  </si>
  <si>
    <t>Mayors Management Report and https://www.movingoureconomy.org/wp-content/uploads/2018/02/Seattle-pavemnt-cuts.pdf</t>
  </si>
  <si>
    <t>Failed Street Cuts on case study street</t>
  </si>
  <si>
    <t>Rule of thumb</t>
  </si>
  <si>
    <t xml:space="preserve">Extra Miles to Pave to maintain Current Condition due to increase in street cuts </t>
  </si>
  <si>
    <t>mi.</t>
  </si>
  <si>
    <t>Repaving Total  * Growth in Street Cuts</t>
  </si>
  <si>
    <t>Miles repaved per year (assumed constant average)</t>
  </si>
  <si>
    <t xml:space="preserve">Total Cost of Street Maintenance </t>
  </si>
  <si>
    <t>DOT Data</t>
  </si>
  <si>
    <t>Unmet Maintenance Needs (feet) in project area due to failed street cuts</t>
  </si>
  <si>
    <t xml:space="preserve">60 year period: </t>
  </si>
  <si>
    <t>Potholes Per Failed Street Cut and Unmet Maintenance Needs</t>
  </si>
  <si>
    <t>Settlements related to potholes in project area</t>
  </si>
  <si>
    <t>https://www1.nyc.gov/assets/operations/downloads/pdf/mmr2019/2019_mmr.pdf</t>
  </si>
  <si>
    <t>Growth of settlements due to potholes and unmet streetpaving need</t>
  </si>
  <si>
    <t>Lane Lanes in Project</t>
  </si>
  <si>
    <t>Restriping Cost</t>
  </si>
  <si>
    <t>RS Means</t>
  </si>
  <si>
    <t>Total Miles for Street Cuts on the Case Study Street</t>
  </si>
  <si>
    <t>Given</t>
  </si>
  <si>
    <t>Frequency of Repaaving</t>
  </si>
  <si>
    <t>Cost of Repair per Mile in project area</t>
  </si>
  <si>
    <t>$</t>
  </si>
  <si>
    <t>DOT report</t>
  </si>
  <si>
    <t>Cave Ins Due to DEP Failure in Project Area</t>
  </si>
  <si>
    <t>DEP Data</t>
  </si>
  <si>
    <t>Cost of Equipment rental, asphalt, selective demolition</t>
  </si>
  <si>
    <t>Cost</t>
  </si>
  <si>
    <t>Calculation</t>
  </si>
  <si>
    <t>Total DOT costs</t>
  </si>
  <si>
    <t>$/Year</t>
  </si>
  <si>
    <t>Water Main Breaks</t>
  </si>
  <si>
    <t>Water Mains have natural causes -- http://www.sehinc.com/news/heres-why-water-mains-break</t>
  </si>
  <si>
    <t>.299 miles</t>
  </si>
  <si>
    <t>Breaks in Project Area</t>
  </si>
  <si>
    <t>http://www.pcwwa.org/wp-content/uploads/2018/05/2018-Watermain-Breaks-Study.pdf</t>
  </si>
  <si>
    <t>Response Time</t>
  </si>
  <si>
    <t>DEP MMR</t>
  </si>
  <si>
    <t>Labor Hours</t>
  </si>
  <si>
    <t>Repair and Replacement per Linear Foot</t>
  </si>
  <si>
    <t>Actual Labor Required</t>
  </si>
  <si>
    <t>Probability of Damage due to other utility work</t>
  </si>
  <si>
    <t>Probbility * Road cuts</t>
  </si>
  <si>
    <t>https://www.cga-dirt.com/annual/2018/DIRT_Report_2018_Final.pdf</t>
  </si>
  <si>
    <t>Damaged Utilities</t>
  </si>
  <si>
    <t>#/year</t>
  </si>
  <si>
    <t>Staff Time</t>
  </si>
  <si>
    <t xml:space="preserve">Related Expenditures on Water Management </t>
  </si>
  <si>
    <t>Cost of Accidents to Workers in project area</t>
  </si>
  <si>
    <t>Full time equivelent</t>
  </si>
  <si>
    <t>Probabiltiy of Accident Resulting in Death</t>
  </si>
  <si>
    <t>https://www.osc.state.ny.us/retire/members/death_benefits.php</t>
  </si>
  <si>
    <t>.0035/1000</t>
  </si>
  <si>
    <t>Fatalities in Project Area</t>
  </si>
  <si>
    <t>Compensation</t>
  </si>
  <si>
    <t>https://injuryfacts.nsc.org/work/costs/work-injury-costs/</t>
  </si>
  <si>
    <t>Workplace accidents Reported City Wide</t>
  </si>
  <si>
    <t>Total Cost Based on $3.34/100 wage*total incidents</t>
  </si>
  <si>
    <t>Cost of accident in the project area</t>
  </si>
  <si>
    <t>Revenue or Opeartional Loss due to unidentified leakages</t>
  </si>
  <si>
    <t>per mile leakage average (ton)</t>
  </si>
  <si>
    <t>tons</t>
  </si>
  <si>
    <t>cost of water loss (per ton) in project area</t>
  </si>
  <si>
    <t>$/ton</t>
  </si>
  <si>
    <t>Cost of lost water in the project area</t>
  </si>
  <si>
    <t>Street Cave In Complaints Received</t>
  </si>
  <si>
    <t>https://www1.nyc.gov/assets/operations/downloads/pdf/pmmr2020/dep.pdf</t>
  </si>
  <si>
    <t>Cave ins are caused by DEP pipes leaking</t>
  </si>
  <si>
    <t>Street cave in complaints received in project area</t>
  </si>
  <si>
    <t>Leakage per foot of water pipe</t>
  </si>
  <si>
    <t>Leakage/Foot</t>
  </si>
  <si>
    <t xml:space="preserve">Worker Days required to Respond to Street Cave in and Make Safe </t>
  </si>
  <si>
    <t>Days</t>
  </si>
  <si>
    <t>Cost for all street Cave ins</t>
  </si>
  <si>
    <t>https://www.epa.gov/sites/production/files/2015-04/documents/epa816f13002.pdf</t>
  </si>
  <si>
    <t>198.08 per day</t>
  </si>
  <si>
    <t>Cost on Project Area</t>
  </si>
  <si>
    <t>Total DEP costs</t>
  </si>
  <si>
    <t>Disruption to Bus Network</t>
  </si>
  <si>
    <t xml:space="preserve">Total number of miles of Construction </t>
  </si>
  <si>
    <t>mi. / year</t>
  </si>
  <si>
    <t xml:space="preserve">Unit Cstos Indicators </t>
  </si>
  <si>
    <t>Total Project Lenght</t>
  </si>
  <si>
    <t xml:space="preserve">Total number of miles of Construction Yearly increase </t>
  </si>
  <si>
    <t>Unit Cstos Indicators  with DOT increase estimation increase</t>
  </si>
  <si>
    <t>0.5% for the first 25 years and then flat -Increase Rate  Same Permits</t>
  </si>
  <si>
    <t xml:space="preserve">Average time of daily commute without disruption </t>
  </si>
  <si>
    <t xml:space="preserve">Minutes </t>
  </si>
  <si>
    <t xml:space="preserve">Average time of daily commute WITH disruption </t>
  </si>
  <si>
    <t>Reduced Speed Delay Per Bus</t>
  </si>
  <si>
    <t>Manhattan Average Bus speed</t>
  </si>
  <si>
    <t>Speed Rate Decrease</t>
  </si>
  <si>
    <t>Bus speed and ridership loss Correlation</t>
  </si>
  <si>
    <t>M9,M22,M103 Ridership Change</t>
  </si>
  <si>
    <t>MTA http://web.mta.info/nyct/facts/ridership/ridership_bus.htm</t>
  </si>
  <si>
    <t>Difference</t>
  </si>
  <si>
    <t>Change Fare Revenue</t>
  </si>
  <si>
    <t>2.75*Ridership Change</t>
  </si>
  <si>
    <t>Total MTA costs</t>
  </si>
  <si>
    <t>Costs for NYC governments</t>
  </si>
  <si>
    <t>2. UTILITES</t>
  </si>
  <si>
    <t>ConEdison</t>
  </si>
  <si>
    <t>Property Tax</t>
  </si>
  <si>
    <t>Total property tax to City of New York</t>
  </si>
  <si>
    <t>https://www.coned.com/en/accounts-billing/your-bill/about-con-edisons-rates</t>
  </si>
  <si>
    <t>2019-2020 year; increased from $0.5B from 2016. Using 8% as the rate of increase</t>
  </si>
  <si>
    <t>The miles of all roads in new york city</t>
  </si>
  <si>
    <t>https://www.nytimes.com/interactive/2016/08/18/nyregion/new-york-101-streets-repair-and-maintenance.html</t>
  </si>
  <si>
    <t>Property tax per mile of road</t>
  </si>
  <si>
    <t>$/mi.</t>
  </si>
  <si>
    <t>Beekman street length</t>
  </si>
  <si>
    <t>Measured in google maps</t>
  </si>
  <si>
    <t>Con Ed Street Cuts</t>
  </si>
  <si>
    <t>Common Ground Alliance Data adjusted (https://commongroundalliance.com/dirt-dashboard)</t>
  </si>
  <si>
    <t>Average size of a Road work</t>
  </si>
  <si>
    <t>ft</t>
  </si>
  <si>
    <t>Demolish, Repair and Repayment Cost per square foot</t>
  </si>
  <si>
    <t>$/ft</t>
  </si>
  <si>
    <t>Costs of Accidents to workers</t>
  </si>
  <si>
    <t>Same as DEP measurement</t>
  </si>
  <si>
    <t xml:space="preserve">Manhole Accidents Compensations </t>
  </si>
  <si>
    <t>Manhole Injuries</t>
  </si>
  <si>
    <t>https://thecity.nyc/2020/02/its-manhole-explosion-season-on-new-york-city-streets.html</t>
  </si>
  <si>
    <t>66 cases over 2009-2019</t>
  </si>
  <si>
    <t>Injury Compensations</t>
  </si>
  <si>
    <t>$/#</t>
  </si>
  <si>
    <t>Assumption based on https://thecity.nyc/2020/02/its-manhole-explosion-season-on-new-york-city-streets.html</t>
  </si>
  <si>
    <t>$75,000 with 4% inflation</t>
  </si>
  <si>
    <t>Total Injury Compentsations</t>
  </si>
  <si>
    <t>$/year</t>
  </si>
  <si>
    <t>Legal Fees for settlements</t>
  </si>
  <si>
    <t>Assumption based on the salary of New York City Lawyer Salaries: https://www.glassdoor.com/Salaries/new-york-city-lawyer-salary-SRCH_IL.0,13_IM615_KO14,20.htm</t>
  </si>
  <si>
    <t>One lawyer dedicated for Manhole indients settlement: $121,394</t>
  </si>
  <si>
    <t>Manhole Accidents Costs for Beekman street length</t>
  </si>
  <si>
    <t>#/Year</t>
  </si>
  <si>
    <t>Cost of Major Accidents</t>
  </si>
  <si>
    <t>Number of Major Accident per year</t>
  </si>
  <si>
    <t>Refer to the report</t>
  </si>
  <si>
    <t>2.5 incidents over 13 years</t>
  </si>
  <si>
    <t>Compensation to Businesses around</t>
  </si>
  <si>
    <t>$5,000 daily sales / 10 businesses / 2 days / 4% inflation</t>
  </si>
  <si>
    <t>Costs for recovery works (Reinstallment, Compensation to other utilities, etc.)</t>
  </si>
  <si>
    <t>Three lawyers</t>
  </si>
  <si>
    <t>Major Accidents Costs for Beekman street length</t>
  </si>
  <si>
    <t>Total Con Edison costs</t>
  </si>
  <si>
    <t>Total property tax to City of New York (2020)</t>
  </si>
  <si>
    <t>1/10 of ConEd</t>
  </si>
  <si>
    <t>Empire City Subway Cuts</t>
  </si>
  <si>
    <t>Cost of Accidents to Workers</t>
  </si>
  <si>
    <t>Total Empire City Subway costs</t>
  </si>
  <si>
    <t>Telecommunication Provider</t>
  </si>
  <si>
    <t>Damage to telecom infrastructure</t>
  </si>
  <si>
    <t>Damaged Telecom Infrastructure</t>
  </si>
  <si>
    <t>Customers in Service Area</t>
  </si>
  <si>
    <t>http://www.city-data.com/zips/10038.html</t>
  </si>
  <si>
    <t>Total Communication Providers costs</t>
  </si>
  <si>
    <t>Costs for utilites</t>
  </si>
  <si>
    <t>MODEL: COST</t>
  </si>
  <si>
    <t>Mar/11/2020 Utilidor Working Group Meeting: DOT</t>
  </si>
  <si>
    <t xml:space="preserve">Growth in Lane Mile Repair Needs due to increase in failed street cuts </t>
  </si>
  <si>
    <t>https://www.informs.org/ORMS-Today/Public-Articles/June-Volume-41-Number-3/POTHOLE-ANALYTICS</t>
  </si>
  <si>
    <t>DOT Mobility Report</t>
  </si>
  <si>
    <t>Total Miles in the Case Study Street</t>
  </si>
  <si>
    <t>DOT costs</t>
  </si>
  <si>
    <t>Pipe Replacement</t>
  </si>
  <si>
    <t>Breaks in Project Area (Assuming pipe replacement with PVC)</t>
  </si>
  <si>
    <t>0.0179 (% of project area)</t>
  </si>
  <si>
    <t>http://www.pcwwa.org/wp-content/uploads/2018/05/2018-Watermain-Breaks-Study.pdf  --&gt; New break rate</t>
  </si>
  <si>
    <t>Labor Needed</t>
  </si>
  <si>
    <t>Actual Needed</t>
  </si>
  <si>
    <t>Standard O&amp;M</t>
  </si>
  <si>
    <t>DEP Budget</t>
  </si>
  <si>
    <t>Cost of Accidents to Workers in Proejct area</t>
  </si>
  <si>
    <t>Probabiltiy of Accident</t>
  </si>
  <si>
    <t>Fatalities</t>
  </si>
  <si>
    <t>American Water Works Association</t>
  </si>
  <si>
    <t>DEP Total Costs</t>
  </si>
  <si>
    <t>0.5% fo r the first 25 years and then flat -Increase Rate  Same Permits</t>
  </si>
  <si>
    <t xml:space="preserve">Average Speed of daily commute with construction </t>
  </si>
  <si>
    <t>Operations of Bus Network</t>
  </si>
  <si>
    <t>MTA Cost</t>
  </si>
  <si>
    <t>Total Cost to Government</t>
  </si>
  <si>
    <t>User Fee</t>
  </si>
  <si>
    <t>100% of Property Tax: 2019-2020 year; increased from $0.5B from 2016. Using 8% as the rate of increase</t>
  </si>
  <si>
    <t>Average feet for a Road work</t>
  </si>
  <si>
    <t>sq ft</t>
  </si>
  <si>
    <t>Demolish, Repair and Repayment Cost per square feet</t>
  </si>
  <si>
    <t>$/sqft</t>
  </si>
  <si>
    <t>1% of 66 cases over 2009-2019</t>
  </si>
  <si>
    <t>1% of current practice</t>
  </si>
  <si>
    <t>$5,000 daily sales / 10 businesses / 2 days of affection / 4% inflation</t>
  </si>
  <si>
    <t>Propety Tax</t>
  </si>
  <si>
    <t>100% of current price: 1/10 of ConEd</t>
  </si>
  <si>
    <t>Damage to telecomm infrastructure</t>
  </si>
  <si>
    <t>Model: Utiidor Construction and Maintenance Cost</t>
  </si>
  <si>
    <t>COSTS (NPV)</t>
  </si>
  <si>
    <t>Summary</t>
  </si>
  <si>
    <t>Includes only transporting Utilidor to NYC cost.
assuming transportation process will happen from 6 month to 24 month after the construction initiated</t>
  </si>
  <si>
    <t>3. Relocating utility Cost</t>
  </si>
  <si>
    <t>To maintain utility service, current utility lines should be relocated to secured space before installing Utilidor. Assuming that rough estimation of the cost is project cost in Beekman street case in 2010 * escalation (histric data + projection)</t>
  </si>
  <si>
    <t>assuming installation process will happen from 6 month to 24 month after the construction initiated</t>
  </si>
  <si>
    <t>5. Resurfacing and Backfilling cost</t>
  </si>
  <si>
    <t>assuming resurfacing and refilling process will happen from 6 month to 24 month after the construction initiated</t>
  </si>
  <si>
    <t>Maintenance cost = construction cost * 10% * inflation (per year)</t>
  </si>
  <si>
    <t>NPV of maintenance cost</t>
  </si>
  <si>
    <t>7. Debt Service Cost</t>
  </si>
  <si>
    <t>Interest payment on 63-20</t>
  </si>
  <si>
    <t xml:space="preserve"> Construction and Maintenance Cost (NPV)</t>
  </si>
  <si>
    <t>Inflation adjustment</t>
  </si>
  <si>
    <t>Maintenance assumption</t>
  </si>
  <si>
    <t>8. ICT</t>
  </si>
  <si>
    <t>Reference for unit (definition in RSMeans)</t>
  </si>
  <si>
    <t>Ea.: each   S.F: Square foot   L.F.: Liner foot   C.Y.: Cubic yard    L.C.Y. : Loose cubic yard</t>
  </si>
  <si>
    <t>Operation &amp; Maintenancecosts</t>
  </si>
  <si>
    <t>Salary</t>
  </si>
  <si>
    <t>Maintenance &amp; Repair</t>
  </si>
  <si>
    <t>Electricity</t>
  </si>
  <si>
    <t>Option 2: Utilidor --&gt; Beekman x2</t>
  </si>
  <si>
    <t>Beekman Cost</t>
  </si>
  <si>
    <t>Inflation 2010-2020</t>
  </si>
  <si>
    <t>Public capital costs</t>
  </si>
  <si>
    <t>Private capital costs (Note 2)</t>
  </si>
  <si>
    <t>Total capital costs</t>
  </si>
  <si>
    <t>Public/Total %</t>
  </si>
  <si>
    <t xml:space="preserve">Private/Total % </t>
  </si>
  <si>
    <t>Utilidor Cost</t>
  </si>
  <si>
    <t>From Therry Mathew's Thesis: So if 100 is the total cost.  The moving and maintaining services probably represent 40-50%.  Reinstalling or moving utilities into the “box” could be 30-40%.  The box may be in the order of 10-20%.</t>
  </si>
  <si>
    <t>1. Project Area Details</t>
  </si>
  <si>
    <t>On Street</t>
  </si>
  <si>
    <t>From</t>
  </si>
  <si>
    <t>To</t>
  </si>
  <si>
    <t>Length</t>
  </si>
  <si>
    <t>Water Pipes (Feet)</t>
  </si>
  <si>
    <t>Electricity (Feet)</t>
  </si>
  <si>
    <t>Telecom (Feet)</t>
  </si>
  <si>
    <t>Gas (Feet)</t>
  </si>
  <si>
    <t>Feet Citiwide</t>
  </si>
  <si>
    <t>BEEKMAN STREET</t>
  </si>
  <si>
    <t>GOLD STREET</t>
  </si>
  <si>
    <t>Streets</t>
  </si>
  <si>
    <t>WILLIAM STREET</t>
  </si>
  <si>
    <t>Water Maines</t>
  </si>
  <si>
    <t>NASSAU STREET</t>
  </si>
  <si>
    <t>Elictrical</t>
  </si>
  <si>
    <t>THEATRE ALLEY</t>
  </si>
  <si>
    <t>Gas</t>
  </si>
  <si>
    <t>Steam</t>
  </si>
  <si>
    <t>PARK ROW</t>
  </si>
  <si>
    <t>Percent of proejct area</t>
  </si>
  <si>
    <t>BROADWAY</t>
  </si>
  <si>
    <t>PARK PLACE</t>
  </si>
  <si>
    <t>CHURCH STREET</t>
  </si>
  <si>
    <t>http://www.bostonplans.org/getattachment/dd24634f-8430-49ae-93cc-776922f4beb9</t>
  </si>
  <si>
    <t>WEST BROADWAY</t>
  </si>
  <si>
    <t>https://www.nytimes.com/2020/02/12/nyregion/nyc-water-mains.html</t>
  </si>
  <si>
    <t xml:space="preserve">Total in Miles </t>
  </si>
  <si>
    <t>Project Area Relative to City Street Total</t>
  </si>
  <si>
    <t>2. Population Growth / Inflation Rate / Social Cost of Carbon</t>
  </si>
  <si>
    <t>Population Growth Rate</t>
  </si>
  <si>
    <t>Social Cost of Carbon Inflation Rate</t>
  </si>
  <si>
    <t>3. Vehicle Miles Traveled (VMT)</t>
  </si>
  <si>
    <t>https://data.ny.gov/Transportation/Daily-Vehicle-Miles-of-Travel-Beginning-1985/fsr4-j7q5</t>
  </si>
  <si>
    <t>NYS Area</t>
  </si>
  <si>
    <t>Road Type</t>
  </si>
  <si>
    <t>Daily VMT</t>
  </si>
  <si>
    <t>Growth Rate</t>
  </si>
  <si>
    <t>Urbanized</t>
  </si>
  <si>
    <t>Local</t>
  </si>
  <si>
    <t>Avg Growth</t>
  </si>
  <si>
    <t>4. Pothole Maintenace</t>
  </si>
  <si>
    <t>https://www.riskmanagementmonitor.com/potholes-cost-nyc-27-6-million-in-settlements-per-year/</t>
  </si>
  <si>
    <t>Cost per lane mile</t>
  </si>
  <si>
    <t>Cost per sq foot</t>
  </si>
  <si>
    <t>Settlements related to Potholes</t>
  </si>
  <si>
    <t>Potholes</t>
  </si>
  <si>
    <t>Settlement per pothole</t>
  </si>
  <si>
    <t>5. Traveling Public</t>
  </si>
  <si>
    <t xml:space="preserve">Average travel speeds in the Manhattan Central Business District </t>
  </si>
  <si>
    <t xml:space="preserve">Average Vehicle Increase Manhattan </t>
  </si>
  <si>
    <t>http://www.nyc.gov/html/dot/downloads/pdf/mobility-report-2018-screen-optimized.pdf</t>
  </si>
  <si>
    <t>mph</t>
  </si>
  <si>
    <t>Annual Difference</t>
  </si>
  <si>
    <t>Year 2</t>
  </si>
  <si>
    <t>Differece</t>
  </si>
  <si>
    <t>Average</t>
  </si>
  <si>
    <t>Calculations</t>
  </si>
  <si>
    <t>Average:</t>
  </si>
  <si>
    <t xml:space="preserve">Average Number of Vehicles Project Area </t>
  </si>
  <si>
    <t xml:space="preserve">Beekman Street </t>
  </si>
  <si>
    <t xml:space="preserve">Total: </t>
  </si>
  <si>
    <t>Source:</t>
  </si>
  <si>
    <t>Park Place</t>
  </si>
  <si>
    <t>https://gis.dot.ny.gov/html5viewer/?viewer=tdv</t>
  </si>
  <si>
    <t xml:space="preserve">Average increase with roadwork </t>
  </si>
  <si>
    <t>https://ops.fhwa.dot.gov/wz/resources/publications/fhwahop12005/sec2.htm</t>
  </si>
  <si>
    <t xml:space="preserve">Drivers </t>
  </si>
  <si>
    <t xml:space="preserve">Cyclists Pedestrias </t>
  </si>
  <si>
    <t>Buses</t>
  </si>
  <si>
    <t>Hourly value of personal travel time per person</t>
  </si>
  <si>
    <t xml:space="preserve">https://www.census.gov/library/stories/2019/09/us-median-household-income-up-in-2018-from-2017.html </t>
  </si>
  <si>
    <t>Drivers = 50% of median annual household income ÷ 2080 hours.</t>
  </si>
  <si>
    <t>Median annual income for all U.S. households =  $61,937</t>
  </si>
  <si>
    <t xml:space="preserve">Hourly value of personal travel time = 0.5* $61,937/2080 = ? </t>
  </si>
  <si>
    <t>Hourly value of a person’s travel time in a vehicle=</t>
  </si>
  <si>
    <t>Average vehicle occupancy = 1.67 persons per vehicle</t>
  </si>
  <si>
    <t>Initial Speed (mph)</t>
  </si>
  <si>
    <t>Added Time
(Hr/1000 Stops)</t>
  </si>
  <si>
    <t>Added Cost
($/1000 Stops)</t>
  </si>
  <si>
    <t>Passenger Cars</t>
  </si>
  <si>
    <t>Single-Unit Truck</t>
  </si>
  <si>
    <t>Combination Truck</t>
  </si>
  <si>
    <t>Pedestrians and Cyclers</t>
  </si>
  <si>
    <t>https://www.vtpi.org/tca/tca0502.pdf</t>
  </si>
  <si>
    <t>Cyclists and Pedestrians= 25% of median annual household income ÷ 2080 hours.</t>
  </si>
  <si>
    <t xml:space="preserve">Hourly value of personal travel time = 0.25* $61,937/2080 = ? </t>
  </si>
  <si>
    <t xml:space="preserve">User Travel Time Costs (2007 U.S. Dollars per Passenger Mile)
</t>
  </si>
  <si>
    <t>User Travel Time Costs (In 2020 U.S. Dollars per Passenger Mile)</t>
  </si>
  <si>
    <t>https://www.in2013dollars.com/us/inflation/2007?amount=1.25</t>
  </si>
  <si>
    <t xml:space="preserve">Public Transportation Passengers </t>
  </si>
  <si>
    <t xml:space="preserve"> Public transporation User = 35% of median annual household income ÷ 2080 hour</t>
  </si>
  <si>
    <t>6. Permits</t>
  </si>
  <si>
    <t>All  Permits Issued</t>
  </si>
  <si>
    <t>Rate of Increase</t>
  </si>
  <si>
    <t>FY16</t>
  </si>
  <si>
    <t>FY17</t>
  </si>
  <si>
    <t>FY18</t>
  </si>
  <si>
    <t>FY19</t>
  </si>
  <si>
    <t>FY20</t>
  </si>
  <si>
    <t>Street Opening Permits Issued</t>
  </si>
  <si>
    <t>average Construction Worker Workday</t>
  </si>
  <si>
    <t>https://www.careerexplorer.com/careers/construction-worker/salary/new-york/</t>
  </si>
  <si>
    <t>Day</t>
  </si>
  <si>
    <t>*Updated from 2020 to 2023 on inflation</t>
  </si>
  <si>
    <t>hour</t>
  </si>
  <si>
    <t>Response time Growth Rate</t>
  </si>
  <si>
    <t>Hours</t>
  </si>
  <si>
    <t>FY 17</t>
  </si>
  <si>
    <t>FY 18</t>
  </si>
  <si>
    <t>FY 19</t>
  </si>
  <si>
    <t>FY 20</t>
  </si>
  <si>
    <t>563 397 428 521 460 *</t>
  </si>
  <si>
    <t>FY15</t>
  </si>
  <si>
    <t>Subsurface investigation, rock, boring, and exploratory drilling, drill rig, and crew 16 labor hours, 625 for labor, 1300 for equipment.</t>
  </si>
  <si>
    <t>16 Labor Hours</t>
  </si>
  <si>
    <t>Labor</t>
  </si>
  <si>
    <t>http://www.csgnetwork.com/asphaltmixcalc.html</t>
  </si>
  <si>
    <t>1 Foot x 1 foot x 3 inches</t>
  </si>
  <si>
    <t>396, 374, 321, 403, 463</t>
  </si>
  <si>
    <t>Workplace accidents reported</t>
  </si>
  <si>
    <t>7. Root Cause by Facility Damaged</t>
  </si>
  <si>
    <t>Root Cause by Facility Damaged</t>
  </si>
  <si>
    <t>Number</t>
  </si>
  <si>
    <t>NYC operators</t>
  </si>
  <si>
    <t>Natural Gas</t>
  </si>
  <si>
    <t>ConEd</t>
  </si>
  <si>
    <t>Telecommunications</t>
  </si>
  <si>
    <t>ECS</t>
  </si>
  <si>
    <t>Cable TV</t>
  </si>
  <si>
    <t>Electric</t>
  </si>
  <si>
    <t>Other</t>
  </si>
  <si>
    <t>Water</t>
  </si>
  <si>
    <t>Sewer</t>
  </si>
  <si>
    <t>Liquid pipe</t>
  </si>
  <si>
    <t>Permits Issued</t>
  </si>
  <si>
    <t xml:space="preserve"> </t>
  </si>
  <si>
    <t>All Utilities</t>
  </si>
  <si>
    <t>All Utilities Total</t>
  </si>
  <si>
    <t>Cable Providers Total</t>
  </si>
  <si>
    <t>Total Cable Provider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</si>
</sst>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8" formatCode="&quot;$&quot;#,##0.00_);[Red]\(&quot;$&quot;#,##0.00\)"/>
    <numFmt numFmtId="43" formatCode="_(* #,##0.00_);_(* \(#,##0.00\);_(* &quot;-&quot;??_);_(@_)"/>
    <numFmt numFmtId="164" formatCode="_(* #,##0_);_(* \(#,##0\);_(* &quot;-&quot;??_);_(@_)"/>
    <numFmt numFmtId="165" formatCode="&quot;$&quot;#,##0"/>
    <numFmt numFmtId="166" formatCode="&quot;$&quot;#,##0.00"/>
    <numFmt numFmtId="167" formatCode="0.0000000"/>
    <numFmt numFmtId="168" formatCode="0.00000%"/>
    <numFmt numFmtId="169" formatCode="&quot;NPV for Model&quot;"/>
    <numFmt numFmtId="170" formatCode="&quot;NPV for Counterfactual&quot;"/>
    <numFmt numFmtId="171" formatCode="_([$$-409]* #,##0.00_);_([$$-409]* \(#,##0.00\);_([$$-409]* &quot;-&quot;??_);_(@_)"/>
    <numFmt numFmtId="172" formatCode="0.000"/>
    <numFmt numFmtId="173" formatCode="0.0000"/>
    <numFmt numFmtId="174" formatCode="0.00000"/>
    <numFmt numFmtId="175" formatCode="0.000000"/>
    <numFmt numFmtId="176" formatCode="&quot;$&quot;#,##0.000000"/>
    <numFmt numFmtId="177" formatCode="#,##0.0000000"/>
    <numFmt numFmtId="178" formatCode="&quot;$&quot;#,##0.0000"/>
    <numFmt numFmtId="179" formatCode="_(&quot;$&quot;* #,##0_);_(&quot;$&quot;* \(#,##0\);_(&quot;$&quot;* &quot;-&quot;??_);_(@_)"/>
    <numFmt numFmtId="180" formatCode="0.000000%"/>
    <numFmt numFmtId="181" formatCode="&quot;$&quot;#,##0.000000000"/>
    <numFmt numFmtId="182" formatCode="#,##0.0000"/>
    <numFmt numFmtId="183" formatCode="0.000%"/>
    <numFmt numFmtId="184" formatCode="&quot;$&quot;#,##0.0"/>
  </numFmts>
  <fonts count="85" x14ac:knownFonts="1">
    <font>
      <sz val="10"/>
      <color rgb="FF000000"/>
      <name val="Arial"/>
      <scheme val="minor"/>
    </font>
    <font>
      <b/>
      <sz val="13"/>
      <color rgb="FF000000"/>
      <name val="Arial"/>
      <family val="2"/>
    </font>
    <font>
      <sz val="10"/>
      <color rgb="FF000000"/>
      <name val="Calibri"/>
      <family val="2"/>
    </font>
    <font>
      <sz val="10"/>
      <color theme="1"/>
      <name val="Calibri"/>
      <family val="2"/>
    </font>
    <font>
      <b/>
      <sz val="10"/>
      <color theme="1"/>
      <name val="Calibri"/>
      <family val="2"/>
    </font>
    <font>
      <sz val="10"/>
      <color rgb="FF3D85C6"/>
      <name val="Calibri"/>
      <family val="2"/>
    </font>
    <font>
      <b/>
      <sz val="10"/>
      <color rgb="FFFFFFFF"/>
      <name val="Calibri"/>
      <family val="2"/>
    </font>
    <font>
      <b/>
      <sz val="11"/>
      <color theme="1"/>
      <name val="Calibri"/>
      <family val="2"/>
    </font>
    <font>
      <sz val="10"/>
      <color rgb="FFFF0000"/>
      <name val="Calibri"/>
      <family val="2"/>
    </font>
    <font>
      <u/>
      <sz val="10"/>
      <color rgb="FFFF0000"/>
      <name val="Calibri"/>
      <family val="2"/>
    </font>
    <font>
      <b/>
      <sz val="10"/>
      <color rgb="FF000000"/>
      <name val="Calibri"/>
      <family val="2"/>
    </font>
    <font>
      <sz val="11"/>
      <color theme="1"/>
      <name val="Calibri"/>
      <family val="2"/>
    </font>
    <font>
      <sz val="10"/>
      <color rgb="FFFFFFFF"/>
      <name val="Calibri"/>
      <family val="2"/>
    </font>
    <font>
      <sz val="10"/>
      <name val="Arial"/>
      <family val="2"/>
    </font>
    <font>
      <sz val="10"/>
      <color rgb="FF000000"/>
      <name val="Arial"/>
      <family val="2"/>
    </font>
    <font>
      <b/>
      <sz val="12"/>
      <color rgb="FFFFFFFF"/>
      <name val="Calibri"/>
      <family val="2"/>
    </font>
    <font>
      <sz val="11"/>
      <color rgb="FFFFFFFF"/>
      <name val="Calibri"/>
      <family val="2"/>
    </font>
    <font>
      <sz val="10"/>
      <color theme="1"/>
      <name val="Arial"/>
      <family val="2"/>
    </font>
    <font>
      <sz val="10"/>
      <color theme="5"/>
      <name val="Calibri"/>
      <family val="2"/>
    </font>
    <font>
      <b/>
      <sz val="10"/>
      <color theme="1"/>
      <name val="Arial"/>
      <family val="2"/>
    </font>
    <font>
      <sz val="11"/>
      <color rgb="FF000000"/>
      <name val="Arial"/>
      <family val="2"/>
    </font>
    <font>
      <b/>
      <sz val="11"/>
      <color rgb="FF000000"/>
      <name val="Arial"/>
      <family val="2"/>
    </font>
    <font>
      <sz val="11"/>
      <color theme="1"/>
      <name val="Arial"/>
      <family val="2"/>
    </font>
    <font>
      <b/>
      <sz val="11"/>
      <color rgb="FFFF0000"/>
      <name val="Arial"/>
      <family val="2"/>
    </font>
    <font>
      <b/>
      <sz val="13"/>
      <color theme="0"/>
      <name val="Calibri"/>
      <family val="2"/>
    </font>
    <font>
      <sz val="10"/>
      <color rgb="FFCFE2F3"/>
      <name val="Calibri"/>
      <family val="2"/>
    </font>
    <font>
      <sz val="10"/>
      <color rgb="FFBFBFBF"/>
      <name val="Calibri"/>
      <family val="2"/>
    </font>
    <font>
      <b/>
      <sz val="10"/>
      <color theme="0"/>
      <name val="Calibri"/>
      <family val="2"/>
    </font>
    <font>
      <b/>
      <sz val="10"/>
      <color rgb="FFFF0000"/>
      <name val="Calibri"/>
      <family val="2"/>
    </font>
    <font>
      <sz val="11"/>
      <color rgb="FFF7981D"/>
      <name val="Calibri"/>
      <family val="2"/>
    </font>
    <font>
      <b/>
      <sz val="15"/>
      <color rgb="FFFFFFFF"/>
      <name val="Calibri"/>
      <family val="2"/>
    </font>
    <font>
      <b/>
      <sz val="15"/>
      <color rgb="FF7F7F7F"/>
      <name val="Calibri"/>
      <family val="2"/>
    </font>
    <font>
      <b/>
      <sz val="15"/>
      <color rgb="FF999999"/>
      <name val="Calibri"/>
      <family val="2"/>
    </font>
    <font>
      <b/>
      <sz val="11"/>
      <color rgb="FF7F7F7F"/>
      <name val="Calibri"/>
      <family val="2"/>
    </font>
    <font>
      <b/>
      <sz val="15"/>
      <color theme="0"/>
      <name val="Calibri"/>
      <family val="2"/>
    </font>
    <font>
      <sz val="15"/>
      <color theme="1"/>
      <name val="Calibri"/>
      <family val="2"/>
    </font>
    <font>
      <sz val="15"/>
      <color rgb="FFFFFFFF"/>
      <name val="Calibri"/>
      <family val="2"/>
    </font>
    <font>
      <b/>
      <sz val="11"/>
      <color rgb="FFFFFFFF"/>
      <name val="Calibri"/>
      <family val="2"/>
    </font>
    <font>
      <b/>
      <sz val="11"/>
      <color theme="0"/>
      <name val="Calibri"/>
      <family val="2"/>
    </font>
    <font>
      <b/>
      <sz val="11"/>
      <color rgb="FF000000"/>
      <name val="Calibri"/>
      <family val="2"/>
    </font>
    <font>
      <u/>
      <sz val="10"/>
      <color rgb="FFFF0000"/>
      <name val="Calibri"/>
      <family val="2"/>
    </font>
    <font>
      <b/>
      <sz val="13"/>
      <color rgb="FFFFFFFF"/>
      <name val="Calibri"/>
      <family val="2"/>
    </font>
    <font>
      <sz val="11"/>
      <color rgb="FF7F7F7F"/>
      <name val="Calibri"/>
      <family val="2"/>
    </font>
    <font>
      <sz val="11"/>
      <color rgb="FF000000"/>
      <name val="Calibri"/>
      <family val="2"/>
    </font>
    <font>
      <u/>
      <sz val="10"/>
      <color rgb="FF7F7F7F"/>
      <name val="Calibri"/>
      <family val="2"/>
    </font>
    <font>
      <sz val="10"/>
      <color rgb="FF7F7F7F"/>
      <name val="Calibri"/>
      <family val="2"/>
    </font>
    <font>
      <b/>
      <sz val="11"/>
      <color rgb="FF666666"/>
      <name val="Calibri"/>
      <family val="2"/>
    </font>
    <font>
      <sz val="11"/>
      <color rgb="FFFF0000"/>
      <name val="Calibri"/>
      <family val="2"/>
    </font>
    <font>
      <u/>
      <sz val="11"/>
      <color rgb="FF7F7F7F"/>
      <name val="Calibri"/>
      <family val="2"/>
    </font>
    <font>
      <b/>
      <sz val="11"/>
      <color rgb="FFFF0000"/>
      <name val="Calibri"/>
      <family val="2"/>
    </font>
    <font>
      <u/>
      <sz val="11"/>
      <color rgb="FF7F7F7F"/>
      <name val="Calibri"/>
      <family val="2"/>
    </font>
    <font>
      <b/>
      <u/>
      <sz val="11"/>
      <color rgb="FF7F7F7F"/>
      <name val="Calibri"/>
      <family val="2"/>
    </font>
    <font>
      <b/>
      <sz val="10"/>
      <color rgb="FF7F7F7F"/>
      <name val="Calibri"/>
      <family val="2"/>
    </font>
    <font>
      <sz val="11"/>
      <color rgb="FF666666"/>
      <name val="Calibri"/>
      <family val="2"/>
    </font>
    <font>
      <u/>
      <sz val="10"/>
      <color rgb="FF7F7F7F"/>
      <name val="Calibri"/>
      <family val="2"/>
    </font>
    <font>
      <sz val="15"/>
      <color rgb="FF999999"/>
      <name val="Calibri"/>
      <family val="2"/>
    </font>
    <font>
      <sz val="11"/>
      <color theme="0"/>
      <name val="Calibri"/>
      <family val="2"/>
    </font>
    <font>
      <u/>
      <sz val="10"/>
      <color rgb="FF0000FF"/>
      <name val="Calibri"/>
      <family val="2"/>
    </font>
    <font>
      <u/>
      <sz val="10"/>
      <color rgb="FF0000FF"/>
      <name val="Calibri"/>
      <family val="2"/>
    </font>
    <font>
      <i/>
      <sz val="11"/>
      <color rgb="FF000000"/>
      <name val="Calibri"/>
      <family val="2"/>
    </font>
    <font>
      <u/>
      <sz val="10"/>
      <color rgb="FF0000FF"/>
      <name val="Calibri"/>
      <family val="2"/>
    </font>
    <font>
      <u/>
      <sz val="11"/>
      <color rgb="FF7F7F7F"/>
      <name val="Calibri"/>
      <family val="2"/>
    </font>
    <font>
      <sz val="11"/>
      <color rgb="FF980000"/>
      <name val="Calibri"/>
      <family val="2"/>
    </font>
    <font>
      <u/>
      <sz val="11"/>
      <color rgb="FF0000FF"/>
      <name val="Calibri"/>
      <family val="2"/>
    </font>
    <font>
      <u/>
      <sz val="11"/>
      <color rgb="FF0000FF"/>
      <name val="Calibri"/>
      <family val="2"/>
    </font>
    <font>
      <b/>
      <sz val="11"/>
      <color rgb="FF999999"/>
      <name val="Calibri"/>
      <family val="2"/>
    </font>
    <font>
      <b/>
      <u/>
      <sz val="11"/>
      <color rgb="FF000000"/>
      <name val="Calibri"/>
      <family val="2"/>
    </font>
    <font>
      <u/>
      <sz val="11"/>
      <color rgb="FF000000"/>
      <name val="Calibri"/>
      <family val="2"/>
    </font>
    <font>
      <b/>
      <sz val="12"/>
      <color theme="1"/>
      <name val="Calibri"/>
      <family val="2"/>
    </font>
    <font>
      <b/>
      <u/>
      <sz val="11"/>
      <color rgb="FF000000"/>
      <name val="Calibri"/>
      <family val="2"/>
    </font>
    <font>
      <b/>
      <u/>
      <sz val="11"/>
      <color rgb="FF000000"/>
      <name val="Calibri"/>
      <family val="2"/>
    </font>
    <font>
      <b/>
      <u/>
      <sz val="11"/>
      <color theme="1"/>
      <name val="Calibri"/>
      <family val="2"/>
    </font>
    <font>
      <b/>
      <sz val="15"/>
      <color rgb="FF000000"/>
      <name val="Calibri"/>
      <family val="2"/>
    </font>
    <font>
      <b/>
      <sz val="15"/>
      <color theme="1"/>
      <name val="Calibri"/>
      <family val="2"/>
    </font>
    <font>
      <sz val="11"/>
      <color rgb="FF7E3794"/>
      <name val="Calibri"/>
      <family val="2"/>
    </font>
    <font>
      <u/>
      <sz val="11"/>
      <color rgb="FF0000FF"/>
      <name val="Calibri"/>
      <family val="2"/>
    </font>
    <font>
      <sz val="11"/>
      <color rgb="FF5E5E5E"/>
      <name val="Calibri"/>
      <family val="2"/>
    </font>
    <font>
      <sz val="11"/>
      <color rgb="FF444444"/>
      <name val="Calibri"/>
      <family val="2"/>
    </font>
    <font>
      <u/>
      <sz val="11"/>
      <color rgb="FF0000FF"/>
      <name val="Calibri"/>
      <family val="2"/>
    </font>
    <font>
      <u/>
      <sz val="11"/>
      <color rgb="FF0000FF"/>
      <name val="Calibri"/>
      <family val="2"/>
    </font>
    <font>
      <u/>
      <sz val="11"/>
      <color rgb="FF000000"/>
      <name val="Calibri"/>
      <family val="2"/>
    </font>
    <font>
      <u/>
      <sz val="11"/>
      <color rgb="FF000000"/>
      <name val="Calibri"/>
      <family val="2"/>
    </font>
    <font>
      <b/>
      <u/>
      <sz val="11"/>
      <color rgb="FF000000"/>
      <name val="Calibri"/>
      <family val="2"/>
    </font>
    <font>
      <u/>
      <sz val="11"/>
      <color rgb="FF0000FF"/>
      <name val="Calibri"/>
      <family val="2"/>
    </font>
    <font>
      <sz val="10"/>
      <color rgb="FF000000"/>
      <name val="Arial"/>
      <family val="2"/>
      <scheme val="minor"/>
    </font>
  </fonts>
  <fills count="23">
    <fill>
      <patternFill patternType="none"/>
    </fill>
    <fill>
      <patternFill patternType="gray125"/>
    </fill>
    <fill>
      <patternFill patternType="solid">
        <fgColor rgb="FFD9E6FC"/>
        <bgColor rgb="FFD9E6FC"/>
      </patternFill>
    </fill>
    <fill>
      <patternFill patternType="solid">
        <fgColor rgb="FF073763"/>
        <bgColor rgb="FF073763"/>
      </patternFill>
    </fill>
    <fill>
      <patternFill patternType="solid">
        <fgColor rgb="FFD9EAD3"/>
        <bgColor rgb="FFD9EAD3"/>
      </patternFill>
    </fill>
    <fill>
      <patternFill patternType="solid">
        <fgColor rgb="FFFEF1CC"/>
        <bgColor rgb="FFFEF1CC"/>
      </patternFill>
    </fill>
    <fill>
      <patternFill patternType="solid">
        <fgColor rgb="FFBFBFBF"/>
        <bgColor rgb="FFBFBFBF"/>
      </patternFill>
    </fill>
    <fill>
      <patternFill patternType="solid">
        <fgColor rgb="FF1F6166"/>
        <bgColor rgb="FF1F6166"/>
      </patternFill>
    </fill>
    <fill>
      <patternFill patternType="solid">
        <fgColor rgb="FFFFFF00"/>
        <bgColor rgb="FFFFFF00"/>
      </patternFill>
    </fill>
    <fill>
      <patternFill patternType="solid">
        <fgColor theme="0"/>
        <bgColor theme="0"/>
      </patternFill>
    </fill>
    <fill>
      <patternFill patternType="solid">
        <fgColor rgb="FFFFFFFF"/>
        <bgColor rgb="FFFFFFFF"/>
      </patternFill>
    </fill>
    <fill>
      <patternFill patternType="solid">
        <fgColor rgb="FFFF0000"/>
        <bgColor rgb="FFFF0000"/>
      </patternFill>
    </fill>
    <fill>
      <patternFill patternType="solid">
        <fgColor rgb="FFFFD965"/>
        <bgColor rgb="FFFFD965"/>
      </patternFill>
    </fill>
    <fill>
      <patternFill patternType="solid">
        <fgColor rgb="FFFCE5CD"/>
        <bgColor rgb="FFFCE5CD"/>
      </patternFill>
    </fill>
    <fill>
      <patternFill patternType="solid">
        <fgColor rgb="FFF9CB9C"/>
        <bgColor rgb="FFF9CB9C"/>
      </patternFill>
    </fill>
    <fill>
      <patternFill patternType="solid">
        <fgColor rgb="FFFEF2CB"/>
        <bgColor rgb="FFFEF2CB"/>
      </patternFill>
    </fill>
    <fill>
      <patternFill patternType="solid">
        <fgColor rgb="FFE06666"/>
        <bgColor rgb="FFE06666"/>
      </patternFill>
    </fill>
    <fill>
      <patternFill patternType="solid">
        <fgColor rgb="FFEAD1DC"/>
        <bgColor rgb="FFEAD1DC"/>
      </patternFill>
    </fill>
    <fill>
      <patternFill patternType="solid">
        <fgColor rgb="FFFF9900"/>
        <bgColor rgb="FFFF9900"/>
      </patternFill>
    </fill>
    <fill>
      <patternFill patternType="solid">
        <fgColor rgb="FFF4CCCC"/>
        <bgColor rgb="FFF4CCCC"/>
      </patternFill>
    </fill>
    <fill>
      <patternFill patternType="solid">
        <fgColor rgb="FFC9DAF8"/>
        <bgColor rgb="FFC9DAF8"/>
      </patternFill>
    </fill>
    <fill>
      <patternFill patternType="solid">
        <fgColor rgb="FFCFE2F3"/>
        <bgColor rgb="FFCFE2F3"/>
      </patternFill>
    </fill>
    <fill>
      <patternFill patternType="solid">
        <fgColor rgb="FFE4E4E4"/>
        <bgColor rgb="FFE4E4E4"/>
      </patternFill>
    </fill>
  </fills>
  <borders count="46">
    <border>
      <left/>
      <right/>
      <top/>
      <bottom/>
      <diagonal/>
    </border>
    <border>
      <left/>
      <right/>
      <top/>
      <bottom style="thick">
        <color rgb="FFA0C1F9"/>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top/>
      <bottom/>
      <diagonal/>
    </border>
    <border>
      <left style="thin">
        <color rgb="FF6AA84F"/>
      </left>
      <right style="thin">
        <color rgb="FF6AA84F"/>
      </right>
      <top style="thin">
        <color rgb="FFB6D7A8"/>
      </top>
      <bottom/>
      <diagonal/>
    </border>
    <border>
      <left style="thin">
        <color rgb="FF6AA84F"/>
      </left>
      <right style="thin">
        <color rgb="FF6AA84F"/>
      </right>
      <top style="thin">
        <color rgb="FF6AA84F"/>
      </top>
      <bottom/>
      <diagonal/>
    </border>
    <border>
      <left style="thin">
        <color rgb="FF6AA84F"/>
      </left>
      <right style="thin">
        <color rgb="FF6AA84F"/>
      </right>
      <top/>
      <bottom/>
      <diagonal/>
    </border>
    <border>
      <left style="thin">
        <color rgb="FF6AA84F"/>
      </left>
      <right style="thin">
        <color rgb="FF6AA84F"/>
      </right>
      <top/>
      <bottom style="thin">
        <color rgb="FF6AA84F"/>
      </bottom>
      <diagonal/>
    </border>
    <border>
      <left style="thin">
        <color rgb="FF6AA84F"/>
      </left>
      <right style="thin">
        <color rgb="FF6AA84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right/>
      <top/>
      <bottom style="thin">
        <color rgb="FF000000"/>
      </bottom>
      <diagonal/>
    </border>
    <border>
      <left/>
      <right/>
      <top/>
      <bottom style="thick">
        <color rgb="FFA0C1F9"/>
      </bottom>
      <diagonal/>
    </border>
    <border>
      <left style="thin">
        <color rgb="FF000000"/>
      </left>
      <right style="thin">
        <color rgb="FF000000"/>
      </right>
      <top style="thin">
        <color rgb="FF000000"/>
      </top>
      <bottom style="thick">
        <color rgb="FFA0C1F9"/>
      </bottom>
      <diagonal/>
    </border>
    <border>
      <left style="thin">
        <color rgb="FF000000"/>
      </left>
      <right style="thin">
        <color rgb="FF000000"/>
      </right>
      <top style="thick">
        <color rgb="FFA0C1F9"/>
      </top>
      <bottom/>
      <diagonal/>
    </border>
    <border>
      <left/>
      <right/>
      <top style="thin">
        <color theme="0"/>
      </top>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theme="0"/>
      </bottom>
      <diagonal/>
    </border>
    <border>
      <left/>
      <right/>
      <top/>
      <bottom/>
      <diagonal/>
    </border>
    <border>
      <left/>
      <right/>
      <top/>
      <bottom/>
      <diagonal/>
    </border>
    <border>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s>
  <cellStyleXfs count="1">
    <xf numFmtId="0" fontId="0" fillId="0" borderId="0"/>
  </cellStyleXfs>
  <cellXfs count="783">
    <xf numFmtId="0" fontId="0" fillId="0" borderId="0" xfId="0" applyFont="1" applyAlignment="1"/>
    <xf numFmtId="0" fontId="1" fillId="0" borderId="1" xfId="0" applyFont="1" applyBorder="1"/>
    <xf numFmtId="9" fontId="1" fillId="0" borderId="1" xfId="0" applyNumberFormat="1" applyFont="1" applyBorder="1" applyAlignment="1">
      <alignment horizontal="right"/>
    </xf>
    <xf numFmtId="0" fontId="2" fillId="0" borderId="0" xfId="0" applyFont="1"/>
    <xf numFmtId="0" fontId="3" fillId="0" borderId="0" xfId="0" applyFont="1"/>
    <xf numFmtId="9" fontId="4" fillId="2" borderId="2" xfId="0" applyNumberFormat="1" applyFont="1" applyFill="1" applyBorder="1" applyAlignment="1">
      <alignment horizontal="right"/>
    </xf>
    <xf numFmtId="1" fontId="4" fillId="2" borderId="2" xfId="0" applyNumberFormat="1" applyFont="1" applyFill="1" applyBorder="1" applyAlignment="1">
      <alignment horizontal="right"/>
    </xf>
    <xf numFmtId="164" fontId="3" fillId="0" borderId="0" xfId="0" applyNumberFormat="1" applyFont="1"/>
    <xf numFmtId="0" fontId="5" fillId="0" borderId="3" xfId="0" applyFont="1" applyBorder="1"/>
    <xf numFmtId="0" fontId="5" fillId="0" borderId="3" xfId="0" applyFont="1" applyBorder="1" applyAlignment="1">
      <alignment horizontal="center"/>
    </xf>
    <xf numFmtId="0" fontId="6" fillId="3" borderId="4" xfId="0" applyFont="1" applyFill="1" applyBorder="1"/>
    <xf numFmtId="0" fontId="6" fillId="3" borderId="4" xfId="0" applyFont="1" applyFill="1" applyBorder="1" applyAlignment="1">
      <alignment horizontal="right"/>
    </xf>
    <xf numFmtId="0" fontId="4" fillId="0" borderId="0" xfId="0" applyFont="1"/>
    <xf numFmtId="0" fontId="3" fillId="0" borderId="5" xfId="0" applyFont="1" applyBorder="1"/>
    <xf numFmtId="0" fontId="7" fillId="4" borderId="4" xfId="0" applyFont="1" applyFill="1" applyBorder="1"/>
    <xf numFmtId="0" fontId="7" fillId="4" borderId="6" xfId="0" applyFont="1" applyFill="1" applyBorder="1" applyAlignment="1">
      <alignment horizontal="center"/>
    </xf>
    <xf numFmtId="0" fontId="3" fillId="4" borderId="4" xfId="0" applyFont="1" applyFill="1" applyBorder="1"/>
    <xf numFmtId="165" fontId="8" fillId="0" borderId="5" xfId="0" applyNumberFormat="1" applyFont="1" applyBorder="1"/>
    <xf numFmtId="165" fontId="3" fillId="0" borderId="0" xfId="0" applyNumberFormat="1" applyFont="1"/>
    <xf numFmtId="165" fontId="9" fillId="0" borderId="7" xfId="0" applyNumberFormat="1" applyFont="1" applyBorder="1"/>
    <xf numFmtId="165" fontId="7" fillId="4" borderId="8" xfId="0" applyNumberFormat="1" applyFont="1" applyFill="1" applyBorder="1"/>
    <xf numFmtId="165" fontId="8" fillId="0" borderId="7" xfId="0" applyNumberFormat="1" applyFont="1" applyBorder="1"/>
    <xf numFmtId="0" fontId="4" fillId="4" borderId="4" xfId="0" applyFont="1" applyFill="1" applyBorder="1"/>
    <xf numFmtId="165" fontId="4" fillId="4" borderId="9" xfId="0" applyNumberFormat="1" applyFont="1" applyFill="1" applyBorder="1"/>
    <xf numFmtId="0" fontId="2" fillId="0" borderId="0" xfId="0" applyFont="1" applyAlignment="1">
      <alignment wrapText="1"/>
    </xf>
    <xf numFmtId="165" fontId="3" fillId="0" borderId="7" xfId="0" applyNumberFormat="1" applyFont="1" applyBorder="1"/>
    <xf numFmtId="0" fontId="10" fillId="4" borderId="4" xfId="0" applyFont="1" applyFill="1" applyBorder="1" applyAlignment="1">
      <alignment horizontal="left"/>
    </xf>
    <xf numFmtId="165" fontId="3" fillId="4" borderId="9" xfId="0" applyNumberFormat="1" applyFont="1" applyFill="1" applyBorder="1"/>
    <xf numFmtId="0" fontId="11" fillId="4" borderId="4" xfId="0" applyFont="1" applyFill="1" applyBorder="1"/>
    <xf numFmtId="166" fontId="3" fillId="0" borderId="0" xfId="0" applyNumberFormat="1" applyFont="1"/>
    <xf numFmtId="0" fontId="12" fillId="3" borderId="12" xfId="0" applyFont="1" applyFill="1" applyBorder="1" applyAlignment="1">
      <alignment horizontal="center"/>
    </xf>
    <xf numFmtId="0" fontId="12" fillId="3" borderId="2" xfId="0" applyFont="1" applyFill="1" applyBorder="1" applyAlignment="1">
      <alignment horizontal="center"/>
    </xf>
    <xf numFmtId="0" fontId="3" fillId="0" borderId="2" xfId="0" applyFont="1" applyBorder="1" applyAlignment="1">
      <alignment horizontal="center" vertical="center"/>
    </xf>
    <xf numFmtId="1" fontId="3" fillId="0" borderId="14" xfId="0" applyNumberFormat="1" applyFont="1" applyBorder="1" applyAlignment="1">
      <alignment horizontal="center"/>
    </xf>
    <xf numFmtId="166" fontId="3" fillId="0" borderId="2" xfId="0" applyNumberFormat="1" applyFont="1" applyBorder="1"/>
    <xf numFmtId="10" fontId="3" fillId="0" borderId="10" xfId="0" applyNumberFormat="1" applyFont="1" applyBorder="1"/>
    <xf numFmtId="10" fontId="3" fillId="0" borderId="14" xfId="0" applyNumberFormat="1" applyFont="1" applyBorder="1"/>
    <xf numFmtId="1" fontId="3" fillId="0" borderId="17" xfId="0" applyNumberFormat="1" applyFont="1" applyBorder="1" applyAlignment="1">
      <alignment horizontal="center"/>
    </xf>
    <xf numFmtId="166" fontId="3" fillId="0" borderId="15" xfId="0" applyNumberFormat="1" applyFont="1" applyBorder="1"/>
    <xf numFmtId="10" fontId="3" fillId="0" borderId="18" xfId="0" applyNumberFormat="1" applyFont="1" applyBorder="1"/>
    <xf numFmtId="10" fontId="3" fillId="0" borderId="0" xfId="0" applyNumberFormat="1" applyFont="1"/>
    <xf numFmtId="166" fontId="3" fillId="0" borderId="16" xfId="0" applyNumberFormat="1" applyFont="1" applyBorder="1"/>
    <xf numFmtId="0" fontId="3" fillId="0" borderId="16" xfId="0" applyFont="1" applyBorder="1"/>
    <xf numFmtId="166" fontId="3" fillId="0" borderId="18" xfId="0" applyNumberFormat="1" applyFont="1" applyBorder="1"/>
    <xf numFmtId="10" fontId="3" fillId="0" borderId="19" xfId="0" applyNumberFormat="1" applyFont="1" applyBorder="1"/>
    <xf numFmtId="167" fontId="3" fillId="0" borderId="19" xfId="0" applyNumberFormat="1" applyFont="1" applyBorder="1" applyAlignment="1">
      <alignment horizontal="center"/>
    </xf>
    <xf numFmtId="4" fontId="3" fillId="0" borderId="19" xfId="0" applyNumberFormat="1" applyFont="1" applyBorder="1" applyAlignment="1">
      <alignment horizontal="center"/>
    </xf>
    <xf numFmtId="0" fontId="3" fillId="0" borderId="2" xfId="0" applyFont="1" applyBorder="1"/>
    <xf numFmtId="166" fontId="3" fillId="0" borderId="10" xfId="0" applyNumberFormat="1" applyFont="1" applyBorder="1"/>
    <xf numFmtId="1" fontId="3" fillId="0" borderId="21" xfId="0" applyNumberFormat="1" applyFont="1" applyBorder="1" applyAlignment="1">
      <alignment horizontal="center"/>
    </xf>
    <xf numFmtId="166" fontId="3" fillId="0" borderId="20" xfId="0" applyNumberFormat="1" applyFont="1" applyBorder="1"/>
    <xf numFmtId="0" fontId="3" fillId="0" borderId="20" xfId="0" applyFont="1" applyBorder="1" applyAlignment="1">
      <alignment horizontal="center" vertical="center"/>
    </xf>
    <xf numFmtId="0" fontId="3" fillId="0" borderId="19" xfId="0" applyFont="1" applyBorder="1" applyAlignment="1">
      <alignment horizontal="center"/>
    </xf>
    <xf numFmtId="166" fontId="3" fillId="4" borderId="2" xfId="0" applyNumberFormat="1" applyFont="1" applyFill="1" applyBorder="1"/>
    <xf numFmtId="10" fontId="3" fillId="4" borderId="22" xfId="0" applyNumberFormat="1" applyFont="1" applyFill="1" applyBorder="1"/>
    <xf numFmtId="10" fontId="3" fillId="4" borderId="23" xfId="0" applyNumberFormat="1" applyFont="1" applyFill="1" applyBorder="1"/>
    <xf numFmtId="166" fontId="3" fillId="4" borderId="24" xfId="0" applyNumberFormat="1" applyFont="1" applyFill="1" applyBorder="1"/>
    <xf numFmtId="166" fontId="14" fillId="0" borderId="0" xfId="0" applyNumberFormat="1" applyFont="1"/>
    <xf numFmtId="1" fontId="3" fillId="0" borderId="17" xfId="0" applyNumberFormat="1" applyFont="1" applyBorder="1" applyAlignment="1">
      <alignment horizontal="center" vertical="center"/>
    </xf>
    <xf numFmtId="1" fontId="3" fillId="0" borderId="19" xfId="0" applyNumberFormat="1" applyFont="1" applyBorder="1" applyAlignment="1">
      <alignment horizontal="center" vertical="center"/>
    </xf>
    <xf numFmtId="10" fontId="3" fillId="0" borderId="13" xfId="0" applyNumberFormat="1" applyFont="1" applyBorder="1"/>
    <xf numFmtId="0" fontId="3" fillId="0" borderId="14" xfId="0" applyFont="1" applyBorder="1" applyAlignment="1">
      <alignment horizontal="center"/>
    </xf>
    <xf numFmtId="10" fontId="3" fillId="0" borderId="25" xfId="0" applyNumberFormat="1" applyFont="1" applyBorder="1"/>
    <xf numFmtId="10" fontId="3" fillId="0" borderId="21" xfId="0" applyNumberFormat="1" applyFont="1" applyBorder="1"/>
    <xf numFmtId="0" fontId="15" fillId="3" borderId="4" xfId="0" applyFont="1" applyFill="1" applyBorder="1"/>
    <xf numFmtId="0" fontId="16" fillId="3" borderId="4" xfId="0" applyFont="1" applyFill="1" applyBorder="1"/>
    <xf numFmtId="0" fontId="12" fillId="3" borderId="4" xfId="0" applyFont="1" applyFill="1" applyBorder="1"/>
    <xf numFmtId="165" fontId="3" fillId="0" borderId="2" xfId="0" applyNumberFormat="1" applyFont="1" applyBorder="1"/>
    <xf numFmtId="0" fontId="3" fillId="4" borderId="2" xfId="0" applyFont="1" applyFill="1" applyBorder="1"/>
    <xf numFmtId="2" fontId="3" fillId="0" borderId="2" xfId="0" applyNumberFormat="1" applyFont="1" applyBorder="1"/>
    <xf numFmtId="164" fontId="3" fillId="0" borderId="2" xfId="0" applyNumberFormat="1" applyFont="1" applyBorder="1"/>
    <xf numFmtId="0" fontId="3" fillId="4" borderId="22" xfId="0" applyFont="1" applyFill="1" applyBorder="1" applyAlignment="1">
      <alignment horizontal="center"/>
    </xf>
    <xf numFmtId="0" fontId="3" fillId="4" borderId="12" xfId="0" applyFont="1" applyFill="1" applyBorder="1" applyAlignment="1">
      <alignment horizontal="center"/>
    </xf>
    <xf numFmtId="0" fontId="3" fillId="4" borderId="12" xfId="0" applyFont="1" applyFill="1" applyBorder="1" applyAlignment="1">
      <alignment horizontal="center" wrapText="1"/>
    </xf>
    <xf numFmtId="0" fontId="3" fillId="4" borderId="23" xfId="0" applyFont="1" applyFill="1" applyBorder="1" applyAlignment="1">
      <alignment horizontal="center"/>
    </xf>
    <xf numFmtId="0" fontId="3" fillId="0" borderId="26" xfId="0" applyFont="1" applyBorder="1"/>
    <xf numFmtId="166" fontId="3" fillId="0" borderId="3" xfId="0" applyNumberFormat="1" applyFont="1" applyBorder="1"/>
    <xf numFmtId="10" fontId="3" fillId="0" borderId="17" xfId="0" applyNumberFormat="1" applyFont="1" applyBorder="1"/>
    <xf numFmtId="0" fontId="3" fillId="0" borderId="18" xfId="0" applyFont="1" applyBorder="1"/>
    <xf numFmtId="0" fontId="3" fillId="0" borderId="0" xfId="0" applyFont="1" applyAlignment="1">
      <alignment horizontal="right"/>
    </xf>
    <xf numFmtId="0" fontId="3" fillId="0" borderId="10" xfId="0" applyFont="1" applyBorder="1"/>
    <xf numFmtId="165" fontId="3" fillId="0" borderId="13" xfId="0" applyNumberFormat="1" applyFont="1" applyBorder="1"/>
    <xf numFmtId="10" fontId="17" fillId="0" borderId="0" xfId="0" applyNumberFormat="1" applyFont="1"/>
    <xf numFmtId="166" fontId="3" fillId="0" borderId="19" xfId="0" applyNumberFormat="1" applyFont="1" applyBorder="1"/>
    <xf numFmtId="0" fontId="3" fillId="0" borderId="18" xfId="0" applyFont="1" applyBorder="1" applyAlignment="1"/>
    <xf numFmtId="0" fontId="3" fillId="0" borderId="13" xfId="0" applyFont="1" applyBorder="1"/>
    <xf numFmtId="166" fontId="3" fillId="0" borderId="13" xfId="0" applyNumberFormat="1" applyFont="1" applyBorder="1"/>
    <xf numFmtId="10" fontId="17" fillId="0" borderId="13" xfId="0" applyNumberFormat="1" applyFont="1" applyBorder="1"/>
    <xf numFmtId="166" fontId="3" fillId="0" borderId="14" xfId="0" applyNumberFormat="1" applyFont="1" applyBorder="1"/>
    <xf numFmtId="10" fontId="18" fillId="0" borderId="0" xfId="0" applyNumberFormat="1" applyFont="1"/>
    <xf numFmtId="10" fontId="17" fillId="0" borderId="27" xfId="0" applyNumberFormat="1" applyFont="1" applyBorder="1"/>
    <xf numFmtId="0" fontId="3" fillId="0" borderId="15" xfId="0" applyFont="1" applyBorder="1"/>
    <xf numFmtId="168" fontId="17" fillId="0" borderId="17" xfId="0" applyNumberFormat="1" applyFont="1" applyBorder="1"/>
    <xf numFmtId="10" fontId="17" fillId="0" borderId="19" xfId="0" applyNumberFormat="1" applyFont="1" applyBorder="1"/>
    <xf numFmtId="0" fontId="3" fillId="0" borderId="2" xfId="0" quotePrefix="1" applyFont="1" applyBorder="1"/>
    <xf numFmtId="10" fontId="17" fillId="0" borderId="2" xfId="0" applyNumberFormat="1" applyFont="1" applyBorder="1"/>
    <xf numFmtId="0" fontId="16" fillId="3" borderId="4" xfId="0" applyFont="1" applyFill="1" applyBorder="1" applyAlignment="1">
      <alignment horizontal="center"/>
    </xf>
    <xf numFmtId="165" fontId="17" fillId="0" borderId="0" xfId="0" applyNumberFormat="1" applyFont="1"/>
    <xf numFmtId="0" fontId="3" fillId="0" borderId="27" xfId="0" applyFont="1" applyBorder="1"/>
    <xf numFmtId="165" fontId="17" fillId="0" borderId="27" xfId="0" applyNumberFormat="1" applyFont="1" applyBorder="1"/>
    <xf numFmtId="166" fontId="3" fillId="0" borderId="27" xfId="0" applyNumberFormat="1" applyFont="1" applyBorder="1"/>
    <xf numFmtId="0" fontId="4" fillId="0" borderId="13" xfId="0" applyFont="1" applyBorder="1"/>
    <xf numFmtId="165" fontId="17" fillId="0" borderId="13" xfId="0" applyNumberFormat="1" applyFont="1" applyBorder="1"/>
    <xf numFmtId="165" fontId="19" fillId="0" borderId="0" xfId="0" applyNumberFormat="1" applyFont="1"/>
    <xf numFmtId="0" fontId="14" fillId="0" borderId="27" xfId="0" applyFont="1" applyBorder="1"/>
    <xf numFmtId="165" fontId="3" fillId="0" borderId="27" xfId="0" applyNumberFormat="1" applyFont="1" applyBorder="1"/>
    <xf numFmtId="0" fontId="20" fillId="0" borderId="0" xfId="0" applyFont="1"/>
    <xf numFmtId="0" fontId="21" fillId="0" borderId="0" xfId="0" applyFont="1"/>
    <xf numFmtId="9" fontId="20" fillId="0" borderId="0" xfId="0" applyNumberFormat="1" applyFont="1"/>
    <xf numFmtId="9" fontId="20" fillId="0" borderId="10" xfId="0" applyNumberFormat="1" applyFont="1" applyBorder="1" applyAlignment="1">
      <alignment vertical="top"/>
    </xf>
    <xf numFmtId="9" fontId="20" fillId="0" borderId="14" xfId="0" applyNumberFormat="1" applyFont="1" applyBorder="1" applyAlignment="1">
      <alignment vertical="top"/>
    </xf>
    <xf numFmtId="169" fontId="20" fillId="0" borderId="2" xfId="0" applyNumberFormat="1" applyFont="1" applyBorder="1" applyAlignment="1">
      <alignment horizontal="center" vertical="top"/>
    </xf>
    <xf numFmtId="170" fontId="20" fillId="0" borderId="2" xfId="0" applyNumberFormat="1" applyFont="1" applyBorder="1" applyAlignment="1">
      <alignment horizontal="center" vertical="top"/>
    </xf>
    <xf numFmtId="9" fontId="20" fillId="0" borderId="2" xfId="0" applyNumberFormat="1" applyFont="1" applyBorder="1" applyAlignment="1">
      <alignment vertical="top"/>
    </xf>
    <xf numFmtId="171" fontId="20" fillId="0" borderId="2" xfId="0" applyNumberFormat="1" applyFont="1" applyBorder="1" applyAlignment="1">
      <alignment vertical="top"/>
    </xf>
    <xf numFmtId="0" fontId="20" fillId="5" borderId="2" xfId="0" applyFont="1" applyFill="1" applyBorder="1"/>
    <xf numFmtId="9" fontId="22" fillId="5" borderId="2" xfId="0" applyNumberFormat="1" applyFont="1" applyFill="1" applyBorder="1" applyAlignment="1">
      <alignment horizontal="right"/>
    </xf>
    <xf numFmtId="9" fontId="23" fillId="0" borderId="2" xfId="0" applyNumberFormat="1" applyFont="1" applyBorder="1" applyAlignment="1">
      <alignment vertical="top"/>
    </xf>
    <xf numFmtId="171" fontId="23" fillId="0" borderId="2" xfId="0" applyNumberFormat="1" applyFont="1" applyBorder="1" applyAlignment="1">
      <alignment vertical="top"/>
    </xf>
    <xf numFmtId="0" fontId="20" fillId="6" borderId="2" xfId="0" applyFont="1" applyFill="1" applyBorder="1"/>
    <xf numFmtId="9" fontId="22" fillId="6" borderId="2" xfId="0" applyNumberFormat="1" applyFont="1" applyFill="1" applyBorder="1" applyAlignment="1">
      <alignment horizontal="right"/>
    </xf>
    <xf numFmtId="1" fontId="22" fillId="5" borderId="2" xfId="0" applyNumberFormat="1" applyFont="1" applyFill="1" applyBorder="1" applyAlignment="1">
      <alignment horizontal="right"/>
    </xf>
    <xf numFmtId="1" fontId="22" fillId="6" borderId="2" xfId="0" applyNumberFormat="1" applyFont="1" applyFill="1" applyBorder="1" applyAlignment="1">
      <alignment horizontal="right"/>
    </xf>
    <xf numFmtId="0" fontId="20" fillId="0" borderId="2" xfId="0" applyFont="1" applyBorder="1"/>
    <xf numFmtId="171" fontId="20" fillId="0" borderId="2" xfId="0" applyNumberFormat="1" applyFont="1" applyBorder="1"/>
    <xf numFmtId="0" fontId="20" fillId="0" borderId="26" xfId="0" applyFont="1" applyBorder="1"/>
    <xf numFmtId="0" fontId="20" fillId="0" borderId="14" xfId="0" applyFont="1" applyBorder="1"/>
    <xf numFmtId="169" fontId="20" fillId="0" borderId="15" xfId="0" applyNumberFormat="1" applyFont="1" applyBorder="1" applyAlignment="1">
      <alignment horizontal="center"/>
    </xf>
    <xf numFmtId="9" fontId="20" fillId="0" borderId="14" xfId="0" applyNumberFormat="1" applyFont="1" applyBorder="1"/>
    <xf numFmtId="9" fontId="23" fillId="0" borderId="14" xfId="0" applyNumberFormat="1" applyFont="1" applyBorder="1"/>
    <xf numFmtId="171" fontId="23" fillId="0" borderId="2" xfId="0" applyNumberFormat="1" applyFont="1" applyBorder="1"/>
    <xf numFmtId="0" fontId="20" fillId="0" borderId="10" xfId="0" applyFont="1" applyBorder="1"/>
    <xf numFmtId="9" fontId="23" fillId="0" borderId="2" xfId="0" applyNumberFormat="1" applyFont="1" applyBorder="1"/>
    <xf numFmtId="9" fontId="20" fillId="0" borderId="2" xfId="0" applyNumberFormat="1" applyFont="1" applyBorder="1"/>
    <xf numFmtId="169" fontId="20" fillId="0" borderId="14" xfId="0" applyNumberFormat="1" applyFont="1" applyBorder="1" applyAlignment="1">
      <alignment horizontal="center"/>
    </xf>
    <xf numFmtId="169" fontId="20" fillId="0" borderId="2" xfId="0" applyNumberFormat="1" applyFont="1" applyBorder="1" applyAlignment="1">
      <alignment horizontal="center"/>
    </xf>
    <xf numFmtId="170" fontId="20" fillId="0" borderId="15" xfId="0" applyNumberFormat="1" applyFont="1" applyBorder="1" applyAlignment="1">
      <alignment horizontal="center" vertical="top"/>
    </xf>
    <xf numFmtId="0" fontId="20" fillId="0" borderId="21" xfId="0" applyFont="1" applyBorder="1"/>
    <xf numFmtId="0" fontId="20" fillId="0" borderId="27" xfId="0" applyFont="1" applyBorder="1"/>
    <xf numFmtId="0" fontId="20" fillId="0" borderId="13" xfId="0" applyFont="1" applyBorder="1"/>
    <xf numFmtId="171" fontId="22" fillId="0" borderId="2" xfId="0" applyNumberFormat="1" applyFont="1" applyBorder="1"/>
    <xf numFmtId="0" fontId="23" fillId="0" borderId="14" xfId="0" applyFont="1" applyBorder="1"/>
    <xf numFmtId="0" fontId="23" fillId="0" borderId="13" xfId="0" applyFont="1" applyBorder="1"/>
    <xf numFmtId="0" fontId="17" fillId="0" borderId="0" xfId="0" applyFont="1"/>
    <xf numFmtId="171" fontId="20" fillId="0" borderId="0" xfId="0" applyNumberFormat="1" applyFont="1"/>
    <xf numFmtId="0" fontId="24" fillId="3" borderId="28" xfId="0" applyFont="1" applyFill="1" applyBorder="1" applyAlignment="1">
      <alignment horizontal="left"/>
    </xf>
    <xf numFmtId="0" fontId="24" fillId="3" borderId="28" xfId="0" applyFont="1" applyFill="1" applyBorder="1" applyAlignment="1">
      <alignment horizontal="center"/>
    </xf>
    <xf numFmtId="0" fontId="24" fillId="3" borderId="29" xfId="0" applyFont="1" applyFill="1" applyBorder="1" applyAlignment="1">
      <alignment horizontal="center"/>
    </xf>
    <xf numFmtId="0" fontId="24" fillId="7" borderId="28" xfId="0" applyFont="1" applyFill="1" applyBorder="1" applyAlignment="1">
      <alignment horizontal="left"/>
    </xf>
    <xf numFmtId="0" fontId="24" fillId="7" borderId="28" xfId="0" applyFont="1" applyFill="1" applyBorder="1" applyAlignment="1">
      <alignment horizontal="center"/>
    </xf>
    <xf numFmtId="0" fontId="24" fillId="0" borderId="1" xfId="0" applyFont="1" applyBorder="1"/>
    <xf numFmtId="0" fontId="25" fillId="3" borderId="4" xfId="0" applyFont="1" applyFill="1" applyBorder="1"/>
    <xf numFmtId="0" fontId="25" fillId="3" borderId="4" xfId="0" applyFont="1" applyFill="1" applyBorder="1" applyAlignment="1">
      <alignment horizontal="center"/>
    </xf>
    <xf numFmtId="0" fontId="25" fillId="7" borderId="4" xfId="0" applyFont="1" applyFill="1" applyBorder="1" applyAlignment="1">
      <alignment horizontal="left"/>
    </xf>
    <xf numFmtId="0" fontId="25" fillId="7" borderId="4" xfId="0" applyFont="1" applyFill="1" applyBorder="1" applyAlignment="1">
      <alignment horizontal="center"/>
    </xf>
    <xf numFmtId="0" fontId="25" fillId="3" borderId="31" xfId="0" applyFont="1" applyFill="1" applyBorder="1"/>
    <xf numFmtId="0" fontId="25" fillId="3" borderId="31" xfId="0" applyFont="1" applyFill="1" applyBorder="1" applyAlignment="1">
      <alignment horizontal="center"/>
    </xf>
    <xf numFmtId="0" fontId="25" fillId="7" borderId="31" xfId="0" applyFont="1" applyFill="1" applyBorder="1" applyAlignment="1">
      <alignment horizontal="left"/>
    </xf>
    <xf numFmtId="0" fontId="25" fillId="7" borderId="31" xfId="0" applyFont="1" applyFill="1" applyBorder="1" applyAlignment="1">
      <alignment horizontal="center"/>
    </xf>
    <xf numFmtId="0" fontId="6" fillId="3" borderId="31" xfId="0" applyFont="1" applyFill="1" applyBorder="1"/>
    <xf numFmtId="0" fontId="12" fillId="3" borderId="31" xfId="0" applyFont="1" applyFill="1" applyBorder="1"/>
    <xf numFmtId="0" fontId="6" fillId="3" borderId="4" xfId="0" applyFont="1" applyFill="1" applyBorder="1" applyAlignment="1">
      <alignment horizontal="center"/>
    </xf>
    <xf numFmtId="0" fontId="6" fillId="3" borderId="33" xfId="0" applyFont="1" applyFill="1" applyBorder="1" applyAlignment="1">
      <alignment horizontal="center"/>
    </xf>
    <xf numFmtId="0" fontId="6" fillId="7" borderId="4" xfId="0" applyFont="1" applyFill="1" applyBorder="1" applyAlignment="1">
      <alignment horizontal="left"/>
    </xf>
    <xf numFmtId="0" fontId="6" fillId="7" borderId="4" xfId="0" applyFont="1" applyFill="1" applyBorder="1" applyAlignment="1">
      <alignment horizontal="center"/>
    </xf>
    <xf numFmtId="0" fontId="6" fillId="7" borderId="34" xfId="0" applyFont="1" applyFill="1" applyBorder="1" applyAlignment="1">
      <alignment horizontal="center"/>
    </xf>
    <xf numFmtId="0" fontId="4" fillId="0" borderId="19" xfId="0" applyFont="1" applyBorder="1"/>
    <xf numFmtId="165" fontId="10" fillId="0" borderId="0" xfId="0" applyNumberFormat="1" applyFont="1" applyAlignment="1">
      <alignment horizontal="center"/>
    </xf>
    <xf numFmtId="165" fontId="2" fillId="0" borderId="0" xfId="0" quotePrefix="1" applyNumberFormat="1" applyFont="1" applyAlignment="1">
      <alignment horizontal="center"/>
    </xf>
    <xf numFmtId="165" fontId="2" fillId="0" borderId="16" xfId="0" applyNumberFormat="1" applyFont="1" applyBorder="1" applyAlignment="1">
      <alignment horizontal="center"/>
    </xf>
    <xf numFmtId="166" fontId="2" fillId="0" borderId="19" xfId="0" applyNumberFormat="1" applyFont="1" applyBorder="1" applyAlignment="1">
      <alignment horizontal="left"/>
    </xf>
    <xf numFmtId="165" fontId="2" fillId="0" borderId="0" xfId="0" applyNumberFormat="1" applyFont="1" applyAlignment="1">
      <alignment horizontal="center"/>
    </xf>
    <xf numFmtId="0" fontId="26" fillId="0" borderId="2" xfId="0" applyFont="1" applyBorder="1"/>
    <xf numFmtId="165" fontId="26" fillId="0" borderId="13" xfId="0" applyNumberFormat="1" applyFont="1" applyBorder="1" applyAlignment="1">
      <alignment horizontal="center"/>
    </xf>
    <xf numFmtId="165" fontId="26" fillId="0" borderId="2" xfId="0" applyNumberFormat="1" applyFont="1" applyBorder="1" applyAlignment="1">
      <alignment horizontal="center"/>
    </xf>
    <xf numFmtId="0" fontId="10" fillId="0" borderId="14" xfId="0" applyFont="1" applyBorder="1" applyAlignment="1">
      <alignment vertical="center" wrapText="1"/>
    </xf>
    <xf numFmtId="165" fontId="4" fillId="0" borderId="13" xfId="0" applyNumberFormat="1" applyFont="1" applyBorder="1" applyAlignment="1">
      <alignment horizontal="center" vertical="center"/>
    </xf>
    <xf numFmtId="165" fontId="2" fillId="0" borderId="2" xfId="0" applyNumberFormat="1" applyFont="1" applyBorder="1" applyAlignment="1">
      <alignment horizontal="center" vertical="center"/>
    </xf>
    <xf numFmtId="0" fontId="2" fillId="0" borderId="19" xfId="0" applyFont="1" applyBorder="1" applyAlignment="1">
      <alignment vertical="center"/>
    </xf>
    <xf numFmtId="166" fontId="3" fillId="0" borderId="0" xfId="0" applyNumberFormat="1" applyFont="1" applyAlignment="1">
      <alignment horizontal="center"/>
    </xf>
    <xf numFmtId="0" fontId="2" fillId="0" borderId="0" xfId="0" applyFont="1" applyAlignment="1">
      <alignment vertical="center"/>
    </xf>
    <xf numFmtId="0" fontId="3" fillId="0" borderId="0" xfId="0" applyFont="1" applyAlignment="1">
      <alignment vertical="center"/>
    </xf>
    <xf numFmtId="0" fontId="6" fillId="3" borderId="34" xfId="0" applyFont="1" applyFill="1" applyBorder="1"/>
    <xf numFmtId="0" fontId="27" fillId="7" borderId="34" xfId="0" applyFont="1" applyFill="1" applyBorder="1"/>
    <xf numFmtId="0" fontId="2" fillId="7" borderId="4" xfId="0" applyFont="1" applyFill="1" applyBorder="1"/>
    <xf numFmtId="165" fontId="28" fillId="8" borderId="4" xfId="0" applyNumberFormat="1" applyFont="1" applyFill="1" applyBorder="1" applyAlignment="1">
      <alignment horizontal="center"/>
    </xf>
    <xf numFmtId="166" fontId="2" fillId="0" borderId="13" xfId="0" applyNumberFormat="1" applyFont="1" applyBorder="1" applyAlignment="1">
      <alignment horizontal="center"/>
    </xf>
    <xf numFmtId="0" fontId="2" fillId="0" borderId="2" xfId="0" applyFont="1" applyBorder="1" applyAlignment="1">
      <alignment horizontal="center"/>
    </xf>
    <xf numFmtId="0" fontId="10" fillId="0" borderId="19" xfId="0" applyFont="1" applyBorder="1"/>
    <xf numFmtId="165" fontId="28" fillId="0" borderId="3" xfId="0" applyNumberFormat="1" applyFont="1" applyBorder="1" applyAlignment="1">
      <alignment horizontal="center" vertical="center"/>
    </xf>
    <xf numFmtId="0" fontId="2" fillId="0" borderId="19" xfId="0" applyFont="1" applyBorder="1"/>
    <xf numFmtId="3" fontId="8" fillId="5" borderId="35" xfId="0" applyNumberFormat="1" applyFont="1" applyFill="1" applyBorder="1" applyAlignment="1">
      <alignment horizontal="center"/>
    </xf>
    <xf numFmtId="9" fontId="2" fillId="0" borderId="0" xfId="0" applyNumberFormat="1" applyFont="1" applyAlignment="1">
      <alignment horizontal="center"/>
    </xf>
    <xf numFmtId="0" fontId="2" fillId="0" borderId="0" xfId="0" applyFont="1" applyAlignment="1">
      <alignment horizontal="center"/>
    </xf>
    <xf numFmtId="0" fontId="2" fillId="0" borderId="16" xfId="0" applyFont="1" applyBorder="1" applyAlignment="1">
      <alignment horizontal="center"/>
    </xf>
    <xf numFmtId="0" fontId="3" fillId="0" borderId="19" xfId="0" applyFont="1" applyBorder="1"/>
    <xf numFmtId="9" fontId="8" fillId="5" borderId="2" xfId="0" applyNumberFormat="1" applyFont="1" applyFill="1" applyBorder="1" applyAlignment="1">
      <alignment horizontal="center"/>
    </xf>
    <xf numFmtId="9" fontId="8" fillId="5" borderId="23" xfId="0" applyNumberFormat="1" applyFont="1" applyFill="1" applyBorder="1" applyAlignment="1">
      <alignment horizontal="center"/>
    </xf>
    <xf numFmtId="9" fontId="8" fillId="5" borderId="35" xfId="0" applyNumberFormat="1" applyFont="1" applyFill="1" applyBorder="1" applyAlignment="1">
      <alignment horizontal="center"/>
    </xf>
    <xf numFmtId="8" fontId="2" fillId="0" borderId="0" xfId="0" applyNumberFormat="1" applyFont="1"/>
    <xf numFmtId="166" fontId="29" fillId="0" borderId="0" xfId="0" applyNumberFormat="1" applyFont="1"/>
    <xf numFmtId="0" fontId="2" fillId="0" borderId="13" xfId="0" applyFont="1" applyBorder="1" applyAlignment="1">
      <alignment horizontal="center"/>
    </xf>
    <xf numFmtId="165" fontId="2" fillId="0" borderId="13" xfId="0" applyNumberFormat="1" applyFont="1" applyBorder="1" applyAlignment="1">
      <alignment horizontal="center"/>
    </xf>
    <xf numFmtId="165" fontId="2" fillId="0" borderId="2" xfId="0" applyNumberFormat="1" applyFont="1" applyBorder="1" applyAlignment="1">
      <alignment horizontal="center"/>
    </xf>
    <xf numFmtId="0" fontId="2" fillId="0" borderId="36" xfId="0" applyFont="1" applyBorder="1"/>
    <xf numFmtId="165" fontId="2" fillId="0" borderId="10" xfId="0" applyNumberFormat="1" applyFont="1" applyBorder="1" applyAlignment="1">
      <alignment horizontal="center"/>
    </xf>
    <xf numFmtId="0" fontId="2" fillId="0" borderId="2" xfId="0" applyFont="1" applyBorder="1"/>
    <xf numFmtId="165" fontId="3" fillId="0" borderId="13" xfId="0" applyNumberFormat="1" applyFont="1" applyBorder="1" applyAlignment="1">
      <alignment horizontal="center"/>
    </xf>
    <xf numFmtId="0" fontId="3" fillId="9" borderId="4" xfId="0" applyFont="1" applyFill="1" applyBorder="1"/>
    <xf numFmtId="0" fontId="6" fillId="7" borderId="24" xfId="0" applyFont="1" applyFill="1" applyBorder="1"/>
    <xf numFmtId="0" fontId="4" fillId="10" borderId="2" xfId="0" applyFont="1" applyFill="1" applyBorder="1"/>
    <xf numFmtId="0" fontId="2" fillId="10" borderId="12" xfId="0" applyFont="1" applyFill="1" applyBorder="1" applyAlignment="1">
      <alignment horizontal="center"/>
    </xf>
    <xf numFmtId="165" fontId="2" fillId="10" borderId="22" xfId="0" applyNumberFormat="1" applyFont="1" applyFill="1" applyBorder="1" applyAlignment="1">
      <alignment horizontal="center"/>
    </xf>
    <xf numFmtId="165" fontId="3" fillId="0" borderId="2" xfId="0" applyNumberFormat="1" applyFont="1" applyBorder="1" applyAlignment="1">
      <alignment horizontal="left"/>
    </xf>
    <xf numFmtId="165" fontId="3" fillId="0" borderId="2" xfId="0" applyNumberFormat="1" applyFont="1" applyBorder="1" applyAlignment="1">
      <alignment horizontal="center"/>
    </xf>
    <xf numFmtId="0" fontId="3" fillId="10" borderId="4" xfId="0" applyFont="1" applyFill="1" applyBorder="1"/>
    <xf numFmtId="165" fontId="28" fillId="0" borderId="2" xfId="0" applyNumberFormat="1" applyFont="1" applyBorder="1" applyAlignment="1">
      <alignment horizontal="center"/>
    </xf>
    <xf numFmtId="0" fontId="8" fillId="0" borderId="0" xfId="0" applyFont="1"/>
    <xf numFmtId="0" fontId="27" fillId="7" borderId="33" xfId="0" applyFont="1" applyFill="1" applyBorder="1"/>
    <xf numFmtId="165" fontId="14" fillId="0" borderId="0" xfId="0" applyNumberFormat="1" applyFont="1"/>
    <xf numFmtId="9" fontId="3" fillId="0" borderId="0" xfId="0" applyNumberFormat="1" applyFont="1" applyAlignment="1">
      <alignment horizontal="center"/>
    </xf>
    <xf numFmtId="0" fontId="14" fillId="0" borderId="0" xfId="0" applyFont="1"/>
    <xf numFmtId="9" fontId="3" fillId="0" borderId="2" xfId="0" applyNumberFormat="1" applyFont="1" applyBorder="1" applyAlignment="1">
      <alignment horizontal="center"/>
    </xf>
    <xf numFmtId="0" fontId="4" fillId="0" borderId="2" xfId="0" applyFont="1" applyBorder="1"/>
    <xf numFmtId="0" fontId="3" fillId="0" borderId="20" xfId="0" applyFont="1" applyBorder="1" applyAlignment="1">
      <alignment horizontal="left"/>
    </xf>
    <xf numFmtId="165" fontId="2" fillId="0" borderId="27" xfId="0" applyNumberFormat="1" applyFont="1" applyBorder="1" applyAlignment="1">
      <alignment horizontal="center"/>
    </xf>
    <xf numFmtId="0" fontId="3" fillId="0" borderId="2" xfId="0" applyFont="1" applyBorder="1" applyAlignment="1">
      <alignment horizontal="center"/>
    </xf>
    <xf numFmtId="172" fontId="3" fillId="0" borderId="2" xfId="0" applyNumberFormat="1" applyFont="1" applyBorder="1" applyAlignment="1">
      <alignment horizontal="center"/>
    </xf>
    <xf numFmtId="1" fontId="3" fillId="0" borderId="2" xfId="0" applyNumberFormat="1" applyFont="1" applyBorder="1" applyAlignment="1">
      <alignment horizontal="center"/>
    </xf>
    <xf numFmtId="2" fontId="3" fillId="0" borderId="2" xfId="0" applyNumberFormat="1" applyFont="1" applyBorder="1" applyAlignment="1">
      <alignment horizontal="center"/>
    </xf>
    <xf numFmtId="0" fontId="3" fillId="0" borderId="18" xfId="0" applyFont="1" applyBorder="1" applyAlignment="1">
      <alignment horizontal="left"/>
    </xf>
    <xf numFmtId="165" fontId="3" fillId="0" borderId="20" xfId="0" applyNumberFormat="1" applyFont="1" applyBorder="1" applyAlignment="1">
      <alignment horizontal="center"/>
    </xf>
    <xf numFmtId="0" fontId="6" fillId="7" borderId="33" xfId="0" applyFont="1" applyFill="1" applyBorder="1"/>
    <xf numFmtId="10" fontId="27" fillId="7" borderId="33" xfId="0" applyNumberFormat="1" applyFont="1" applyFill="1" applyBorder="1"/>
    <xf numFmtId="10" fontId="3" fillId="0" borderId="2" xfId="0" applyNumberFormat="1" applyFont="1" applyBorder="1"/>
    <xf numFmtId="9" fontId="3" fillId="0" borderId="2" xfId="0" applyNumberFormat="1" applyFont="1" applyBorder="1"/>
    <xf numFmtId="164" fontId="14" fillId="0" borderId="0" xfId="0" applyNumberFormat="1" applyFont="1"/>
    <xf numFmtId="1" fontId="30" fillId="3" borderId="4" xfId="0" applyNumberFormat="1" applyFont="1" applyFill="1" applyBorder="1" applyAlignment="1">
      <alignment horizontal="left"/>
    </xf>
    <xf numFmtId="1" fontId="30" fillId="3" borderId="4" xfId="0" applyNumberFormat="1" applyFont="1" applyFill="1" applyBorder="1" applyAlignment="1">
      <alignment horizontal="left" vertical="center"/>
    </xf>
    <xf numFmtId="1" fontId="31" fillId="3" borderId="4" xfId="0" applyNumberFormat="1" applyFont="1" applyFill="1" applyBorder="1" applyAlignment="1">
      <alignment horizontal="left"/>
    </xf>
    <xf numFmtId="1" fontId="32" fillId="3" borderId="4" xfId="0" applyNumberFormat="1" applyFont="1" applyFill="1" applyBorder="1" applyAlignment="1">
      <alignment horizontal="left" wrapText="1"/>
    </xf>
    <xf numFmtId="1" fontId="33" fillId="3" borderId="4" xfId="0" applyNumberFormat="1" applyFont="1" applyFill="1" applyBorder="1" applyAlignment="1">
      <alignment horizontal="left"/>
    </xf>
    <xf numFmtId="0" fontId="34" fillId="3" borderId="33" xfId="0" applyFont="1" applyFill="1" applyBorder="1"/>
    <xf numFmtId="0" fontId="35" fillId="3" borderId="4" xfId="0" applyFont="1" applyFill="1" applyBorder="1"/>
    <xf numFmtId="1" fontId="36" fillId="3" borderId="4" xfId="0" applyNumberFormat="1" applyFont="1" applyFill="1" applyBorder="1" applyAlignment="1">
      <alignment horizontal="right"/>
    </xf>
    <xf numFmtId="1" fontId="37" fillId="3" borderId="4" xfId="0" applyNumberFormat="1" applyFont="1" applyFill="1" applyBorder="1" applyAlignment="1">
      <alignment horizontal="left"/>
    </xf>
    <xf numFmtId="1" fontId="38" fillId="3" borderId="4" xfId="0" applyNumberFormat="1" applyFont="1" applyFill="1" applyBorder="1" applyAlignment="1">
      <alignment horizontal="center" vertical="center"/>
    </xf>
    <xf numFmtId="1" fontId="33" fillId="3" borderId="4" xfId="0" applyNumberFormat="1" applyFont="1" applyFill="1" applyBorder="1" applyAlignment="1">
      <alignment horizontal="center" vertical="center"/>
    </xf>
    <xf numFmtId="1" fontId="33" fillId="3" borderId="4" xfId="0" applyNumberFormat="1" applyFont="1" applyFill="1" applyBorder="1" applyAlignment="1">
      <alignment horizontal="center" vertical="center" wrapText="1"/>
    </xf>
    <xf numFmtId="1" fontId="38" fillId="3" borderId="33" xfId="0" applyNumberFormat="1" applyFont="1" applyFill="1" applyBorder="1" applyAlignment="1">
      <alignment horizontal="right"/>
    </xf>
    <xf numFmtId="1" fontId="37" fillId="3" borderId="4" xfId="0" applyNumberFormat="1" applyFont="1" applyFill="1" applyBorder="1" applyAlignment="1">
      <alignment horizontal="right"/>
    </xf>
    <xf numFmtId="1" fontId="38" fillId="3" borderId="4" xfId="0" applyNumberFormat="1" applyFont="1" applyFill="1" applyBorder="1" applyAlignment="1">
      <alignment horizontal="right"/>
    </xf>
    <xf numFmtId="1" fontId="38" fillId="3" borderId="4" xfId="0" applyNumberFormat="1" applyFont="1" applyFill="1" applyBorder="1" applyAlignment="1">
      <alignment horizontal="center" vertical="center" wrapText="1"/>
    </xf>
    <xf numFmtId="1" fontId="37" fillId="3" borderId="4" xfId="0" applyNumberFormat="1" applyFont="1" applyFill="1" applyBorder="1" applyAlignment="1">
      <alignment horizontal="center" vertical="center"/>
    </xf>
    <xf numFmtId="1" fontId="38" fillId="3" borderId="33" xfId="0" applyNumberFormat="1" applyFont="1" applyFill="1" applyBorder="1" applyAlignment="1">
      <alignment horizontal="right" wrapText="1"/>
    </xf>
    <xf numFmtId="1" fontId="39" fillId="0" borderId="0" xfId="0" applyNumberFormat="1" applyFont="1" applyAlignment="1">
      <alignment horizontal="center" vertical="center"/>
    </xf>
    <xf numFmtId="1" fontId="38" fillId="0" borderId="0" xfId="0" applyNumberFormat="1" applyFont="1" applyAlignment="1">
      <alignment horizontal="center" vertical="center"/>
    </xf>
    <xf numFmtId="1" fontId="38" fillId="0" borderId="0" xfId="0" applyNumberFormat="1" applyFont="1" applyAlignment="1">
      <alignment horizontal="center" vertical="center" wrapText="1"/>
    </xf>
    <xf numFmtId="1" fontId="33" fillId="0" borderId="0" xfId="0" applyNumberFormat="1" applyFont="1" applyAlignment="1">
      <alignment horizontal="center" vertical="center"/>
    </xf>
    <xf numFmtId="1" fontId="38" fillId="0" borderId="16" xfId="0" applyNumberFormat="1" applyFont="1" applyBorder="1" applyAlignment="1">
      <alignment horizontal="right" wrapText="1"/>
    </xf>
    <xf numFmtId="1" fontId="38" fillId="0" borderId="0" xfId="0" applyNumberFormat="1" applyFont="1" applyAlignment="1">
      <alignment horizontal="right"/>
    </xf>
    <xf numFmtId="0" fontId="3" fillId="11" borderId="4" xfId="0" applyFont="1" applyFill="1" applyBorder="1"/>
    <xf numFmtId="9" fontId="27" fillId="11" borderId="4" xfId="0" applyNumberFormat="1" applyFont="1" applyFill="1" applyBorder="1"/>
    <xf numFmtId="9" fontId="3" fillId="11" borderId="4" xfId="0" applyNumberFormat="1" applyFont="1" applyFill="1" applyBorder="1"/>
    <xf numFmtId="1" fontId="38" fillId="11" borderId="4" xfId="0" applyNumberFormat="1" applyFont="1" applyFill="1" applyBorder="1" applyAlignment="1">
      <alignment horizontal="center" vertical="center"/>
    </xf>
    <xf numFmtId="1" fontId="33" fillId="11" borderId="4" xfId="0" applyNumberFormat="1" applyFont="1" applyFill="1" applyBorder="1" applyAlignment="1">
      <alignment horizontal="center" vertical="center"/>
    </xf>
    <xf numFmtId="1" fontId="38" fillId="11" borderId="33" xfId="0" applyNumberFormat="1" applyFont="1" applyFill="1" applyBorder="1" applyAlignment="1">
      <alignment horizontal="right" wrapText="1"/>
    </xf>
    <xf numFmtId="1" fontId="38" fillId="11" borderId="4" xfId="0" applyNumberFormat="1" applyFont="1" applyFill="1" applyBorder="1" applyAlignment="1">
      <alignment horizontal="right"/>
    </xf>
    <xf numFmtId="1" fontId="38" fillId="11" borderId="4" xfId="0" applyNumberFormat="1" applyFont="1" applyFill="1" applyBorder="1" applyAlignment="1">
      <alignment horizontal="center" vertical="center" wrapText="1"/>
    </xf>
    <xf numFmtId="10" fontId="40" fillId="0" borderId="0" xfId="0" applyNumberFormat="1" applyFont="1"/>
    <xf numFmtId="1" fontId="37" fillId="0" borderId="0" xfId="0" applyNumberFormat="1" applyFont="1" applyAlignment="1">
      <alignment horizontal="center" vertical="center"/>
    </xf>
    <xf numFmtId="173" fontId="7" fillId="0" borderId="0" xfId="0" applyNumberFormat="1" applyFont="1" applyAlignment="1">
      <alignment horizontal="right"/>
    </xf>
    <xf numFmtId="0" fontId="11" fillId="3" borderId="4" xfId="0" applyFont="1" applyFill="1" applyBorder="1"/>
    <xf numFmtId="1" fontId="42" fillId="3" borderId="4" xfId="0" applyNumberFormat="1" applyFont="1" applyFill="1" applyBorder="1" applyAlignment="1">
      <alignment horizontal="left"/>
    </xf>
    <xf numFmtId="1" fontId="42" fillId="3" borderId="4" xfId="0" applyNumberFormat="1" applyFont="1" applyFill="1" applyBorder="1" applyAlignment="1">
      <alignment horizontal="left" wrapText="1"/>
    </xf>
    <xf numFmtId="166" fontId="38" fillId="3" borderId="33" xfId="0" applyNumberFormat="1" applyFont="1" applyFill="1" applyBorder="1" applyAlignment="1">
      <alignment horizontal="center"/>
    </xf>
    <xf numFmtId="1" fontId="11" fillId="3" borderId="4" xfId="0" applyNumberFormat="1" applyFont="1" applyFill="1" applyBorder="1" applyAlignment="1">
      <alignment horizontal="right"/>
    </xf>
    <xf numFmtId="1" fontId="43" fillId="0" borderId="0" xfId="0" applyNumberFormat="1" applyFont="1" applyAlignment="1">
      <alignment horizontal="center" vertical="center"/>
    </xf>
    <xf numFmtId="0" fontId="43" fillId="0" borderId="0" xfId="0" applyFont="1"/>
    <xf numFmtId="1" fontId="42" fillId="0" borderId="0" xfId="0" applyNumberFormat="1" applyFont="1" applyAlignment="1">
      <alignment horizontal="left"/>
    </xf>
    <xf numFmtId="1" fontId="42" fillId="0" borderId="0" xfId="0" applyNumberFormat="1" applyFont="1" applyAlignment="1">
      <alignment horizontal="left" wrapText="1"/>
    </xf>
    <xf numFmtId="1" fontId="43" fillId="0" borderId="16" xfId="0" applyNumberFormat="1" applyFont="1" applyBorder="1" applyAlignment="1">
      <alignment horizontal="right"/>
    </xf>
    <xf numFmtId="1" fontId="11" fillId="0" borderId="0" xfId="0" applyNumberFormat="1" applyFont="1" applyAlignment="1">
      <alignment horizontal="right"/>
    </xf>
    <xf numFmtId="0" fontId="11" fillId="0" borderId="0" xfId="0" applyFont="1"/>
    <xf numFmtId="1" fontId="43" fillId="0" borderId="0" xfId="0" applyNumberFormat="1" applyFont="1" applyAlignment="1">
      <alignment horizontal="right"/>
    </xf>
    <xf numFmtId="1" fontId="43" fillId="8" borderId="4" xfId="0" applyNumberFormat="1" applyFont="1" applyFill="1" applyBorder="1" applyAlignment="1">
      <alignment horizontal="right"/>
    </xf>
    <xf numFmtId="0" fontId="43" fillId="0" borderId="16" xfId="0" applyFont="1" applyBorder="1" applyAlignment="1">
      <alignment horizontal="right"/>
    </xf>
    <xf numFmtId="0" fontId="43" fillId="0" borderId="0" xfId="0" applyFont="1" applyAlignment="1">
      <alignment horizontal="right"/>
    </xf>
    <xf numFmtId="4" fontId="11" fillId="0" borderId="16" xfId="0" applyNumberFormat="1" applyFont="1" applyBorder="1" applyAlignment="1">
      <alignment horizontal="right"/>
    </xf>
    <xf numFmtId="4" fontId="11" fillId="0" borderId="0" xfId="0" applyNumberFormat="1" applyFont="1" applyAlignment="1">
      <alignment horizontal="right"/>
    </xf>
    <xf numFmtId="1" fontId="42" fillId="0" borderId="0" xfId="0" applyNumberFormat="1" applyFont="1" applyAlignment="1">
      <alignment horizontal="right"/>
    </xf>
    <xf numFmtId="0" fontId="39" fillId="0" borderId="3" xfId="0" applyFont="1" applyBorder="1"/>
    <xf numFmtId="1" fontId="42" fillId="0" borderId="3" xfId="0" applyNumberFormat="1" applyFont="1" applyBorder="1" applyAlignment="1">
      <alignment horizontal="left"/>
    </xf>
    <xf numFmtId="1" fontId="42" fillId="0" borderId="3" xfId="0" applyNumberFormat="1" applyFont="1" applyBorder="1" applyAlignment="1">
      <alignment horizontal="left" wrapText="1"/>
    </xf>
    <xf numFmtId="166" fontId="43" fillId="0" borderId="15" xfId="0" applyNumberFormat="1" applyFont="1" applyBorder="1" applyAlignment="1">
      <alignment horizontal="right"/>
    </xf>
    <xf numFmtId="166" fontId="43" fillId="0" borderId="3" xfId="0" applyNumberFormat="1" applyFont="1" applyBorder="1" applyAlignment="1">
      <alignment horizontal="right"/>
    </xf>
    <xf numFmtId="166" fontId="43" fillId="0" borderId="0" xfId="0" applyNumberFormat="1" applyFont="1" applyAlignment="1">
      <alignment horizontal="right"/>
    </xf>
    <xf numFmtId="172" fontId="43" fillId="0" borderId="16" xfId="0" applyNumberFormat="1" applyFont="1" applyBorder="1" applyAlignment="1">
      <alignment horizontal="right"/>
    </xf>
    <xf numFmtId="172" fontId="43" fillId="0" borderId="0" xfId="0" applyNumberFormat="1" applyFont="1" applyAlignment="1">
      <alignment horizontal="right"/>
    </xf>
    <xf numFmtId="1" fontId="44" fillId="0" borderId="0" xfId="0" applyNumberFormat="1" applyFont="1" applyAlignment="1">
      <alignment wrapText="1"/>
    </xf>
    <xf numFmtId="166" fontId="11" fillId="0" borderId="16" xfId="0" applyNumberFormat="1" applyFont="1" applyBorder="1" applyAlignment="1">
      <alignment horizontal="right"/>
    </xf>
    <xf numFmtId="166" fontId="11" fillId="0" borderId="0" xfId="0" applyNumberFormat="1" applyFont="1" applyAlignment="1">
      <alignment horizontal="right"/>
    </xf>
    <xf numFmtId="2" fontId="43" fillId="0" borderId="16" xfId="0" applyNumberFormat="1" applyFont="1" applyBorder="1" applyAlignment="1">
      <alignment horizontal="right"/>
    </xf>
    <xf numFmtId="2" fontId="43" fillId="0" borderId="0" xfId="0" applyNumberFormat="1" applyFont="1" applyAlignment="1">
      <alignment horizontal="right"/>
    </xf>
    <xf numFmtId="0" fontId="39" fillId="0" borderId="0" xfId="0" applyFont="1"/>
    <xf numFmtId="0" fontId="45" fillId="0" borderId="0" xfId="0" applyFont="1"/>
    <xf numFmtId="173" fontId="42" fillId="0" borderId="0" xfId="0" applyNumberFormat="1" applyFont="1" applyAlignment="1">
      <alignment horizontal="left"/>
    </xf>
    <xf numFmtId="2" fontId="7" fillId="0" borderId="16" xfId="0" applyNumberFormat="1" applyFont="1" applyBorder="1" applyAlignment="1">
      <alignment horizontal="right"/>
    </xf>
    <xf numFmtId="2" fontId="11" fillId="0" borderId="0" xfId="0" applyNumberFormat="1" applyFont="1" applyAlignment="1">
      <alignment horizontal="right"/>
    </xf>
    <xf numFmtId="2" fontId="39" fillId="0" borderId="0" xfId="0" applyNumberFormat="1" applyFont="1" applyAlignment="1">
      <alignment horizontal="right"/>
    </xf>
    <xf numFmtId="166" fontId="42" fillId="0" borderId="0" xfId="0" applyNumberFormat="1" applyFont="1" applyAlignment="1">
      <alignment horizontal="left"/>
    </xf>
    <xf numFmtId="0" fontId="11" fillId="0" borderId="16" xfId="0" applyFont="1" applyBorder="1" applyAlignment="1">
      <alignment horizontal="right"/>
    </xf>
    <xf numFmtId="0" fontId="11" fillId="0" borderId="0" xfId="0" applyFont="1" applyAlignment="1">
      <alignment horizontal="right"/>
    </xf>
    <xf numFmtId="166" fontId="43" fillId="0" borderId="16" xfId="0" applyNumberFormat="1" applyFont="1" applyBorder="1" applyAlignment="1">
      <alignment horizontal="right"/>
    </xf>
    <xf numFmtId="1" fontId="33" fillId="12" borderId="4" xfId="0" applyNumberFormat="1" applyFont="1" applyFill="1" applyBorder="1" applyAlignment="1">
      <alignment horizontal="left"/>
    </xf>
    <xf numFmtId="1" fontId="33" fillId="12" borderId="4" xfId="0" applyNumberFormat="1" applyFont="1" applyFill="1" applyBorder="1" applyAlignment="1">
      <alignment horizontal="left" wrapText="1"/>
    </xf>
    <xf numFmtId="164" fontId="46" fillId="13" borderId="4" xfId="0" applyNumberFormat="1" applyFont="1" applyFill="1" applyBorder="1" applyAlignment="1">
      <alignment horizontal="left"/>
    </xf>
    <xf numFmtId="166" fontId="33" fillId="13" borderId="4" xfId="0" applyNumberFormat="1" applyFont="1" applyFill="1" applyBorder="1" applyAlignment="1">
      <alignment horizontal="left"/>
    </xf>
    <xf numFmtId="166" fontId="7" fillId="12" borderId="33" xfId="0" applyNumberFormat="1" applyFont="1" applyFill="1" applyBorder="1" applyAlignment="1">
      <alignment horizontal="right"/>
    </xf>
    <xf numFmtId="166" fontId="7" fillId="12" borderId="4" xfId="0" applyNumberFormat="1" applyFont="1" applyFill="1" applyBorder="1" applyAlignment="1">
      <alignment horizontal="right"/>
    </xf>
    <xf numFmtId="0" fontId="43" fillId="12" borderId="4" xfId="0" applyFont="1" applyFill="1" applyBorder="1"/>
    <xf numFmtId="1" fontId="43" fillId="0" borderId="0" xfId="0" applyNumberFormat="1" applyFont="1" applyAlignment="1">
      <alignment horizontal="left" wrapText="1"/>
    </xf>
    <xf numFmtId="1" fontId="3" fillId="0" borderId="0" xfId="0" applyNumberFormat="1" applyFont="1"/>
    <xf numFmtId="1" fontId="45" fillId="0" borderId="0" xfId="0" applyNumberFormat="1" applyFont="1" applyAlignment="1">
      <alignment wrapText="1"/>
    </xf>
    <xf numFmtId="174" fontId="42" fillId="0" borderId="0" xfId="0" applyNumberFormat="1" applyFont="1" applyAlignment="1">
      <alignment horizontal="left"/>
    </xf>
    <xf numFmtId="174" fontId="43" fillId="0" borderId="16" xfId="0" applyNumberFormat="1" applyFont="1" applyBorder="1" applyAlignment="1">
      <alignment horizontal="right"/>
    </xf>
    <xf numFmtId="174" fontId="43" fillId="0" borderId="0" xfId="0" applyNumberFormat="1" applyFont="1" applyAlignment="1">
      <alignment horizontal="right"/>
    </xf>
    <xf numFmtId="174" fontId="2" fillId="0" borderId="0" xfId="0" applyNumberFormat="1" applyFont="1" applyAlignment="1">
      <alignment horizontal="right"/>
    </xf>
    <xf numFmtId="174" fontId="42" fillId="0" borderId="0" xfId="0" applyNumberFormat="1" applyFont="1" applyAlignment="1">
      <alignment horizontal="right"/>
    </xf>
    <xf numFmtId="2" fontId="42" fillId="0" borderId="0" xfId="0" applyNumberFormat="1" applyFont="1" applyAlignment="1">
      <alignment horizontal="right"/>
    </xf>
    <xf numFmtId="166" fontId="39" fillId="0" borderId="3" xfId="0" applyNumberFormat="1" applyFont="1" applyBorder="1" applyAlignment="1">
      <alignment horizontal="left" wrapText="1"/>
    </xf>
    <xf numFmtId="166" fontId="4" fillId="0" borderId="3" xfId="0" applyNumberFormat="1" applyFont="1" applyBorder="1"/>
    <xf numFmtId="166" fontId="33" fillId="0" borderId="3" xfId="0" applyNumberFormat="1" applyFont="1" applyBorder="1" applyAlignment="1">
      <alignment horizontal="left" wrapText="1"/>
    </xf>
    <xf numFmtId="166" fontId="10" fillId="0" borderId="3" xfId="0" applyNumberFormat="1" applyFont="1" applyBorder="1" applyAlignment="1">
      <alignment horizontal="right"/>
    </xf>
    <xf numFmtId="166" fontId="33" fillId="0" borderId="3" xfId="0" applyNumberFormat="1" applyFont="1" applyBorder="1" applyAlignment="1">
      <alignment horizontal="right"/>
    </xf>
    <xf numFmtId="166" fontId="39" fillId="0" borderId="15" xfId="0" applyNumberFormat="1" applyFont="1" applyBorder="1" applyAlignment="1">
      <alignment horizontal="right"/>
    </xf>
    <xf numFmtId="166" fontId="39" fillId="0" borderId="3" xfId="0" applyNumberFormat="1" applyFont="1" applyBorder="1" applyAlignment="1">
      <alignment horizontal="right"/>
    </xf>
    <xf numFmtId="166" fontId="2" fillId="14" borderId="4" xfId="0" applyNumberFormat="1" applyFont="1" applyFill="1" applyBorder="1" applyAlignment="1">
      <alignment horizontal="right"/>
    </xf>
    <xf numFmtId="175" fontId="43" fillId="0" borderId="0" xfId="0" applyNumberFormat="1" applyFont="1" applyAlignment="1">
      <alignment horizontal="left" wrapText="1"/>
    </xf>
    <xf numFmtId="175" fontId="42" fillId="0" borderId="0" xfId="0" applyNumberFormat="1" applyFont="1" applyAlignment="1">
      <alignment horizontal="left"/>
    </xf>
    <xf numFmtId="175" fontId="42" fillId="0" borderId="0" xfId="0" applyNumberFormat="1" applyFont="1" applyAlignment="1">
      <alignment horizontal="left" wrapText="1"/>
    </xf>
    <xf numFmtId="175" fontId="3" fillId="0" borderId="0" xfId="0" applyNumberFormat="1" applyFont="1"/>
    <xf numFmtId="175" fontId="48" fillId="0" borderId="0" xfId="0" applyNumberFormat="1" applyFont="1"/>
    <xf numFmtId="175" fontId="11" fillId="0" borderId="16" xfId="0" applyNumberFormat="1" applyFont="1" applyBorder="1" applyAlignment="1">
      <alignment horizontal="right"/>
    </xf>
    <xf numFmtId="175" fontId="11" fillId="0" borderId="0" xfId="0" applyNumberFormat="1" applyFont="1" applyAlignment="1">
      <alignment horizontal="right"/>
    </xf>
    <xf numFmtId="172" fontId="43" fillId="10" borderId="33" xfId="0" applyNumberFormat="1" applyFont="1" applyFill="1" applyBorder="1"/>
    <xf numFmtId="172" fontId="43" fillId="10" borderId="4" xfId="0" applyNumberFormat="1" applyFont="1" applyFill="1" applyBorder="1"/>
    <xf numFmtId="1" fontId="39" fillId="0" borderId="3" xfId="0" applyNumberFormat="1" applyFont="1" applyBorder="1" applyAlignment="1">
      <alignment horizontal="left" wrapText="1"/>
    </xf>
    <xf numFmtId="1" fontId="33" fillId="0" borderId="3" xfId="0" applyNumberFormat="1" applyFont="1" applyBorder="1" applyAlignment="1">
      <alignment horizontal="left"/>
    </xf>
    <xf numFmtId="1" fontId="33" fillId="0" borderId="3" xfId="0" applyNumberFormat="1" applyFont="1" applyBorder="1" applyAlignment="1">
      <alignment horizontal="left" wrapText="1"/>
    </xf>
    <xf numFmtId="166" fontId="39" fillId="10" borderId="24" xfId="0" applyNumberFormat="1" applyFont="1" applyFill="1" applyBorder="1"/>
    <xf numFmtId="166" fontId="39" fillId="0" borderId="3" xfId="0" applyNumberFormat="1" applyFont="1" applyBorder="1"/>
    <xf numFmtId="166" fontId="39" fillId="10" borderId="40" xfId="0" applyNumberFormat="1" applyFont="1" applyFill="1" applyBorder="1"/>
    <xf numFmtId="166" fontId="43" fillId="10" borderId="4" xfId="0" applyNumberFormat="1" applyFont="1" applyFill="1" applyBorder="1"/>
    <xf numFmtId="1" fontId="43" fillId="15" borderId="4" xfId="0" applyNumberFormat="1" applyFont="1" applyFill="1" applyBorder="1" applyAlignment="1">
      <alignment horizontal="center" vertical="center" wrapText="1"/>
    </xf>
    <xf numFmtId="1" fontId="39" fillId="15" borderId="4" xfId="0" applyNumberFormat="1" applyFont="1" applyFill="1" applyBorder="1" applyAlignment="1">
      <alignment horizontal="left" wrapText="1"/>
    </xf>
    <xf numFmtId="1" fontId="33" fillId="15" borderId="4" xfId="0" applyNumberFormat="1" applyFont="1" applyFill="1" applyBorder="1" applyAlignment="1">
      <alignment horizontal="left"/>
    </xf>
    <xf numFmtId="1" fontId="42" fillId="15" borderId="4" xfId="0" applyNumberFormat="1" applyFont="1" applyFill="1" applyBorder="1" applyAlignment="1">
      <alignment horizontal="left" wrapText="1"/>
    </xf>
    <xf numFmtId="166" fontId="49" fillId="13" borderId="4" xfId="0" applyNumberFormat="1" applyFont="1" applyFill="1" applyBorder="1" applyAlignment="1">
      <alignment horizontal="left"/>
    </xf>
    <xf numFmtId="166" fontId="7" fillId="15" borderId="33" xfId="0" applyNumberFormat="1" applyFont="1" applyFill="1" applyBorder="1" applyAlignment="1">
      <alignment horizontal="right"/>
    </xf>
    <xf numFmtId="166" fontId="7" fillId="15" borderId="4" xfId="0" applyNumberFormat="1" applyFont="1" applyFill="1" applyBorder="1" applyAlignment="1">
      <alignment horizontal="right"/>
    </xf>
    <xf numFmtId="166" fontId="11" fillId="16" borderId="4" xfId="0" applyNumberFormat="1" applyFont="1" applyFill="1" applyBorder="1" applyAlignment="1">
      <alignment horizontal="right"/>
    </xf>
    <xf numFmtId="167" fontId="43" fillId="0" borderId="0" xfId="0" applyNumberFormat="1" applyFont="1" applyAlignment="1">
      <alignment horizontal="left" wrapText="1"/>
    </xf>
    <xf numFmtId="167" fontId="42" fillId="0" borderId="0" xfId="0" applyNumberFormat="1" applyFont="1" applyAlignment="1">
      <alignment horizontal="left"/>
    </xf>
    <xf numFmtId="167" fontId="42" fillId="0" borderId="0" xfId="0" applyNumberFormat="1" applyFont="1" applyAlignment="1">
      <alignment horizontal="left" wrapText="1"/>
    </xf>
    <xf numFmtId="167" fontId="11" fillId="0" borderId="16" xfId="0" applyNumberFormat="1" applyFont="1" applyBorder="1" applyAlignment="1">
      <alignment horizontal="right"/>
    </xf>
    <xf numFmtId="167" fontId="11" fillId="0" borderId="0" xfId="0" applyNumberFormat="1" applyFont="1" applyAlignment="1">
      <alignment horizontal="right"/>
    </xf>
    <xf numFmtId="1" fontId="50" fillId="0" borderId="0" xfId="0" applyNumberFormat="1" applyFont="1" applyAlignment="1">
      <alignment horizontal="left" wrapText="1"/>
    </xf>
    <xf numFmtId="175" fontId="43" fillId="0" borderId="16" xfId="0" applyNumberFormat="1" applyFont="1" applyBorder="1" applyAlignment="1">
      <alignment horizontal="right"/>
    </xf>
    <xf numFmtId="175" fontId="43" fillId="0" borderId="0" xfId="0" applyNumberFormat="1" applyFont="1" applyAlignment="1">
      <alignment horizontal="right"/>
    </xf>
    <xf numFmtId="1" fontId="51" fillId="0" borderId="3" xfId="0" applyNumberFormat="1" applyFont="1" applyBorder="1" applyAlignment="1">
      <alignment horizontal="left" wrapText="1"/>
    </xf>
    <xf numFmtId="166" fontId="33" fillId="0" borderId="3" xfId="0" applyNumberFormat="1" applyFont="1" applyBorder="1" applyAlignment="1">
      <alignment horizontal="left"/>
    </xf>
    <xf numFmtId="166" fontId="7" fillId="0" borderId="15" xfId="0" applyNumberFormat="1" applyFont="1" applyBorder="1" applyAlignment="1">
      <alignment horizontal="right"/>
    </xf>
    <xf numFmtId="166" fontId="7" fillId="0" borderId="3" xfId="0" applyNumberFormat="1" applyFont="1" applyBorder="1" applyAlignment="1">
      <alignment horizontal="right"/>
    </xf>
    <xf numFmtId="0" fontId="43" fillId="0" borderId="0" xfId="0" applyFont="1" applyAlignment="1">
      <alignment horizontal="left" wrapText="1"/>
    </xf>
    <xf numFmtId="0" fontId="42" fillId="0" borderId="0" xfId="0" applyFont="1" applyAlignment="1">
      <alignment horizontal="left"/>
    </xf>
    <xf numFmtId="0" fontId="42" fillId="0" borderId="0" xfId="0" applyFont="1" applyAlignment="1">
      <alignment horizontal="left" wrapText="1"/>
    </xf>
    <xf numFmtId="0" fontId="39" fillId="0" borderId="3" xfId="0" applyFont="1" applyBorder="1" applyAlignment="1">
      <alignment horizontal="left" wrapText="1"/>
    </xf>
    <xf numFmtId="0" fontId="33" fillId="0" borderId="3" xfId="0" applyFont="1" applyBorder="1" applyAlignment="1">
      <alignment horizontal="left"/>
    </xf>
    <xf numFmtId="0" fontId="33" fillId="0" borderId="3" xfId="0" applyFont="1" applyBorder="1" applyAlignment="1">
      <alignment horizontal="left" wrapText="1"/>
    </xf>
    <xf numFmtId="1" fontId="39" fillId="15" borderId="4" xfId="0" applyNumberFormat="1" applyFont="1" applyFill="1" applyBorder="1" applyAlignment="1">
      <alignment horizontal="center" vertical="center" wrapText="1"/>
    </xf>
    <xf numFmtId="1" fontId="33" fillId="15" borderId="4" xfId="0" applyNumberFormat="1" applyFont="1" applyFill="1" applyBorder="1" applyAlignment="1">
      <alignment horizontal="left" wrapText="1"/>
    </xf>
    <xf numFmtId="1" fontId="7" fillId="15" borderId="4" xfId="0" applyNumberFormat="1" applyFont="1" applyFill="1" applyBorder="1" applyAlignment="1">
      <alignment horizontal="right"/>
    </xf>
    <xf numFmtId="4" fontId="43" fillId="0" borderId="0" xfId="0" applyNumberFormat="1" applyFont="1" applyAlignment="1">
      <alignment horizontal="left" wrapText="1"/>
    </xf>
    <xf numFmtId="4" fontId="42" fillId="0" borderId="0" xfId="0" applyNumberFormat="1" applyFont="1" applyAlignment="1">
      <alignment horizontal="left"/>
    </xf>
    <xf numFmtId="4" fontId="42" fillId="0" borderId="0" xfId="0" applyNumberFormat="1" applyFont="1" applyAlignment="1">
      <alignment horizontal="left" wrapText="1"/>
    </xf>
    <xf numFmtId="4" fontId="43" fillId="0" borderId="0" xfId="0" applyNumberFormat="1" applyFont="1" applyAlignment="1">
      <alignment horizontal="left"/>
    </xf>
    <xf numFmtId="4" fontId="42" fillId="10" borderId="4" xfId="0" applyNumberFormat="1" applyFont="1" applyFill="1" applyBorder="1" applyAlignment="1">
      <alignment horizontal="left"/>
    </xf>
    <xf numFmtId="4" fontId="43" fillId="0" borderId="16" xfId="0" applyNumberFormat="1" applyFont="1" applyBorder="1" applyAlignment="1">
      <alignment horizontal="right"/>
    </xf>
    <xf numFmtId="0" fontId="42" fillId="0" borderId="0" xfId="0" applyFont="1"/>
    <xf numFmtId="1" fontId="52" fillId="0" borderId="3" xfId="0" applyNumberFormat="1" applyFont="1" applyBorder="1" applyAlignment="1">
      <alignment wrapText="1"/>
    </xf>
    <xf numFmtId="1" fontId="43" fillId="0" borderId="0" xfId="0" applyNumberFormat="1" applyFont="1" applyAlignment="1">
      <alignment horizontal="left"/>
    </xf>
    <xf numFmtId="172" fontId="53" fillId="0" borderId="0" xfId="0" applyNumberFormat="1" applyFont="1" applyAlignment="1">
      <alignment horizontal="left"/>
    </xf>
    <xf numFmtId="172" fontId="42" fillId="0" borderId="0" xfId="0" applyNumberFormat="1" applyFont="1" applyAlignment="1">
      <alignment horizontal="right"/>
    </xf>
    <xf numFmtId="172" fontId="42" fillId="0" borderId="16" xfId="0" applyNumberFormat="1" applyFont="1" applyBorder="1" applyAlignment="1">
      <alignment horizontal="right"/>
    </xf>
    <xf numFmtId="172" fontId="53" fillId="0" borderId="0" xfId="0" applyNumberFormat="1" applyFont="1" applyAlignment="1">
      <alignment horizontal="left" wrapText="1"/>
    </xf>
    <xf numFmtId="172" fontId="42" fillId="0" borderId="0" xfId="0" applyNumberFormat="1" applyFont="1" applyAlignment="1">
      <alignment horizontal="left" wrapText="1"/>
    </xf>
    <xf numFmtId="172" fontId="11" fillId="0" borderId="0" xfId="0" applyNumberFormat="1" applyFont="1" applyAlignment="1">
      <alignment horizontal="right"/>
    </xf>
    <xf numFmtId="2" fontId="11" fillId="0" borderId="0" xfId="0" applyNumberFormat="1" applyFont="1"/>
    <xf numFmtId="2" fontId="42" fillId="0" borderId="0" xfId="0" applyNumberFormat="1" applyFont="1" applyAlignment="1">
      <alignment horizontal="left"/>
    </xf>
    <xf numFmtId="2" fontId="42" fillId="0" borderId="0" xfId="0" applyNumberFormat="1" applyFont="1" applyAlignment="1">
      <alignment horizontal="left" wrapText="1"/>
    </xf>
    <xf numFmtId="2" fontId="43" fillId="0" borderId="0" xfId="0" applyNumberFormat="1" applyFont="1"/>
    <xf numFmtId="2" fontId="43" fillId="0" borderId="19" xfId="0" applyNumberFormat="1" applyFont="1" applyBorder="1" applyAlignment="1">
      <alignment horizontal="right"/>
    </xf>
    <xf numFmtId="1" fontId="43" fillId="0" borderId="0" xfId="0" applyNumberFormat="1" applyFont="1"/>
    <xf numFmtId="172" fontId="42" fillId="0" borderId="0" xfId="0" applyNumberFormat="1" applyFont="1" applyAlignment="1">
      <alignment horizontal="left"/>
    </xf>
    <xf numFmtId="173" fontId="11" fillId="0" borderId="16" xfId="0" applyNumberFormat="1" applyFont="1" applyBorder="1" applyAlignment="1">
      <alignment horizontal="right"/>
    </xf>
    <xf numFmtId="173" fontId="11" fillId="0" borderId="0" xfId="0" applyNumberFormat="1" applyFont="1" applyAlignment="1">
      <alignment horizontal="right"/>
    </xf>
    <xf numFmtId="10" fontId="43" fillId="0" borderId="16" xfId="0" applyNumberFormat="1" applyFont="1" applyBorder="1" applyAlignment="1">
      <alignment horizontal="right"/>
    </xf>
    <xf numFmtId="173" fontId="43" fillId="0" borderId="0" xfId="0" applyNumberFormat="1" applyFont="1" applyAlignment="1">
      <alignment horizontal="right"/>
    </xf>
    <xf numFmtId="1" fontId="11" fillId="0" borderId="16" xfId="0" applyNumberFormat="1" applyFont="1" applyBorder="1" applyAlignment="1">
      <alignment horizontal="right"/>
    </xf>
    <xf numFmtId="166" fontId="11" fillId="0" borderId="0" xfId="0" applyNumberFormat="1" applyFont="1"/>
    <xf numFmtId="166" fontId="42" fillId="0" borderId="0" xfId="0" applyNumberFormat="1" applyFont="1" applyAlignment="1">
      <alignment horizontal="left" wrapText="1"/>
    </xf>
    <xf numFmtId="166" fontId="43" fillId="0" borderId="0" xfId="0" applyNumberFormat="1" applyFont="1"/>
    <xf numFmtId="0" fontId="39" fillId="12" borderId="4" xfId="0" applyFont="1" applyFill="1" applyBorder="1"/>
    <xf numFmtId="166" fontId="33" fillId="17" borderId="4" xfId="0" applyNumberFormat="1" applyFont="1" applyFill="1" applyBorder="1" applyAlignment="1">
      <alignment horizontal="left"/>
    </xf>
    <xf numFmtId="166" fontId="33" fillId="17" borderId="4" xfId="0" applyNumberFormat="1" applyFont="1" applyFill="1" applyBorder="1" applyAlignment="1">
      <alignment horizontal="left" wrapText="1"/>
    </xf>
    <xf numFmtId="166" fontId="7" fillId="17" borderId="33" xfId="0" applyNumberFormat="1" applyFont="1" applyFill="1" applyBorder="1" applyAlignment="1">
      <alignment horizontal="right"/>
    </xf>
    <xf numFmtId="166" fontId="7" fillId="17" borderId="4" xfId="0" applyNumberFormat="1" applyFont="1" applyFill="1" applyBorder="1" applyAlignment="1">
      <alignment horizontal="right"/>
    </xf>
    <xf numFmtId="166" fontId="39" fillId="17" borderId="4" xfId="0" applyNumberFormat="1" applyFont="1" applyFill="1" applyBorder="1"/>
    <xf numFmtId="1" fontId="41" fillId="3" borderId="4" xfId="0" applyNumberFormat="1" applyFont="1" applyFill="1" applyBorder="1" applyAlignment="1">
      <alignment horizontal="left" vertical="center" wrapText="1"/>
    </xf>
    <xf numFmtId="0" fontId="11" fillId="3" borderId="4" xfId="0" applyFont="1" applyFill="1" applyBorder="1" applyAlignment="1">
      <alignment vertical="center"/>
    </xf>
    <xf numFmtId="0" fontId="42" fillId="3" borderId="4" xfId="0" applyFont="1" applyFill="1" applyBorder="1"/>
    <xf numFmtId="0" fontId="42" fillId="3" borderId="4" xfId="0" applyFont="1" applyFill="1" applyBorder="1" applyAlignment="1">
      <alignment wrapText="1"/>
    </xf>
    <xf numFmtId="0" fontId="11" fillId="3" borderId="33" xfId="0" applyFont="1" applyFill="1" applyBorder="1"/>
    <xf numFmtId="1" fontId="43" fillId="0" borderId="0" xfId="0" applyNumberFormat="1" applyFont="1" applyAlignment="1">
      <alignment horizontal="center" vertical="center" wrapText="1"/>
    </xf>
    <xf numFmtId="1" fontId="7" fillId="0" borderId="15" xfId="0" applyNumberFormat="1" applyFont="1" applyBorder="1" applyAlignment="1">
      <alignment horizontal="right"/>
    </xf>
    <xf numFmtId="1" fontId="7" fillId="0" borderId="3" xfId="0" applyNumberFormat="1" applyFont="1" applyBorder="1" applyAlignment="1">
      <alignment horizontal="right"/>
    </xf>
    <xf numFmtId="1" fontId="7" fillId="0" borderId="0" xfId="0" applyNumberFormat="1" applyFont="1" applyAlignment="1">
      <alignment horizontal="right"/>
    </xf>
    <xf numFmtId="166" fontId="11" fillId="15" borderId="4" xfId="0" applyNumberFormat="1" applyFont="1" applyFill="1" applyBorder="1" applyAlignment="1">
      <alignment horizontal="right"/>
    </xf>
    <xf numFmtId="1" fontId="42" fillId="0" borderId="0" xfId="0" applyNumberFormat="1" applyFont="1"/>
    <xf numFmtId="1" fontId="43" fillId="0" borderId="16" xfId="0" applyNumberFormat="1" applyFont="1" applyBorder="1"/>
    <xf numFmtId="1" fontId="33" fillId="0" borderId="0" xfId="0" applyNumberFormat="1" applyFont="1" applyAlignment="1">
      <alignment horizontal="left"/>
    </xf>
    <xf numFmtId="2" fontId="33" fillId="0" borderId="0" xfId="0" applyNumberFormat="1" applyFont="1" applyAlignment="1">
      <alignment horizontal="left"/>
    </xf>
    <xf numFmtId="10" fontId="42" fillId="0" borderId="0" xfId="0" applyNumberFormat="1" applyFont="1" applyAlignment="1">
      <alignment horizontal="left"/>
    </xf>
    <xf numFmtId="1" fontId="39" fillId="0" borderId="0" xfId="0" applyNumberFormat="1" applyFont="1" applyAlignment="1">
      <alignment horizontal="right"/>
    </xf>
    <xf numFmtId="0" fontId="43" fillId="15" borderId="4" xfId="0" applyFont="1" applyFill="1" applyBorder="1"/>
    <xf numFmtId="166" fontId="43" fillId="10" borderId="33" xfId="0" applyNumberFormat="1" applyFont="1" applyFill="1" applyBorder="1"/>
    <xf numFmtId="1" fontId="43" fillId="10" borderId="4" xfId="0" applyNumberFormat="1" applyFont="1" applyFill="1" applyBorder="1"/>
    <xf numFmtId="0" fontId="39" fillId="15" borderId="4" xfId="0" applyFont="1" applyFill="1" applyBorder="1"/>
    <xf numFmtId="2" fontId="11" fillId="0" borderId="16" xfId="0" applyNumberFormat="1" applyFont="1" applyBorder="1" applyAlignment="1">
      <alignment horizontal="right"/>
    </xf>
    <xf numFmtId="1" fontId="39" fillId="0" borderId="0" xfId="0" applyNumberFormat="1" applyFont="1" applyAlignment="1">
      <alignment horizontal="left" wrapText="1"/>
    </xf>
    <xf numFmtId="1" fontId="33" fillId="0" borderId="0" xfId="0" applyNumberFormat="1" applyFont="1" applyAlignment="1">
      <alignment horizontal="left" wrapText="1"/>
    </xf>
    <xf numFmtId="166" fontId="39" fillId="0" borderId="16" xfId="0" applyNumberFormat="1" applyFont="1" applyBorder="1" applyAlignment="1">
      <alignment horizontal="right"/>
    </xf>
    <xf numFmtId="166" fontId="7" fillId="0" borderId="0" xfId="0" applyNumberFormat="1" applyFont="1" applyAlignment="1">
      <alignment horizontal="right"/>
    </xf>
    <xf numFmtId="168" fontId="33" fillId="0" borderId="3" xfId="0" applyNumberFormat="1" applyFont="1" applyBorder="1" applyAlignment="1">
      <alignment horizontal="left" wrapText="1"/>
    </xf>
    <xf numFmtId="166" fontId="39" fillId="15" borderId="33" xfId="0" applyNumberFormat="1" applyFont="1" applyFill="1" applyBorder="1" applyAlignment="1">
      <alignment horizontal="right" wrapText="1"/>
    </xf>
    <xf numFmtId="166" fontId="39" fillId="15" borderId="4" xfId="0" applyNumberFormat="1" applyFont="1" applyFill="1" applyBorder="1" applyAlignment="1">
      <alignment horizontal="right" wrapText="1"/>
    </xf>
    <xf numFmtId="1" fontId="43" fillId="15" borderId="4" xfId="0" applyNumberFormat="1" applyFont="1" applyFill="1" applyBorder="1" applyAlignment="1">
      <alignment horizontal="left" wrapText="1"/>
    </xf>
    <xf numFmtId="0" fontId="11" fillId="12" borderId="4" xfId="0" applyFont="1" applyFill="1" applyBorder="1" applyAlignment="1">
      <alignment horizontal="left"/>
    </xf>
    <xf numFmtId="0" fontId="43" fillId="12" borderId="4" xfId="0" applyFont="1" applyFill="1" applyBorder="1" applyAlignment="1">
      <alignment vertical="center"/>
    </xf>
    <xf numFmtId="0" fontId="39" fillId="12" borderId="4" xfId="0" applyFont="1" applyFill="1" applyBorder="1" applyAlignment="1">
      <alignment horizontal="right"/>
    </xf>
    <xf numFmtId="1" fontId="42" fillId="12" borderId="4" xfId="0" applyNumberFormat="1" applyFont="1" applyFill="1" applyBorder="1" applyAlignment="1">
      <alignment horizontal="left" wrapText="1"/>
    </xf>
    <xf numFmtId="166" fontId="39" fillId="12" borderId="33" xfId="0" applyNumberFormat="1" applyFont="1" applyFill="1" applyBorder="1" applyAlignment="1">
      <alignment horizontal="right"/>
    </xf>
    <xf numFmtId="1" fontId="43" fillId="0" borderId="16" xfId="0" applyNumberFormat="1" applyFont="1" applyBorder="1" applyAlignment="1">
      <alignment horizontal="right" wrapText="1"/>
    </xf>
    <xf numFmtId="1" fontId="43" fillId="0" borderId="0" xfId="0" applyNumberFormat="1" applyFont="1" applyAlignment="1">
      <alignment horizontal="right" wrapText="1"/>
    </xf>
    <xf numFmtId="166" fontId="43" fillId="0" borderId="16" xfId="0" applyNumberFormat="1" applyFont="1" applyBorder="1" applyAlignment="1">
      <alignment horizontal="right" wrapText="1"/>
    </xf>
    <xf numFmtId="166" fontId="43" fillId="0" borderId="0" xfId="0" applyNumberFormat="1" applyFont="1" applyAlignment="1">
      <alignment horizontal="right" wrapText="1"/>
    </xf>
    <xf numFmtId="0" fontId="11" fillId="15" borderId="4" xfId="0" applyFont="1" applyFill="1" applyBorder="1" applyAlignment="1">
      <alignment horizontal="center" vertical="center"/>
    </xf>
    <xf numFmtId="1" fontId="42" fillId="12" borderId="4" xfId="0" applyNumberFormat="1" applyFont="1" applyFill="1" applyBorder="1" applyAlignment="1">
      <alignment horizontal="left"/>
    </xf>
    <xf numFmtId="175" fontId="42" fillId="10" borderId="4" xfId="0" applyNumberFormat="1" applyFont="1" applyFill="1" applyBorder="1" applyAlignment="1">
      <alignment horizontal="left" wrapText="1"/>
    </xf>
    <xf numFmtId="1" fontId="54" fillId="0" borderId="0" xfId="0" applyNumberFormat="1" applyFont="1"/>
    <xf numFmtId="1" fontId="42" fillId="17" borderId="4" xfId="0" applyNumberFormat="1" applyFont="1" applyFill="1" applyBorder="1" applyAlignment="1">
      <alignment horizontal="left"/>
    </xf>
    <xf numFmtId="1" fontId="42" fillId="17" borderId="4" xfId="0" applyNumberFormat="1" applyFont="1" applyFill="1" applyBorder="1" applyAlignment="1">
      <alignment horizontal="left" wrapText="1"/>
    </xf>
    <xf numFmtId="1" fontId="7" fillId="0" borderId="0" xfId="0" applyNumberFormat="1" applyFont="1" applyAlignment="1">
      <alignment horizontal="left" vertical="center"/>
    </xf>
    <xf numFmtId="1" fontId="7" fillId="0" borderId="0" xfId="0" applyNumberFormat="1" applyFont="1" applyAlignment="1">
      <alignment horizontal="left"/>
    </xf>
    <xf numFmtId="1" fontId="7" fillId="0" borderId="16" xfId="0" applyNumberFormat="1" applyFont="1" applyBorder="1" applyAlignment="1">
      <alignment horizontal="right"/>
    </xf>
    <xf numFmtId="1" fontId="11" fillId="0" borderId="0" xfId="0" applyNumberFormat="1" applyFont="1" applyAlignment="1">
      <alignment horizontal="left" vertical="center"/>
    </xf>
    <xf numFmtId="1" fontId="11" fillId="0" borderId="0" xfId="0" applyNumberFormat="1" applyFont="1" applyAlignment="1">
      <alignment horizontal="left"/>
    </xf>
    <xf numFmtId="0" fontId="11" fillId="0" borderId="0" xfId="0" applyFont="1" applyAlignment="1">
      <alignment horizontal="left"/>
    </xf>
    <xf numFmtId="0" fontId="43" fillId="0" borderId="0" xfId="0" applyFont="1" applyAlignment="1">
      <alignment vertical="center"/>
    </xf>
    <xf numFmtId="0" fontId="42" fillId="0" borderId="0" xfId="0" applyFont="1" applyAlignment="1">
      <alignment wrapText="1"/>
    </xf>
    <xf numFmtId="0" fontId="43" fillId="0" borderId="16" xfId="0" applyFont="1" applyBorder="1"/>
    <xf numFmtId="1" fontId="55" fillId="3" borderId="4" xfId="0" applyNumberFormat="1" applyFont="1" applyFill="1" applyBorder="1" applyAlignment="1">
      <alignment horizontal="left" wrapText="1"/>
    </xf>
    <xf numFmtId="1" fontId="37" fillId="0" borderId="0" xfId="0" applyNumberFormat="1" applyFont="1" applyAlignment="1">
      <alignment horizontal="left"/>
    </xf>
    <xf numFmtId="1" fontId="42" fillId="0" borderId="0" xfId="0" applyNumberFormat="1" applyFont="1" applyAlignment="1">
      <alignment horizontal="center" vertical="center" wrapText="1"/>
    </xf>
    <xf numFmtId="1" fontId="38" fillId="0" borderId="16" xfId="0" applyNumberFormat="1" applyFont="1" applyBorder="1" applyAlignment="1">
      <alignment horizontal="right"/>
    </xf>
    <xf numFmtId="1" fontId="37" fillId="18" borderId="4" xfId="0" applyNumberFormat="1" applyFont="1" applyFill="1" applyBorder="1" applyAlignment="1">
      <alignment horizontal="left"/>
    </xf>
    <xf numFmtId="1" fontId="42" fillId="18" borderId="4" xfId="0" applyNumberFormat="1" applyFont="1" applyFill="1" applyBorder="1" applyAlignment="1">
      <alignment horizontal="center" vertical="center" wrapText="1"/>
    </xf>
    <xf numFmtId="1" fontId="33" fillId="18" borderId="4" xfId="0" applyNumberFormat="1" applyFont="1" applyFill="1" applyBorder="1" applyAlignment="1">
      <alignment horizontal="center" vertical="center"/>
    </xf>
    <xf numFmtId="1" fontId="38" fillId="18" borderId="33" xfId="0" applyNumberFormat="1" applyFont="1" applyFill="1" applyBorder="1" applyAlignment="1">
      <alignment horizontal="right"/>
    </xf>
    <xf numFmtId="1" fontId="38" fillId="18" borderId="4" xfId="0" applyNumberFormat="1" applyFont="1" applyFill="1" applyBorder="1" applyAlignment="1">
      <alignment horizontal="right"/>
    </xf>
    <xf numFmtId="1" fontId="39" fillId="0" borderId="16" xfId="0" applyNumberFormat="1" applyFont="1" applyBorder="1" applyAlignment="1">
      <alignment horizontal="right"/>
    </xf>
    <xf numFmtId="1" fontId="42" fillId="3" borderId="4" xfId="0" applyNumberFormat="1" applyFont="1" applyFill="1" applyBorder="1" applyAlignment="1">
      <alignment horizontal="center" vertical="center" wrapText="1"/>
    </xf>
    <xf numFmtId="1" fontId="56" fillId="3" borderId="4" xfId="0" applyNumberFormat="1" applyFont="1" applyFill="1" applyBorder="1" applyAlignment="1">
      <alignment horizontal="center" vertical="center" wrapText="1"/>
    </xf>
    <xf numFmtId="1" fontId="38" fillId="3" borderId="33" xfId="0" applyNumberFormat="1" applyFont="1" applyFill="1" applyBorder="1" applyAlignment="1">
      <alignment horizontal="center"/>
    </xf>
    <xf numFmtId="0" fontId="43" fillId="0" borderId="3" xfId="0" applyFont="1" applyBorder="1"/>
    <xf numFmtId="1" fontId="43" fillId="0" borderId="15" xfId="0" applyNumberFormat="1" applyFont="1" applyBorder="1" applyAlignment="1">
      <alignment horizontal="right"/>
    </xf>
    <xf numFmtId="1" fontId="11" fillId="0" borderId="3" xfId="0" applyNumberFormat="1" applyFont="1" applyBorder="1" applyAlignment="1">
      <alignment horizontal="right"/>
    </xf>
    <xf numFmtId="4" fontId="39" fillId="0" borderId="15" xfId="0" applyNumberFormat="1" applyFont="1" applyBorder="1" applyAlignment="1">
      <alignment horizontal="right"/>
    </xf>
    <xf numFmtId="4" fontId="39" fillId="0" borderId="3" xfId="0" applyNumberFormat="1" applyFont="1" applyBorder="1" applyAlignment="1">
      <alignment horizontal="right"/>
    </xf>
    <xf numFmtId="4" fontId="39" fillId="0" borderId="0" xfId="0" applyNumberFormat="1" applyFont="1" applyAlignment="1">
      <alignment horizontal="right"/>
    </xf>
    <xf numFmtId="1" fontId="57" fillId="0" borderId="0" xfId="0" applyNumberFormat="1" applyFont="1"/>
    <xf numFmtId="1" fontId="58" fillId="0" borderId="0" xfId="0" applyNumberFormat="1" applyFont="1" applyAlignment="1">
      <alignment wrapText="1"/>
    </xf>
    <xf numFmtId="1" fontId="4" fillId="0" borderId="0" xfId="0" applyNumberFormat="1" applyFont="1" applyAlignment="1">
      <alignment wrapText="1"/>
    </xf>
    <xf numFmtId="166" fontId="7" fillId="0" borderId="16" xfId="0" applyNumberFormat="1" applyFont="1" applyBorder="1" applyAlignment="1">
      <alignment horizontal="right"/>
    </xf>
    <xf numFmtId="0" fontId="59" fillId="0" borderId="0" xfId="0" applyFont="1"/>
    <xf numFmtId="173" fontId="42" fillId="0" borderId="3" xfId="0" applyNumberFormat="1" applyFont="1" applyBorder="1" applyAlignment="1">
      <alignment horizontal="left"/>
    </xf>
    <xf numFmtId="2" fontId="7" fillId="0" borderId="15" xfId="0" applyNumberFormat="1" applyFont="1" applyBorder="1" applyAlignment="1">
      <alignment horizontal="right"/>
    </xf>
    <xf numFmtId="2" fontId="39" fillId="0" borderId="3" xfId="0" applyNumberFormat="1" applyFont="1" applyBorder="1" applyAlignment="1">
      <alignment horizontal="right"/>
    </xf>
    <xf numFmtId="2" fontId="7" fillId="0" borderId="3" xfId="0" applyNumberFormat="1" applyFont="1" applyBorder="1" applyAlignment="1">
      <alignment horizontal="right"/>
    </xf>
    <xf numFmtId="1" fontId="7" fillId="15" borderId="4" xfId="0" applyNumberFormat="1" applyFont="1" applyFill="1" applyBorder="1" applyAlignment="1">
      <alignment horizontal="center" vertical="center"/>
    </xf>
    <xf numFmtId="166" fontId="33" fillId="15" borderId="33" xfId="0" applyNumberFormat="1" applyFont="1" applyFill="1" applyBorder="1" applyAlignment="1">
      <alignment horizontal="left"/>
    </xf>
    <xf numFmtId="1" fontId="11" fillId="12" borderId="4" xfId="0" applyNumberFormat="1" applyFont="1" applyFill="1" applyBorder="1" applyAlignment="1">
      <alignment horizontal="left"/>
    </xf>
    <xf numFmtId="1" fontId="11" fillId="12" borderId="4" xfId="0" applyNumberFormat="1" applyFont="1" applyFill="1" applyBorder="1" applyAlignment="1">
      <alignment vertical="center"/>
    </xf>
    <xf numFmtId="1" fontId="39" fillId="12" borderId="4" xfId="0" applyNumberFormat="1" applyFont="1" applyFill="1" applyBorder="1" applyAlignment="1">
      <alignment horizontal="right" wrapText="1"/>
    </xf>
    <xf numFmtId="1" fontId="11" fillId="12" borderId="33" xfId="0" applyNumberFormat="1" applyFont="1" applyFill="1" applyBorder="1" applyAlignment="1">
      <alignment horizontal="right"/>
    </xf>
    <xf numFmtId="1" fontId="3" fillId="0" borderId="0" xfId="0" applyNumberFormat="1" applyFont="1" applyAlignment="1">
      <alignment wrapText="1"/>
    </xf>
    <xf numFmtId="1" fontId="42" fillId="0" borderId="16" xfId="0" applyNumberFormat="1" applyFont="1" applyBorder="1" applyAlignment="1">
      <alignment horizontal="left"/>
    </xf>
    <xf numFmtId="0" fontId="11" fillId="0" borderId="16" xfId="0" applyFont="1" applyBorder="1"/>
    <xf numFmtId="166" fontId="42" fillId="0" borderId="3" xfId="0" applyNumberFormat="1" applyFont="1" applyBorder="1" applyAlignment="1">
      <alignment horizontal="left" wrapText="1"/>
    </xf>
    <xf numFmtId="175" fontId="60" fillId="0" borderId="0" xfId="0" applyNumberFormat="1" applyFont="1"/>
    <xf numFmtId="172" fontId="43" fillId="0" borderId="16" xfId="0" applyNumberFormat="1" applyFont="1" applyBorder="1"/>
    <xf numFmtId="166" fontId="43" fillId="0" borderId="16" xfId="0" applyNumberFormat="1" applyFont="1" applyBorder="1"/>
    <xf numFmtId="166" fontId="39" fillId="10" borderId="40" xfId="0" applyNumberFormat="1" applyFont="1" applyFill="1" applyBorder="1" applyAlignment="1">
      <alignment horizontal="right"/>
    </xf>
    <xf numFmtId="166" fontId="39" fillId="15" borderId="4" xfId="0" applyNumberFormat="1" applyFont="1" applyFill="1" applyBorder="1" applyAlignment="1">
      <alignment horizontal="right"/>
    </xf>
    <xf numFmtId="1" fontId="11" fillId="15" borderId="4" xfId="0" applyNumberFormat="1" applyFont="1" applyFill="1" applyBorder="1" applyAlignment="1">
      <alignment horizontal="right"/>
    </xf>
    <xf numFmtId="173" fontId="43" fillId="0" borderId="16" xfId="0" applyNumberFormat="1" applyFont="1" applyBorder="1" applyAlignment="1">
      <alignment horizontal="right"/>
    </xf>
    <xf numFmtId="1" fontId="61" fillId="0" borderId="3" xfId="0" applyNumberFormat="1" applyFont="1" applyBorder="1" applyAlignment="1">
      <alignment horizontal="left" wrapText="1"/>
    </xf>
    <xf numFmtId="176" fontId="7" fillId="0" borderId="15" xfId="0" applyNumberFormat="1" applyFont="1" applyBorder="1" applyAlignment="1">
      <alignment horizontal="right"/>
    </xf>
    <xf numFmtId="176" fontId="39" fillId="0" borderId="3" xfId="0" applyNumberFormat="1" applyFont="1" applyBorder="1" applyAlignment="1">
      <alignment horizontal="right"/>
    </xf>
    <xf numFmtId="176" fontId="11" fillId="0" borderId="0" xfId="0" applyNumberFormat="1" applyFont="1" applyAlignment="1">
      <alignment horizontal="right"/>
    </xf>
    <xf numFmtId="166" fontId="43" fillId="15" borderId="4" xfId="0" applyNumberFormat="1" applyFont="1" applyFill="1" applyBorder="1" applyAlignment="1">
      <alignment horizontal="center" vertical="center" wrapText="1"/>
    </xf>
    <xf numFmtId="166" fontId="39" fillId="15" borderId="4" xfId="0" applyNumberFormat="1" applyFont="1" applyFill="1" applyBorder="1" applyAlignment="1">
      <alignment horizontal="left" wrapText="1"/>
    </xf>
    <xf numFmtId="166" fontId="33" fillId="15" borderId="4" xfId="0" applyNumberFormat="1" applyFont="1" applyFill="1" applyBorder="1" applyAlignment="1">
      <alignment horizontal="left"/>
    </xf>
    <xf numFmtId="166" fontId="42" fillId="15" borderId="4" xfId="0" applyNumberFormat="1" applyFont="1" applyFill="1" applyBorder="1" applyAlignment="1">
      <alignment horizontal="left" wrapText="1"/>
    </xf>
    <xf numFmtId="172" fontId="11" fillId="15" borderId="4" xfId="0" applyNumberFormat="1" applyFont="1" applyFill="1" applyBorder="1" applyAlignment="1">
      <alignment horizontal="right"/>
    </xf>
    <xf numFmtId="177" fontId="43" fillId="0" borderId="16" xfId="0" applyNumberFormat="1" applyFont="1" applyBorder="1" applyAlignment="1">
      <alignment horizontal="right"/>
    </xf>
    <xf numFmtId="177" fontId="43" fillId="0" borderId="0" xfId="0" applyNumberFormat="1" applyFont="1" applyAlignment="1">
      <alignment horizontal="right"/>
    </xf>
    <xf numFmtId="4" fontId="43" fillId="10" borderId="41" xfId="0" applyNumberFormat="1" applyFont="1" applyFill="1" applyBorder="1" applyAlignment="1">
      <alignment horizontal="left"/>
    </xf>
    <xf numFmtId="4" fontId="43" fillId="10" borderId="4" xfId="0" applyNumberFormat="1" applyFont="1" applyFill="1" applyBorder="1" applyAlignment="1">
      <alignment horizontal="left"/>
    </xf>
    <xf numFmtId="4" fontId="33" fillId="0" borderId="3" xfId="0" applyNumberFormat="1" applyFont="1" applyBorder="1" applyAlignment="1">
      <alignment horizontal="left"/>
    </xf>
    <xf numFmtId="4" fontId="42" fillId="0" borderId="3" xfId="0" applyNumberFormat="1" applyFont="1" applyBorder="1" applyAlignment="1">
      <alignment horizontal="left" wrapText="1"/>
    </xf>
    <xf numFmtId="4" fontId="33" fillId="0" borderId="3" xfId="0" applyNumberFormat="1" applyFont="1" applyBorder="1" applyAlignment="1">
      <alignment horizontal="left" wrapText="1"/>
    </xf>
    <xf numFmtId="4" fontId="39" fillId="0" borderId="3" xfId="0" applyNumberFormat="1" applyFont="1" applyBorder="1" applyAlignment="1">
      <alignment horizontal="left"/>
    </xf>
    <xf numFmtId="4" fontId="43" fillId="10" borderId="4" xfId="0" applyNumberFormat="1" applyFont="1" applyFill="1" applyBorder="1" applyAlignment="1">
      <alignment horizontal="right"/>
    </xf>
    <xf numFmtId="4" fontId="43" fillId="10" borderId="4" xfId="0" applyNumberFormat="1" applyFont="1" applyFill="1" applyBorder="1"/>
    <xf numFmtId="4" fontId="43" fillId="0" borderId="0" xfId="0" applyNumberFormat="1" applyFont="1" applyAlignment="1">
      <alignment horizontal="right"/>
    </xf>
    <xf numFmtId="1" fontId="7" fillId="12" borderId="4" xfId="0" applyNumberFormat="1" applyFont="1" applyFill="1" applyBorder="1" applyAlignment="1">
      <alignment horizontal="left"/>
    </xf>
    <xf numFmtId="1" fontId="7" fillId="12" borderId="4" xfId="0" applyNumberFormat="1" applyFont="1" applyFill="1" applyBorder="1" applyAlignment="1">
      <alignment vertical="center"/>
    </xf>
    <xf numFmtId="1" fontId="7" fillId="12" borderId="33" xfId="0" applyNumberFormat="1" applyFont="1" applyFill="1" applyBorder="1" applyAlignment="1">
      <alignment horizontal="right"/>
    </xf>
    <xf numFmtId="178" fontId="39" fillId="12" borderId="4" xfId="0" applyNumberFormat="1" applyFont="1" applyFill="1" applyBorder="1" applyAlignment="1">
      <alignment horizontal="right"/>
    </xf>
    <xf numFmtId="2" fontId="42" fillId="0" borderId="16" xfId="0" applyNumberFormat="1" applyFont="1" applyBorder="1" applyAlignment="1">
      <alignment horizontal="left"/>
    </xf>
    <xf numFmtId="172" fontId="42" fillId="0" borderId="16" xfId="0" applyNumberFormat="1" applyFont="1" applyBorder="1" applyAlignment="1">
      <alignment horizontal="left"/>
    </xf>
    <xf numFmtId="10" fontId="43" fillId="0" borderId="0" xfId="0" applyNumberFormat="1" applyFont="1" applyAlignment="1">
      <alignment horizontal="right"/>
    </xf>
    <xf numFmtId="166" fontId="7" fillId="0" borderId="3" xfId="0" applyNumberFormat="1" applyFont="1" applyBorder="1"/>
    <xf numFmtId="166" fontId="33" fillId="0" borderId="15" xfId="0" applyNumberFormat="1" applyFont="1" applyBorder="1" applyAlignment="1">
      <alignment horizontal="left"/>
    </xf>
    <xf numFmtId="0" fontId="3" fillId="12" borderId="4" xfId="0" applyFont="1" applyFill="1" applyBorder="1" applyAlignment="1">
      <alignment horizontal="center" vertical="center"/>
    </xf>
    <xf numFmtId="166" fontId="11" fillId="12" borderId="33" xfId="0" applyNumberFormat="1" applyFont="1" applyFill="1" applyBorder="1" applyAlignment="1">
      <alignment horizontal="right"/>
    </xf>
    <xf numFmtId="166" fontId="11" fillId="12" borderId="4" xfId="0" applyNumberFormat="1" applyFont="1" applyFill="1" applyBorder="1" applyAlignment="1">
      <alignment horizontal="right"/>
    </xf>
    <xf numFmtId="1" fontId="39" fillId="19" borderId="4" xfId="0" applyNumberFormat="1" applyFont="1" applyFill="1" applyBorder="1" applyAlignment="1">
      <alignment horizontal="center" vertical="center"/>
    </xf>
    <xf numFmtId="1" fontId="43" fillId="19" borderId="4" xfId="0" applyNumberFormat="1" applyFont="1" applyFill="1" applyBorder="1" applyAlignment="1">
      <alignment horizontal="center" vertical="center"/>
    </xf>
    <xf numFmtId="1" fontId="39" fillId="19" borderId="4" xfId="0" applyNumberFormat="1" applyFont="1" applyFill="1" applyBorder="1" applyAlignment="1">
      <alignment horizontal="left" vertical="center"/>
    </xf>
    <xf numFmtId="1" fontId="33" fillId="19" borderId="4" xfId="0" applyNumberFormat="1" applyFont="1" applyFill="1" applyBorder="1" applyAlignment="1">
      <alignment horizontal="left"/>
    </xf>
    <xf numFmtId="1" fontId="42" fillId="19" borderId="4" xfId="0" applyNumberFormat="1" applyFont="1" applyFill="1" applyBorder="1" applyAlignment="1">
      <alignment horizontal="left" wrapText="1"/>
    </xf>
    <xf numFmtId="166" fontId="11" fillId="19" borderId="33" xfId="0" applyNumberFormat="1" applyFont="1" applyFill="1" applyBorder="1" applyAlignment="1">
      <alignment horizontal="right"/>
    </xf>
    <xf numFmtId="166" fontId="7" fillId="19" borderId="4" xfId="0" applyNumberFormat="1" applyFont="1" applyFill="1" applyBorder="1" applyAlignment="1">
      <alignment horizontal="right"/>
    </xf>
    <xf numFmtId="2" fontId="62" fillId="0" borderId="0" xfId="0" applyNumberFormat="1" applyFont="1" applyAlignment="1">
      <alignment horizontal="left" wrapText="1"/>
    </xf>
    <xf numFmtId="172" fontId="11" fillId="0" borderId="16" xfId="0" applyNumberFormat="1" applyFont="1" applyBorder="1" applyAlignment="1">
      <alignment horizontal="right"/>
    </xf>
    <xf numFmtId="168" fontId="39" fillId="0" borderId="3" xfId="0" applyNumberFormat="1" applyFont="1" applyBorder="1" applyAlignment="1">
      <alignment horizontal="left" wrapText="1"/>
    </xf>
    <xf numFmtId="166" fontId="39" fillId="12" borderId="42" xfId="0" applyNumberFormat="1" applyFont="1" applyFill="1" applyBorder="1" applyAlignment="1">
      <alignment horizontal="right"/>
    </xf>
    <xf numFmtId="166" fontId="39" fillId="0" borderId="0" xfId="0" applyNumberFormat="1" applyFont="1" applyAlignment="1">
      <alignment horizontal="right"/>
    </xf>
    <xf numFmtId="175" fontId="63" fillId="0" borderId="0" xfId="0" applyNumberFormat="1" applyFont="1"/>
    <xf numFmtId="1" fontId="64" fillId="0" borderId="0" xfId="0" applyNumberFormat="1" applyFont="1"/>
    <xf numFmtId="1" fontId="37" fillId="3" borderId="4" xfId="0" applyNumberFormat="1" applyFont="1" applyFill="1" applyBorder="1" applyAlignment="1">
      <alignment horizontal="left" vertical="center"/>
    </xf>
    <xf numFmtId="1" fontId="65" fillId="3" borderId="4" xfId="0" applyNumberFormat="1" applyFont="1" applyFill="1" applyBorder="1" applyAlignment="1">
      <alignment horizontal="left" wrapText="1"/>
    </xf>
    <xf numFmtId="0" fontId="38" fillId="3" borderId="4" xfId="0" applyFont="1" applyFill="1" applyBorder="1"/>
    <xf numFmtId="1" fontId="16" fillId="3" borderId="4" xfId="0" applyNumberFormat="1" applyFont="1" applyFill="1" applyBorder="1" applyAlignment="1">
      <alignment horizontal="right"/>
    </xf>
    <xf numFmtId="0" fontId="38" fillId="3" borderId="4" xfId="0" applyFont="1" applyFill="1" applyBorder="1" applyAlignment="1">
      <alignment wrapText="1"/>
    </xf>
    <xf numFmtId="0" fontId="56" fillId="3" borderId="4" xfId="0" applyFont="1" applyFill="1" applyBorder="1" applyAlignment="1">
      <alignment wrapText="1"/>
    </xf>
    <xf numFmtId="1" fontId="38" fillId="3" borderId="4" xfId="0" applyNumberFormat="1" applyFont="1" applyFill="1" applyBorder="1" applyAlignment="1">
      <alignment horizontal="right" wrapText="1"/>
    </xf>
    <xf numFmtId="0" fontId="39" fillId="0" borderId="0" xfId="0" applyFont="1" applyAlignment="1">
      <alignment vertical="top" wrapText="1"/>
    </xf>
    <xf numFmtId="166" fontId="7" fillId="0" borderId="0" xfId="0" applyNumberFormat="1" applyFont="1" applyAlignment="1">
      <alignment vertical="top"/>
    </xf>
    <xf numFmtId="1" fontId="38" fillId="0" borderId="0" xfId="0" applyNumberFormat="1" applyFont="1" applyAlignment="1">
      <alignment horizontal="center" vertical="top"/>
    </xf>
    <xf numFmtId="0" fontId="42" fillId="0" borderId="0" xfId="0" applyFont="1" applyAlignment="1">
      <alignment vertical="top" wrapText="1"/>
    </xf>
    <xf numFmtId="1" fontId="38" fillId="0" borderId="0" xfId="0" applyNumberFormat="1" applyFont="1" applyAlignment="1">
      <alignment horizontal="center" vertical="top" wrapText="1"/>
    </xf>
    <xf numFmtId="1" fontId="38" fillId="0" borderId="0" xfId="0" applyNumberFormat="1" applyFont="1" applyAlignment="1">
      <alignment horizontal="right" vertical="top" wrapText="1"/>
    </xf>
    <xf numFmtId="0" fontId="43" fillId="0" borderId="0" xfId="0" applyFont="1" applyAlignment="1">
      <alignment vertical="top"/>
    </xf>
    <xf numFmtId="166" fontId="43" fillId="0" borderId="0" xfId="0" applyNumberFormat="1" applyFont="1" applyAlignment="1">
      <alignment vertical="top" wrapText="1"/>
    </xf>
    <xf numFmtId="3" fontId="43" fillId="0" borderId="0" xfId="0" applyNumberFormat="1" applyFont="1" applyAlignment="1">
      <alignment vertical="top" wrapText="1"/>
    </xf>
    <xf numFmtId="1" fontId="38" fillId="0" borderId="0" xfId="0" applyNumberFormat="1" applyFont="1" applyAlignment="1">
      <alignment horizontal="right" vertical="top"/>
    </xf>
    <xf numFmtId="0" fontId="43" fillId="0" borderId="0" xfId="0" applyFont="1" applyAlignment="1">
      <alignment vertical="top" wrapText="1"/>
    </xf>
    <xf numFmtId="0" fontId="11" fillId="0" borderId="0" xfId="0" applyFont="1" applyAlignment="1">
      <alignment vertical="top"/>
    </xf>
    <xf numFmtId="165" fontId="43" fillId="0" borderId="0" xfId="0" applyNumberFormat="1" applyFont="1" applyAlignment="1">
      <alignment vertical="top" wrapText="1"/>
    </xf>
    <xf numFmtId="0" fontId="39" fillId="0" borderId="0" xfId="0" applyFont="1" applyAlignment="1">
      <alignment horizontal="right" vertical="top"/>
    </xf>
    <xf numFmtId="165" fontId="11" fillId="0" borderId="0" xfId="0" applyNumberFormat="1" applyFont="1" applyAlignment="1">
      <alignment vertical="top"/>
    </xf>
    <xf numFmtId="0" fontId="39" fillId="0" borderId="0" xfId="0" applyFont="1" applyAlignment="1">
      <alignment horizontal="left" vertical="top"/>
    </xf>
    <xf numFmtId="165" fontId="43" fillId="8" borderId="4" xfId="0" applyNumberFormat="1" applyFont="1" applyFill="1" applyBorder="1" applyAlignment="1">
      <alignment vertical="top" wrapText="1"/>
    </xf>
    <xf numFmtId="0" fontId="39" fillId="0" borderId="3" xfId="0" applyFont="1" applyBorder="1" applyAlignment="1">
      <alignment horizontal="right" vertical="top"/>
    </xf>
    <xf numFmtId="166" fontId="7" fillId="0" borderId="3" xfId="0" applyNumberFormat="1" applyFont="1" applyBorder="1" applyAlignment="1">
      <alignment vertical="top"/>
    </xf>
    <xf numFmtId="0" fontId="11" fillId="0" borderId="3" xfId="0" applyFont="1" applyBorder="1" applyAlignment="1">
      <alignment vertical="top"/>
    </xf>
    <xf numFmtId="0" fontId="42" fillId="0" borderId="3" xfId="0" applyFont="1" applyBorder="1" applyAlignment="1">
      <alignment vertical="top" wrapText="1"/>
    </xf>
    <xf numFmtId="0" fontId="43" fillId="0" borderId="3" xfId="0" applyFont="1" applyBorder="1" applyAlignment="1">
      <alignment vertical="top"/>
    </xf>
    <xf numFmtId="9" fontId="11" fillId="0" borderId="0" xfId="0" applyNumberFormat="1" applyFont="1" applyAlignment="1">
      <alignment vertical="top"/>
    </xf>
    <xf numFmtId="43" fontId="11" fillId="0" borderId="0" xfId="0" applyNumberFormat="1" applyFont="1" applyAlignment="1">
      <alignment vertical="top"/>
    </xf>
    <xf numFmtId="164" fontId="7" fillId="0" borderId="0" xfId="0" applyNumberFormat="1" applyFont="1" applyAlignment="1">
      <alignment vertical="top"/>
    </xf>
    <xf numFmtId="0" fontId="7" fillId="0" borderId="0" xfId="0" applyFont="1" applyAlignment="1">
      <alignment vertical="top"/>
    </xf>
    <xf numFmtId="0" fontId="66" fillId="8" borderId="4" xfId="0" applyFont="1" applyFill="1" applyBorder="1" applyAlignment="1">
      <alignment vertical="top"/>
    </xf>
    <xf numFmtId="0" fontId="67" fillId="0" borderId="0" xfId="0" applyFont="1" applyAlignment="1">
      <alignment vertical="top" wrapText="1"/>
    </xf>
    <xf numFmtId="0" fontId="43" fillId="0" borderId="0" xfId="0" applyFont="1" applyAlignment="1">
      <alignment horizontal="left" vertical="top"/>
    </xf>
    <xf numFmtId="0" fontId="68" fillId="8" borderId="4" xfId="0" applyFont="1" applyFill="1" applyBorder="1"/>
    <xf numFmtId="0" fontId="43" fillId="8" borderId="4" xfId="0" applyFont="1" applyFill="1" applyBorder="1" applyAlignment="1">
      <alignment vertical="top"/>
    </xf>
    <xf numFmtId="0" fontId="69" fillId="0" borderId="0" xfId="0" applyFont="1"/>
    <xf numFmtId="0" fontId="37" fillId="3" borderId="4" xfId="0" applyFont="1" applyFill="1" applyBorder="1" applyAlignment="1">
      <alignment horizontal="center" wrapText="1"/>
    </xf>
    <xf numFmtId="0" fontId="37" fillId="3" borderId="4" xfId="0" applyFont="1" applyFill="1" applyBorder="1" applyAlignment="1">
      <alignment horizontal="center"/>
    </xf>
    <xf numFmtId="49" fontId="39" fillId="12" borderId="40" xfId="0" applyNumberFormat="1" applyFont="1" applyFill="1" applyBorder="1" applyAlignment="1">
      <alignment horizontal="left" vertical="top"/>
    </xf>
    <xf numFmtId="0" fontId="11" fillId="12" borderId="40" xfId="0" applyFont="1" applyFill="1" applyBorder="1" applyAlignment="1">
      <alignment vertical="top"/>
    </xf>
    <xf numFmtId="0" fontId="33" fillId="12" borderId="40" xfId="0" applyFont="1" applyFill="1" applyBorder="1" applyAlignment="1">
      <alignment horizontal="center" vertical="top"/>
    </xf>
    <xf numFmtId="0" fontId="11" fillId="0" borderId="0" xfId="0" applyFont="1" applyAlignment="1">
      <alignment vertical="top" wrapText="1"/>
    </xf>
    <xf numFmtId="179" fontId="11" fillId="0" borderId="0" xfId="0" applyNumberFormat="1" applyFont="1" applyAlignment="1">
      <alignment vertical="top"/>
    </xf>
    <xf numFmtId="179" fontId="43" fillId="0" borderId="0" xfId="0" applyNumberFormat="1" applyFont="1" applyAlignment="1">
      <alignment vertical="top"/>
    </xf>
    <xf numFmtId="0" fontId="70" fillId="15" borderId="43" xfId="0" applyFont="1" applyFill="1" applyBorder="1" applyAlignment="1">
      <alignment horizontal="right" vertical="top"/>
    </xf>
    <xf numFmtId="166" fontId="71" fillId="15" borderId="43" xfId="0" applyNumberFormat="1" applyFont="1" applyFill="1" applyBorder="1" applyAlignment="1">
      <alignment vertical="top"/>
    </xf>
    <xf numFmtId="0" fontId="11" fillId="15" borderId="43" xfId="0" applyFont="1" applyFill="1" applyBorder="1" applyAlignment="1">
      <alignment vertical="top"/>
    </xf>
    <xf numFmtId="0" fontId="42" fillId="15" borderId="43" xfId="0" applyFont="1" applyFill="1" applyBorder="1" applyAlignment="1">
      <alignment vertical="top" wrapText="1"/>
    </xf>
    <xf numFmtId="49" fontId="39" fillId="12" borderId="4" xfId="0" applyNumberFormat="1" applyFont="1" applyFill="1" applyBorder="1" applyAlignment="1">
      <alignment horizontal="left" vertical="top"/>
    </xf>
    <xf numFmtId="0" fontId="11" fillId="12" borderId="4" xfId="0" applyFont="1" applyFill="1" applyBorder="1" applyAlignment="1">
      <alignment vertical="top"/>
    </xf>
    <xf numFmtId="179" fontId="39" fillId="0" borderId="0" xfId="0" applyNumberFormat="1" applyFont="1" applyAlignment="1">
      <alignment vertical="top"/>
    </xf>
    <xf numFmtId="0" fontId="20" fillId="0" borderId="0" xfId="0" applyFont="1" applyAlignment="1">
      <alignment vertical="center" wrapText="1"/>
    </xf>
    <xf numFmtId="0" fontId="72" fillId="4" borderId="4" xfId="0" applyFont="1" applyFill="1" applyBorder="1" applyAlignment="1">
      <alignment vertical="top"/>
    </xf>
    <xf numFmtId="0" fontId="73" fillId="4" borderId="4" xfId="0" applyFont="1" applyFill="1" applyBorder="1"/>
    <xf numFmtId="0" fontId="37" fillId="3" borderId="22" xfId="0" applyFont="1" applyFill="1" applyBorder="1" applyAlignment="1">
      <alignment horizontal="center" vertical="top"/>
    </xf>
    <xf numFmtId="0" fontId="37" fillId="3" borderId="12" xfId="0" applyFont="1" applyFill="1" applyBorder="1" applyAlignment="1">
      <alignment horizontal="center" vertical="top"/>
    </xf>
    <xf numFmtId="0" fontId="37" fillId="3" borderId="12" xfId="0" applyFont="1" applyFill="1" applyBorder="1" applyAlignment="1">
      <alignment horizontal="center"/>
    </xf>
    <xf numFmtId="0" fontId="37" fillId="3" borderId="23" xfId="0" applyFont="1" applyFill="1" applyBorder="1" applyAlignment="1">
      <alignment horizontal="center"/>
    </xf>
    <xf numFmtId="0" fontId="11" fillId="0" borderId="2" xfId="0" applyFont="1" applyBorder="1"/>
    <xf numFmtId="0" fontId="11" fillId="0" borderId="14" xfId="0" applyFont="1" applyBorder="1"/>
    <xf numFmtId="0" fontId="43" fillId="0" borderId="18" xfId="0" applyFont="1" applyBorder="1" applyAlignment="1">
      <alignment vertical="top"/>
    </xf>
    <xf numFmtId="0" fontId="11" fillId="0" borderId="19" xfId="0" applyFont="1" applyBorder="1"/>
    <xf numFmtId="4" fontId="11" fillId="0" borderId="16" xfId="0" applyNumberFormat="1" applyFont="1" applyBorder="1"/>
    <xf numFmtId="4" fontId="11" fillId="0" borderId="19" xfId="0" applyNumberFormat="1" applyFont="1" applyBorder="1"/>
    <xf numFmtId="4" fontId="11" fillId="0" borderId="20" xfId="0" applyNumberFormat="1" applyFont="1" applyBorder="1"/>
    <xf numFmtId="4" fontId="11" fillId="0" borderId="21" xfId="0" applyNumberFormat="1" applyFont="1" applyBorder="1"/>
    <xf numFmtId="4" fontId="11" fillId="0" borderId="0" xfId="0" applyNumberFormat="1" applyFont="1"/>
    <xf numFmtId="10" fontId="11" fillId="0" borderId="0" xfId="0" applyNumberFormat="1" applyFont="1"/>
    <xf numFmtId="4" fontId="74" fillId="10" borderId="4" xfId="0" applyNumberFormat="1" applyFont="1" applyFill="1" applyBorder="1"/>
    <xf numFmtId="0" fontId="75" fillId="0" borderId="0" xfId="0" applyFont="1"/>
    <xf numFmtId="0" fontId="43" fillId="0" borderId="25" xfId="0" applyFont="1" applyBorder="1" applyAlignment="1">
      <alignment vertical="top"/>
    </xf>
    <xf numFmtId="0" fontId="43" fillId="0" borderId="27" xfId="0" applyFont="1" applyBorder="1" applyAlignment="1">
      <alignment vertical="top"/>
    </xf>
    <xf numFmtId="0" fontId="11" fillId="0" borderId="27" xfId="0" applyFont="1" applyBorder="1"/>
    <xf numFmtId="0" fontId="11" fillId="0" borderId="21" xfId="0" applyFont="1" applyBorder="1"/>
    <xf numFmtId="0" fontId="11" fillId="0" borderId="18" xfId="0" applyFont="1" applyBorder="1"/>
    <xf numFmtId="0" fontId="7" fillId="15" borderId="22" xfId="0" applyFont="1" applyFill="1" applyBorder="1"/>
    <xf numFmtId="0" fontId="7" fillId="0" borderId="14" xfId="0" applyFont="1" applyBorder="1"/>
    <xf numFmtId="4" fontId="11" fillId="0" borderId="27" xfId="0" applyNumberFormat="1" applyFont="1" applyBorder="1"/>
    <xf numFmtId="0" fontId="11" fillId="0" borderId="3" xfId="0" applyFont="1" applyBorder="1"/>
    <xf numFmtId="180" fontId="7" fillId="0" borderId="14" xfId="0" applyNumberFormat="1" applyFont="1" applyBorder="1"/>
    <xf numFmtId="0" fontId="39" fillId="15" borderId="2" xfId="0" applyFont="1" applyFill="1" applyBorder="1"/>
    <xf numFmtId="10" fontId="43" fillId="0" borderId="14" xfId="0" applyNumberFormat="1" applyFont="1" applyBorder="1" applyAlignment="1">
      <alignment horizontal="right"/>
    </xf>
    <xf numFmtId="9" fontId="43" fillId="0" borderId="14" xfId="0" applyNumberFormat="1" applyFont="1" applyBorder="1" applyAlignment="1">
      <alignment horizontal="right"/>
    </xf>
    <xf numFmtId="0" fontId="7" fillId="15" borderId="2" xfId="0" applyFont="1" applyFill="1" applyBorder="1"/>
    <xf numFmtId="0" fontId="37" fillId="3" borderId="22" xfId="0" applyFont="1" applyFill="1" applyBorder="1" applyAlignment="1">
      <alignment horizontal="center"/>
    </xf>
    <xf numFmtId="0" fontId="76" fillId="0" borderId="18" xfId="0" applyFont="1" applyBorder="1" applyAlignment="1">
      <alignment horizontal="center"/>
    </xf>
    <xf numFmtId="0" fontId="76" fillId="0" borderId="0" xfId="0" applyFont="1" applyAlignment="1">
      <alignment horizontal="left"/>
    </xf>
    <xf numFmtId="3" fontId="76" fillId="0" borderId="0" xfId="0" applyNumberFormat="1" applyFont="1" applyAlignment="1">
      <alignment horizontal="right"/>
    </xf>
    <xf numFmtId="10" fontId="11" fillId="0" borderId="19" xfId="0" applyNumberFormat="1" applyFont="1" applyBorder="1"/>
    <xf numFmtId="0" fontId="76" fillId="0" borderId="25" xfId="0" applyFont="1" applyBorder="1" applyAlignment="1">
      <alignment horizontal="center"/>
    </xf>
    <xf numFmtId="0" fontId="76" fillId="0" borderId="27" xfId="0" applyFont="1" applyBorder="1" applyAlignment="1">
      <alignment horizontal="left"/>
    </xf>
    <xf numFmtId="3" fontId="76" fillId="0" borderId="27" xfId="0" applyNumberFormat="1" applyFont="1" applyBorder="1" applyAlignment="1">
      <alignment horizontal="right"/>
    </xf>
    <xf numFmtId="10" fontId="11" fillId="0" borderId="21" xfId="0" applyNumberFormat="1" applyFont="1" applyBorder="1"/>
    <xf numFmtId="10" fontId="7" fillId="0" borderId="2" xfId="0" applyNumberFormat="1" applyFont="1" applyBorder="1"/>
    <xf numFmtId="0" fontId="7" fillId="0" borderId="0" xfId="0" applyFont="1"/>
    <xf numFmtId="165" fontId="7" fillId="0" borderId="0" xfId="0" applyNumberFormat="1" applyFont="1"/>
    <xf numFmtId="0" fontId="7" fillId="15" borderId="24" xfId="0" applyFont="1" applyFill="1" applyBorder="1"/>
    <xf numFmtId="165" fontId="7" fillId="0" borderId="17" xfId="0" applyNumberFormat="1" applyFont="1" applyBorder="1"/>
    <xf numFmtId="0" fontId="11" fillId="15" borderId="33" xfId="0" applyFont="1" applyFill="1" applyBorder="1"/>
    <xf numFmtId="181" fontId="11" fillId="0" borderId="19" xfId="0" applyNumberFormat="1" applyFont="1" applyBorder="1"/>
    <xf numFmtId="165" fontId="11" fillId="0" borderId="19" xfId="0" applyNumberFormat="1" applyFont="1" applyBorder="1"/>
    <xf numFmtId="3" fontId="77" fillId="10" borderId="34" xfId="0" applyNumberFormat="1" applyFont="1" applyFill="1" applyBorder="1"/>
    <xf numFmtId="0" fontId="11" fillId="15" borderId="41" xfId="0" applyFont="1" applyFill="1" applyBorder="1"/>
    <xf numFmtId="0" fontId="37" fillId="3" borderId="44" xfId="0" applyFont="1" applyFill="1" applyBorder="1" applyAlignment="1">
      <alignment horizontal="center"/>
    </xf>
    <xf numFmtId="0" fontId="37" fillId="10" borderId="4" xfId="0" applyFont="1" applyFill="1" applyBorder="1" applyAlignment="1">
      <alignment horizontal="center"/>
    </xf>
    <xf numFmtId="0" fontId="11" fillId="0" borderId="26" xfId="0" applyFont="1" applyBorder="1" applyAlignment="1">
      <alignment horizontal="center"/>
    </xf>
    <xf numFmtId="0" fontId="11" fillId="0" borderId="3" xfId="0" applyFont="1" applyBorder="1" applyAlignment="1">
      <alignment horizontal="center"/>
    </xf>
    <xf numFmtId="0" fontId="11" fillId="0" borderId="17" xfId="0" applyFont="1" applyBorder="1"/>
    <xf numFmtId="0" fontId="11" fillId="0" borderId="17" xfId="0" applyFont="1" applyBorder="1" applyAlignment="1">
      <alignment horizontal="center"/>
    </xf>
    <xf numFmtId="0" fontId="11" fillId="0" borderId="18" xfId="0" applyFont="1" applyBorder="1" applyAlignment="1">
      <alignment horizontal="center"/>
    </xf>
    <xf numFmtId="0" fontId="11" fillId="0" borderId="0" xfId="0" applyFont="1" applyAlignment="1">
      <alignment horizontal="center"/>
    </xf>
    <xf numFmtId="0" fontId="11" fillId="0" borderId="19" xfId="0" applyFont="1" applyBorder="1" applyAlignment="1">
      <alignment horizontal="right"/>
    </xf>
    <xf numFmtId="10" fontId="11" fillId="20" borderId="2" xfId="0" applyNumberFormat="1" applyFont="1" applyFill="1" applyBorder="1"/>
    <xf numFmtId="10" fontId="11" fillId="0" borderId="0" xfId="0" applyNumberFormat="1" applyFont="1" applyAlignment="1">
      <alignment horizontal="center"/>
    </xf>
    <xf numFmtId="0" fontId="11" fillId="0" borderId="2" xfId="0" applyFont="1" applyBorder="1" applyAlignment="1">
      <alignment horizontal="center"/>
    </xf>
    <xf numFmtId="0" fontId="11" fillId="10" borderId="34" xfId="0" applyFont="1" applyFill="1" applyBorder="1" applyAlignment="1">
      <alignment horizontal="center"/>
    </xf>
    <xf numFmtId="182" fontId="11" fillId="21" borderId="2" xfId="0" applyNumberFormat="1" applyFont="1" applyFill="1" applyBorder="1" applyAlignment="1">
      <alignment horizontal="center"/>
    </xf>
    <xf numFmtId="0" fontId="11" fillId="0" borderId="19" xfId="0" applyFont="1" applyBorder="1" applyAlignment="1">
      <alignment horizontal="center"/>
    </xf>
    <xf numFmtId="183" fontId="11" fillId="0" borderId="0" xfId="0" applyNumberFormat="1" applyFont="1" applyAlignment="1">
      <alignment horizontal="center"/>
    </xf>
    <xf numFmtId="0" fontId="11" fillId="0" borderId="25" xfId="0" applyFont="1" applyBorder="1" applyAlignment="1">
      <alignment horizontal="center"/>
    </xf>
    <xf numFmtId="0" fontId="11" fillId="0" borderId="27" xfId="0" applyFont="1" applyBorder="1" applyAlignment="1">
      <alignment horizontal="center"/>
    </xf>
    <xf numFmtId="0" fontId="11" fillId="0" borderId="21" xfId="0" applyFont="1" applyBorder="1" applyAlignment="1">
      <alignment horizontal="right"/>
    </xf>
    <xf numFmtId="10" fontId="11" fillId="0" borderId="27" xfId="0" applyNumberFormat="1" applyFont="1" applyBorder="1"/>
    <xf numFmtId="0" fontId="11" fillId="0" borderId="21" xfId="0" applyFont="1" applyBorder="1" applyAlignment="1">
      <alignment horizontal="center"/>
    </xf>
    <xf numFmtId="0" fontId="11" fillId="0" borderId="26" xfId="0" applyFont="1" applyBorder="1" applyAlignment="1">
      <alignment horizontal="right"/>
    </xf>
    <xf numFmtId="0" fontId="11" fillId="0" borderId="25" xfId="0" applyFont="1" applyBorder="1" applyAlignment="1">
      <alignment horizontal="right"/>
    </xf>
    <xf numFmtId="0" fontId="11" fillId="21" borderId="2" xfId="0" applyFont="1" applyFill="1" applyBorder="1"/>
    <xf numFmtId="0" fontId="78" fillId="0" borderId="27" xfId="0" applyFont="1" applyBorder="1"/>
    <xf numFmtId="0" fontId="17" fillId="0" borderId="26" xfId="0" applyFont="1" applyBorder="1"/>
    <xf numFmtId="10" fontId="11" fillId="21" borderId="2" xfId="0" applyNumberFormat="1" applyFont="1" applyFill="1" applyBorder="1"/>
    <xf numFmtId="2" fontId="11" fillId="0" borderId="3" xfId="0" applyNumberFormat="1" applyFont="1" applyBorder="1"/>
    <xf numFmtId="0" fontId="11" fillId="0" borderId="25" xfId="0" applyFont="1" applyBorder="1"/>
    <xf numFmtId="0" fontId="11" fillId="20" borderId="2" xfId="0" applyFont="1" applyFill="1" applyBorder="1"/>
    <xf numFmtId="0" fontId="39" fillId="10" borderId="4" xfId="0" applyFont="1" applyFill="1" applyBorder="1" applyAlignment="1">
      <alignment horizontal="left"/>
    </xf>
    <xf numFmtId="0" fontId="79" fillId="0" borderId="19" xfId="0" applyFont="1" applyBorder="1"/>
    <xf numFmtId="0" fontId="43" fillId="10" borderId="44" xfId="0" applyFont="1" applyFill="1" applyBorder="1"/>
    <xf numFmtId="0" fontId="80" fillId="10" borderId="42" xfId="0" applyFont="1" applyFill="1" applyBorder="1"/>
    <xf numFmtId="165" fontId="81" fillId="21" borderId="2" xfId="0" applyNumberFormat="1" applyFont="1" applyFill="1" applyBorder="1" applyAlignment="1">
      <alignment horizontal="right"/>
    </xf>
    <xf numFmtId="165" fontId="11" fillId="21" borderId="2" xfId="0" applyNumberFormat="1" applyFont="1" applyFill="1" applyBorder="1" applyAlignment="1">
      <alignment horizontal="right"/>
    </xf>
    <xf numFmtId="0" fontId="43" fillId="10" borderId="42" xfId="0" applyFont="1" applyFill="1" applyBorder="1" applyAlignment="1">
      <alignment horizontal="left"/>
    </xf>
    <xf numFmtId="184" fontId="11" fillId="21" borderId="2" xfId="0" applyNumberFormat="1" applyFont="1" applyFill="1" applyBorder="1" applyAlignment="1">
      <alignment horizontal="right"/>
    </xf>
    <xf numFmtId="0" fontId="43" fillId="10" borderId="45" xfId="0" applyFont="1" applyFill="1" applyBorder="1"/>
    <xf numFmtId="0" fontId="11" fillId="21" borderId="2" xfId="0" applyFont="1" applyFill="1" applyBorder="1" applyAlignment="1">
      <alignment horizontal="right"/>
    </xf>
    <xf numFmtId="0" fontId="39" fillId="22" borderId="2" xfId="0" applyFont="1" applyFill="1" applyBorder="1" applyAlignment="1">
      <alignment horizontal="left" vertical="top"/>
    </xf>
    <xf numFmtId="0" fontId="43" fillId="10" borderId="2" xfId="0" applyFont="1" applyFill="1" applyBorder="1" applyAlignment="1">
      <alignment vertical="top"/>
    </xf>
    <xf numFmtId="166" fontId="43" fillId="10" borderId="2" xfId="0" applyNumberFormat="1" applyFont="1" applyFill="1" applyBorder="1" applyAlignment="1">
      <alignment vertical="top"/>
    </xf>
    <xf numFmtId="0" fontId="82" fillId="22" borderId="2" xfId="0" applyFont="1" applyFill="1" applyBorder="1" applyAlignment="1">
      <alignment horizontal="left" vertical="top"/>
    </xf>
    <xf numFmtId="0" fontId="43" fillId="10" borderId="45" xfId="0" applyFont="1" applyFill="1" applyBorder="1" applyAlignment="1">
      <alignment horizontal="left"/>
    </xf>
    <xf numFmtId="184" fontId="7" fillId="21" borderId="2" xfId="0" applyNumberFormat="1" applyFont="1" applyFill="1" applyBorder="1" applyAlignment="1">
      <alignment horizontal="right"/>
    </xf>
    <xf numFmtId="0" fontId="11" fillId="0" borderId="26" xfId="0" applyFont="1" applyBorder="1"/>
    <xf numFmtId="0" fontId="83" fillId="0" borderId="3" xfId="0" applyFont="1" applyBorder="1"/>
    <xf numFmtId="0" fontId="43" fillId="10" borderId="4" xfId="0" applyFont="1" applyFill="1" applyBorder="1"/>
    <xf numFmtId="0" fontId="16" fillId="3" borderId="22" xfId="0" applyFont="1" applyFill="1" applyBorder="1" applyAlignment="1">
      <alignment horizontal="center"/>
    </xf>
    <xf numFmtId="0" fontId="16" fillId="3" borderId="23" xfId="0" applyFont="1" applyFill="1" applyBorder="1" applyAlignment="1">
      <alignment horizontal="center"/>
    </xf>
    <xf numFmtId="0" fontId="56" fillId="3" borderId="23" xfId="0" applyFont="1" applyFill="1" applyBorder="1" applyAlignment="1">
      <alignment horizontal="center"/>
    </xf>
    <xf numFmtId="10" fontId="11" fillId="0" borderId="17" xfId="0" applyNumberFormat="1" applyFont="1" applyBorder="1"/>
    <xf numFmtId="0" fontId="11" fillId="15" borderId="22" xfId="0" applyFont="1" applyFill="1" applyBorder="1"/>
    <xf numFmtId="10" fontId="43" fillId="10" borderId="34" xfId="0" applyNumberFormat="1" applyFont="1" applyFill="1" applyBorder="1" applyAlignment="1">
      <alignment horizontal="right"/>
    </xf>
    <xf numFmtId="0" fontId="11" fillId="0" borderId="13" xfId="0" applyFont="1" applyBorder="1"/>
    <xf numFmtId="10" fontId="11" fillId="0" borderId="14" xfId="0" applyNumberFormat="1" applyFont="1" applyBorder="1"/>
    <xf numFmtId="165" fontId="11" fillId="0" borderId="0" xfId="0" applyNumberFormat="1" applyFont="1"/>
    <xf numFmtId="0" fontId="16" fillId="3" borderId="12" xfId="0" applyFont="1" applyFill="1" applyBorder="1" applyAlignment="1">
      <alignment horizontal="center"/>
    </xf>
    <xf numFmtId="0" fontId="16" fillId="3" borderId="2" xfId="0" applyFont="1" applyFill="1" applyBorder="1" applyAlignment="1">
      <alignment horizontal="center"/>
    </xf>
    <xf numFmtId="0" fontId="7" fillId="0" borderId="16" xfId="0" applyFont="1" applyBorder="1"/>
    <xf numFmtId="1" fontId="11" fillId="0" borderId="0" xfId="0" applyNumberFormat="1" applyFont="1"/>
    <xf numFmtId="183" fontId="11" fillId="0" borderId="19" xfId="0" applyNumberFormat="1" applyFont="1" applyBorder="1"/>
    <xf numFmtId="0" fontId="16" fillId="3" borderId="2" xfId="0" applyFont="1" applyFill="1" applyBorder="1"/>
    <xf numFmtId="10" fontId="11" fillId="0" borderId="2" xfId="0" applyNumberFormat="1" applyFont="1" applyBorder="1"/>
    <xf numFmtId="0" fontId="3" fillId="0" borderId="15" xfId="0" applyFont="1" applyBorder="1" applyAlignment="1">
      <alignment horizontal="center" vertical="center"/>
    </xf>
    <xf numFmtId="0" fontId="13" fillId="0" borderId="16" xfId="0" applyFont="1" applyBorder="1"/>
    <xf numFmtId="0" fontId="12" fillId="3" borderId="10" xfId="0" applyFont="1" applyFill="1" applyBorder="1" applyAlignment="1">
      <alignment horizontal="center"/>
    </xf>
    <xf numFmtId="0" fontId="13" fillId="0" borderId="11" xfId="0" applyFont="1" applyBorder="1"/>
    <xf numFmtId="0" fontId="13" fillId="0" borderId="13" xfId="0" applyFont="1" applyBorder="1"/>
    <xf numFmtId="0" fontId="13" fillId="0" borderId="14" xfId="0" applyFont="1" applyBorder="1"/>
    <xf numFmtId="0" fontId="13" fillId="0" borderId="20" xfId="0" applyFont="1" applyBorder="1"/>
    <xf numFmtId="0" fontId="3" fillId="4" borderId="10" xfId="0" applyFont="1" applyFill="1" applyBorder="1" applyAlignment="1">
      <alignment horizontal="center"/>
    </xf>
    <xf numFmtId="0" fontId="13" fillId="0" borderId="33" xfId="0" applyFont="1" applyBorder="1"/>
    <xf numFmtId="0" fontId="3" fillId="0" borderId="16" xfId="0" applyFont="1" applyBorder="1" applyAlignment="1">
      <alignment horizontal="center" vertical="center"/>
    </xf>
    <xf numFmtId="0" fontId="3" fillId="4" borderId="10" xfId="0" applyFont="1" applyFill="1" applyBorder="1" applyAlignment="1">
      <alignment horizontal="center" vertical="center"/>
    </xf>
    <xf numFmtId="0" fontId="3" fillId="0" borderId="10" xfId="0" applyFont="1" applyBorder="1" applyAlignment="1">
      <alignment horizontal="center"/>
    </xf>
    <xf numFmtId="0" fontId="3" fillId="4" borderId="10" xfId="0" applyFont="1" applyFill="1" applyBorder="1"/>
    <xf numFmtId="0" fontId="20" fillId="0" borderId="15" xfId="0" applyFont="1" applyBorder="1" applyAlignment="1">
      <alignment horizontal="center" vertical="top" wrapText="1"/>
    </xf>
    <xf numFmtId="0" fontId="25" fillId="3" borderId="30" xfId="0" applyFont="1" applyFill="1" applyBorder="1" applyAlignment="1">
      <alignment horizontal="center" vertical="center"/>
    </xf>
    <xf numFmtId="0" fontId="13" fillId="0" borderId="32" xfId="0" applyFont="1" applyBorder="1"/>
    <xf numFmtId="0" fontId="4" fillId="0" borderId="0" xfId="0" applyFont="1" applyAlignment="1">
      <alignment horizontal="center"/>
    </xf>
    <xf numFmtId="0" fontId="0" fillId="0" borderId="0" xfId="0" applyFont="1" applyAlignment="1"/>
    <xf numFmtId="1" fontId="39" fillId="12" borderId="37" xfId="0" applyNumberFormat="1" applyFont="1" applyFill="1" applyBorder="1" applyAlignment="1">
      <alignment horizontal="right" vertical="center"/>
    </xf>
    <xf numFmtId="4" fontId="43" fillId="0" borderId="0" xfId="0" applyNumberFormat="1" applyFont="1" applyAlignment="1">
      <alignment horizontal="center" vertical="center" wrapText="1"/>
    </xf>
    <xf numFmtId="0" fontId="7" fillId="0" borderId="0" xfId="0" applyFont="1" applyAlignment="1">
      <alignment horizontal="center" vertical="center"/>
    </xf>
    <xf numFmtId="0" fontId="3" fillId="0" borderId="0" xfId="0" applyFont="1" applyAlignment="1">
      <alignment horizontal="center" vertical="center"/>
    </xf>
    <xf numFmtId="0" fontId="13" fillId="0" borderId="39" xfId="0" applyFont="1" applyBorder="1"/>
    <xf numFmtId="0" fontId="13" fillId="0" borderId="38" xfId="0" applyFont="1" applyBorder="1"/>
    <xf numFmtId="1" fontId="43" fillId="0" borderId="0" xfId="0" applyNumberFormat="1" applyFont="1" applyAlignment="1">
      <alignment horizontal="center" vertical="center" wrapText="1"/>
    </xf>
    <xf numFmtId="1" fontId="39" fillId="17" borderId="37" xfId="0" applyNumberFormat="1" applyFont="1" applyFill="1" applyBorder="1" applyAlignment="1">
      <alignment horizontal="right" vertical="center"/>
    </xf>
    <xf numFmtId="0" fontId="17" fillId="0" borderId="0" xfId="0" applyFont="1" applyAlignment="1">
      <alignment horizontal="center" vertical="center"/>
    </xf>
    <xf numFmtId="166" fontId="39" fillId="17" borderId="37" xfId="0" applyNumberFormat="1" applyFont="1" applyFill="1" applyBorder="1" applyAlignment="1">
      <alignment horizontal="right" vertical="center"/>
    </xf>
    <xf numFmtId="1" fontId="39" fillId="0" borderId="0" xfId="0" applyNumberFormat="1" applyFont="1" applyAlignment="1">
      <alignment horizontal="center" vertical="center" wrapText="1"/>
    </xf>
    <xf numFmtId="1" fontId="39" fillId="0" borderId="0" xfId="0" applyNumberFormat="1" applyFont="1" applyAlignment="1">
      <alignment horizontal="center" vertical="center"/>
    </xf>
    <xf numFmtId="1" fontId="47" fillId="0" borderId="0" xfId="0" applyNumberFormat="1" applyFont="1" applyAlignment="1">
      <alignment horizontal="center" vertical="center" wrapText="1"/>
    </xf>
    <xf numFmtId="167" fontId="43" fillId="0" borderId="0" xfId="0" applyNumberFormat="1" applyFont="1" applyAlignment="1">
      <alignment horizontal="center" vertical="center" wrapText="1"/>
    </xf>
    <xf numFmtId="0" fontId="4" fillId="0" borderId="16" xfId="0" applyFont="1" applyBorder="1" applyAlignment="1">
      <alignment horizontal="center" vertical="center"/>
    </xf>
    <xf numFmtId="1" fontId="38" fillId="0" borderId="0" xfId="0" applyNumberFormat="1" applyFont="1" applyAlignment="1">
      <alignment horizontal="center" vertical="center"/>
    </xf>
    <xf numFmtId="1" fontId="41" fillId="3" borderId="37" xfId="0" applyNumberFormat="1" applyFont="1" applyFill="1" applyBorder="1" applyAlignment="1">
      <alignment horizontal="left" vertical="center" wrapText="1"/>
    </xf>
    <xf numFmtId="1" fontId="43" fillId="0" borderId="0" xfId="0" applyNumberFormat="1" applyFont="1" applyAlignment="1">
      <alignment horizontal="center" vertical="center"/>
    </xf>
    <xf numFmtId="0" fontId="11" fillId="0" borderId="0" xfId="0" applyFont="1" applyAlignment="1">
      <alignment horizontal="center" vertical="center"/>
    </xf>
    <xf numFmtId="0" fontId="43" fillId="0" borderId="0" xfId="0" applyFont="1" applyAlignment="1">
      <alignment horizontal="center" vertical="center"/>
    </xf>
    <xf numFmtId="0" fontId="43" fillId="0" borderId="0" xfId="0" applyFont="1" applyAlignment="1">
      <alignment horizontal="left" vertical="top"/>
    </xf>
    <xf numFmtId="0" fontId="11" fillId="0" borderId="18" xfId="0" applyFont="1" applyBorder="1"/>
    <xf numFmtId="0" fontId="13" fillId="0" borderId="18" xfId="0" applyFont="1" applyBorder="1"/>
    <xf numFmtId="0" fontId="13" fillId="0" borderId="25" xfId="0" applyFont="1" applyBorder="1"/>
    <xf numFmtId="0" fontId="13" fillId="0" borderId="27" xfId="0" applyFont="1" applyBorder="1"/>
    <xf numFmtId="0" fontId="11" fillId="0" borderId="3" xfId="0" applyFont="1" applyBorder="1"/>
    <xf numFmtId="0" fontId="13" fillId="0" borderId="3" xfId="0" applyFont="1" applyBorder="1"/>
    <xf numFmtId="0" fontId="13" fillId="0" borderId="17" xfId="0" applyFont="1" applyBorder="1"/>
    <xf numFmtId="0" fontId="13" fillId="0" borderId="21" xfId="0" applyFont="1" applyBorder="1"/>
    <xf numFmtId="0" fontId="39" fillId="22" borderId="15" xfId="0" applyFont="1" applyFill="1" applyBorder="1" applyAlignment="1">
      <alignment horizontal="left" vertical="top"/>
    </xf>
    <xf numFmtId="0" fontId="39" fillId="22" borderId="10" xfId="0" applyFont="1" applyFill="1" applyBorder="1" applyAlignment="1">
      <alignment horizontal="left" vertical="top"/>
    </xf>
  </cellXfs>
  <cellStyles count="1">
    <cellStyle name="Normal" xfId="0" builtinId="0"/>
  </cellStyles>
  <dxfs count="67">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ont>
        <color rgb="FF9C0006"/>
      </font>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
      <fill>
        <patternFill patternType="solid">
          <fgColor rgb="FFD9F1F3"/>
          <bgColor rgb="FFD9F1F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doughnutChart>
        <c:varyColors val="1"/>
        <c:ser>
          <c:idx val="0"/>
          <c:order val="0"/>
          <c:dPt>
            <c:idx val="0"/>
            <c:bubble3D val="0"/>
            <c:spPr>
              <a:solidFill>
                <a:srgbClr val="4285F4"/>
              </a:solidFill>
            </c:spPr>
            <c:extLst>
              <c:ext xmlns:c16="http://schemas.microsoft.com/office/drawing/2014/chart" uri="{C3380CC4-5D6E-409C-BE32-E72D297353CC}">
                <c16:uniqueId val="{00000001-E3F8-7543-8148-3AEF7A39FF1F}"/>
              </c:ext>
            </c:extLst>
          </c:dPt>
          <c:dPt>
            <c:idx val="1"/>
            <c:bubble3D val="0"/>
            <c:spPr>
              <a:solidFill>
                <a:srgbClr val="1155CC"/>
              </a:solidFill>
            </c:spPr>
            <c:extLst>
              <c:ext xmlns:c16="http://schemas.microsoft.com/office/drawing/2014/chart" uri="{C3380CC4-5D6E-409C-BE32-E72D297353CC}">
                <c16:uniqueId val="{00000003-E3F8-7543-8148-3AEF7A39FF1F}"/>
              </c:ext>
            </c:extLst>
          </c:dPt>
          <c:dPt>
            <c:idx val="2"/>
            <c:bubble3D val="0"/>
            <c:spPr>
              <a:solidFill>
                <a:srgbClr val="A4C2F4"/>
              </a:solidFill>
            </c:spPr>
            <c:extLst>
              <c:ext xmlns:c16="http://schemas.microsoft.com/office/drawing/2014/chart" uri="{C3380CC4-5D6E-409C-BE32-E72D297353CC}">
                <c16:uniqueId val="{00000005-E3F8-7543-8148-3AEF7A39FF1F}"/>
              </c:ext>
            </c:extLst>
          </c:dPt>
          <c:dPt>
            <c:idx val="3"/>
            <c:bubble3D val="0"/>
            <c:spPr>
              <a:solidFill>
                <a:srgbClr val="3C78D8"/>
              </a:solidFill>
            </c:spPr>
            <c:extLst>
              <c:ext xmlns:c16="http://schemas.microsoft.com/office/drawing/2014/chart" uri="{C3380CC4-5D6E-409C-BE32-E72D297353CC}">
                <c16:uniqueId val="{00000007-E3F8-7543-8148-3AEF7A39FF1F}"/>
              </c:ext>
            </c:extLst>
          </c:dPt>
          <c:dPt>
            <c:idx val="4"/>
            <c:bubble3D val="0"/>
            <c:spPr>
              <a:solidFill>
                <a:srgbClr val="E06666"/>
              </a:solidFill>
            </c:spPr>
            <c:extLst>
              <c:ext xmlns:c16="http://schemas.microsoft.com/office/drawing/2014/chart" uri="{C3380CC4-5D6E-409C-BE32-E72D297353CC}">
                <c16:uniqueId val="{00000009-E3F8-7543-8148-3AEF7A39FF1F}"/>
              </c:ext>
            </c:extLst>
          </c:dPt>
          <c:cat>
            <c:strRef>
              <c:f>'Summary of CBA'!$B$95:$B$99</c:f>
              <c:strCache>
                <c:ptCount val="5"/>
                <c:pt idx="0">
                  <c:v>DOT Street Maintenance</c:v>
                </c:pt>
                <c:pt idx="1">
                  <c:v>DEP Maintenance</c:v>
                </c:pt>
                <c:pt idx="2">
                  <c:v>ConEd Maintenance</c:v>
                </c:pt>
                <c:pt idx="3">
                  <c:v>ECS Maintenance</c:v>
                </c:pt>
                <c:pt idx="4">
                  <c:v>-</c:v>
                </c:pt>
              </c:strCache>
            </c:strRef>
          </c:cat>
          <c:val>
            <c:numRef>
              <c:f>'Summary of CBA'!$C$95:$C$99</c:f>
              <c:numCache>
                <c:formatCode>0.00%</c:formatCode>
                <c:ptCount val="5"/>
                <c:pt idx="0" formatCode="0.00000%">
                  <c:v>1.1311308013648867E-3</c:v>
                </c:pt>
                <c:pt idx="1">
                  <c:v>1.8422504721457695E-3</c:v>
                </c:pt>
                <c:pt idx="2">
                  <c:v>0.4940824680796771</c:v>
                </c:pt>
                <c:pt idx="3">
                  <c:v>0.49337764287556946</c:v>
                </c:pt>
                <c:pt idx="4">
                  <c:v>9.5665077712428163E-3</c:v>
                </c:pt>
              </c:numCache>
            </c:numRef>
          </c:val>
          <c:extLst>
            <c:ext xmlns:c16="http://schemas.microsoft.com/office/drawing/2014/chart" uri="{C3380CC4-5D6E-409C-BE32-E72D297353CC}">
              <c16:uniqueId val="{0000000A-E3F8-7543-8148-3AEF7A39FF1F}"/>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lvl="0">
            <a:defRPr sz="1000" b="0" i="0">
              <a:solidFill>
                <a:srgbClr val="1A1A1A"/>
              </a:solidFill>
              <a:latin typeface="Verdana"/>
            </a:defRPr>
          </a:pPr>
          <a:endParaRPr lang="en-US"/>
        </a:p>
      </c:txPr>
    </c:legend>
    <c:plotVisOnly val="1"/>
    <c:dispBlanksAs val="zero"/>
    <c:showDLblsOverMax val="1"/>
  </c:chart>
  <c:spPr>
    <a:solidFill>
      <a:srgbClr val="FFFFFF">
        <a:alpha val="0"/>
      </a:srgbClr>
    </a:solidFill>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2000" b="0" i="0">
                <a:solidFill>
                  <a:srgbClr val="757575"/>
                </a:solidFill>
                <a:latin typeface="Arial"/>
              </a:defRPr>
            </a:pPr>
            <a:r>
              <a:rPr lang="en-US" sz="2000" b="0" i="0">
                <a:solidFill>
                  <a:srgbClr val="757575"/>
                </a:solidFill>
                <a:latin typeface="Arial"/>
              </a:rPr>
              <a:t>Cash Flow Components</a:t>
            </a:r>
          </a:p>
        </c:rich>
      </c:tx>
      <c:overlay val="0"/>
    </c:title>
    <c:autoTitleDeleted val="0"/>
    <c:plotArea>
      <c:layout/>
      <c:lineChart>
        <c:grouping val="standard"/>
        <c:varyColors val="1"/>
        <c:ser>
          <c:idx val="0"/>
          <c:order val="0"/>
          <c:tx>
            <c:v>Cost+O&amp;M</c:v>
          </c:tx>
          <c:spPr>
            <a:ln w="38100" cmpd="sng">
              <a:solidFill>
                <a:schemeClr val="accent2"/>
              </a:solidFill>
            </a:ln>
          </c:spPr>
          <c:marker>
            <c:symbol val="none"/>
          </c:marker>
          <c:val>
            <c:numRef>
              <c:f>'Evol of Costs and Rev'!$B$22:$BD$22</c:f>
              <c:numCache>
                <c:formatCode>_(* #,##0_);_(* \(#,##0\);_(* "-"??_);_(@_)</c:formatCode>
                <c:ptCount val="55"/>
                <c:pt idx="0">
                  <c:v>-83158684.291249871</c:v>
                </c:pt>
                <c:pt idx="1">
                  <c:v>-85986079.557152361</c:v>
                </c:pt>
                <c:pt idx="2">
                  <c:v>-88870022.728372902</c:v>
                </c:pt>
                <c:pt idx="3">
                  <c:v>-91811644.763017863</c:v>
                </c:pt>
                <c:pt idx="4">
                  <c:v>-94812099.238355726</c:v>
                </c:pt>
                <c:pt idx="5">
                  <c:v>-97872562.803200334</c:v>
                </c:pt>
                <c:pt idx="6">
                  <c:v>-100994235.63934185</c:v>
                </c:pt>
                <c:pt idx="7">
                  <c:v>-104178341.93220618</c:v>
                </c:pt>
                <c:pt idx="8">
                  <c:v>-107426130.3509278</c:v>
                </c:pt>
                <c:pt idx="9">
                  <c:v>-110738874.53802386</c:v>
                </c:pt>
                <c:pt idx="10">
                  <c:v>-114117873.60886183</c:v>
                </c:pt>
                <c:pt idx="11">
                  <c:v>-117564452.66111657</c:v>
                </c:pt>
                <c:pt idx="12">
                  <c:v>-121079963.2944164</c:v>
                </c:pt>
                <c:pt idx="13">
                  <c:v>-124665784.14038223</c:v>
                </c:pt>
                <c:pt idx="14">
                  <c:v>-128323321.40326737</c:v>
                </c:pt>
                <c:pt idx="15">
                  <c:v>-132054009.41141021</c:v>
                </c:pt>
                <c:pt idx="16">
                  <c:v>-135859311.1797159</c:v>
                </c:pt>
                <c:pt idx="17">
                  <c:v>-139740718.98338771</c:v>
                </c:pt>
                <c:pt idx="18">
                  <c:v>-143699754.94313297</c:v>
                </c:pt>
                <c:pt idx="19">
                  <c:v>-147737971.62207311</c:v>
                </c:pt>
                <c:pt idx="20">
                  <c:v>-151856952.63459209</c:v>
                </c:pt>
                <c:pt idx="21">
                  <c:v>-156058313.26736143</c:v>
                </c:pt>
                <c:pt idx="22">
                  <c:v>-160343701.11278617</c:v>
                </c:pt>
                <c:pt idx="23">
                  <c:v>-164714796.71511939</c:v>
                </c:pt>
                <c:pt idx="24">
                  <c:v>-169173314.22949928</c:v>
                </c:pt>
                <c:pt idx="25">
                  <c:v>-173721002.09416676</c:v>
                </c:pt>
                <c:pt idx="26">
                  <c:v>-178359643.71612757</c:v>
                </c:pt>
                <c:pt idx="27">
                  <c:v>-183091058.17052764</c:v>
                </c:pt>
                <c:pt idx="28">
                  <c:v>-187917100.91401568</c:v>
                </c:pt>
                <c:pt idx="29">
                  <c:v>-192839664.51237351</c:v>
                </c:pt>
                <c:pt idx="30">
                  <c:v>-197860679.38269848</c:v>
                </c:pt>
                <c:pt idx="31">
                  <c:v>-202982114.55042994</c:v>
                </c:pt>
                <c:pt idx="32">
                  <c:v>-208205978.42151603</c:v>
                </c:pt>
                <c:pt idx="33">
                  <c:v>-213534319.57002386</c:v>
                </c:pt>
                <c:pt idx="34">
                  <c:v>-218969227.54150185</c:v>
                </c:pt>
                <c:pt idx="35">
                  <c:v>-224512833.67240939</c:v>
                </c:pt>
                <c:pt idx="36">
                  <c:v>-230167311.92593506</c:v>
                </c:pt>
                <c:pt idx="37">
                  <c:v>-235934879.74453127</c:v>
                </c:pt>
                <c:pt idx="38">
                  <c:v>-241817798.9194994</c:v>
                </c:pt>
                <c:pt idx="39">
                  <c:v>-247818376.47796687</c:v>
                </c:pt>
                <c:pt idx="40">
                  <c:v>-253938965.58760372</c:v>
                </c:pt>
                <c:pt idx="41">
                  <c:v>-260181966.4794333</c:v>
                </c:pt>
                <c:pt idx="42">
                  <c:v>-266549827.38909945</c:v>
                </c:pt>
                <c:pt idx="43">
                  <c:v>-273045045.51695895</c:v>
                </c:pt>
                <c:pt idx="44">
                  <c:v>-279670168.00737566</c:v>
                </c:pt>
                <c:pt idx="45">
                  <c:v>-286427792.94760066</c:v>
                </c:pt>
                <c:pt idx="46">
                  <c:v>-293320570.38663018</c:v>
                </c:pt>
                <c:pt idx="47">
                  <c:v>-300351203.37444025</c:v>
                </c:pt>
                <c:pt idx="48">
                  <c:v>-307522449.02200657</c:v>
                </c:pt>
                <c:pt idx="49">
                  <c:v>-314837119.58252418</c:v>
                </c:pt>
                <c:pt idx="50">
                  <c:v>-322298083.55425215</c:v>
                </c:pt>
                <c:pt idx="51">
                  <c:v>-329908266.80541468</c:v>
                </c:pt>
                <c:pt idx="52">
                  <c:v>-337670653.72160047</c:v>
                </c:pt>
                <c:pt idx="53">
                  <c:v>-345588288.37610996</c:v>
                </c:pt>
                <c:pt idx="54">
                  <c:v>-353664275.72370964</c:v>
                </c:pt>
              </c:numCache>
            </c:numRef>
          </c:val>
          <c:smooth val="0"/>
          <c:extLst>
            <c:ext xmlns:c16="http://schemas.microsoft.com/office/drawing/2014/chart" uri="{C3380CC4-5D6E-409C-BE32-E72D297353CC}">
              <c16:uniqueId val="{00000000-BB0A-6E4C-85C9-C0B2E63C4D95}"/>
            </c:ext>
          </c:extLst>
        </c:ser>
        <c:ser>
          <c:idx val="1"/>
          <c:order val="1"/>
          <c:tx>
            <c:v>Rev-Cost</c:v>
          </c:tx>
          <c:spPr>
            <a:ln w="38100" cmpd="sng">
              <a:solidFill>
                <a:schemeClr val="accent1"/>
              </a:solidFill>
            </a:ln>
          </c:spPr>
          <c:marker>
            <c:symbol val="none"/>
          </c:marker>
          <c:val>
            <c:numRef>
              <c:f>'Evol of Costs and Rev'!$B$23:$BD$23</c:f>
              <c:numCache>
                <c:formatCode>_(* #,##0_);_(* \(#,##0\);_(* "-"??_);_(@_)</c:formatCode>
                <c:ptCount val="55"/>
                <c:pt idx="0">
                  <c:v>-83158684.291249871</c:v>
                </c:pt>
                <c:pt idx="1">
                  <c:v>-85986079.557152361</c:v>
                </c:pt>
                <c:pt idx="2">
                  <c:v>-88870022.728372902</c:v>
                </c:pt>
                <c:pt idx="3">
                  <c:v>-91811644.763017863</c:v>
                </c:pt>
                <c:pt idx="4">
                  <c:v>-94812099.238355726</c:v>
                </c:pt>
                <c:pt idx="5">
                  <c:v>-97872562.803200334</c:v>
                </c:pt>
                <c:pt idx="6">
                  <c:v>-92451698.293610156</c:v>
                </c:pt>
                <c:pt idx="7">
                  <c:v>-86878949.513201028</c:v>
                </c:pt>
                <c:pt idx="8">
                  <c:v>-81150186.843027234</c:v>
                </c:pt>
                <c:pt idx="9">
                  <c:v>-75261170.538017049</c:v>
                </c:pt>
                <c:pt idx="10">
                  <c:v>-69207547.815943986</c:v>
                </c:pt>
                <c:pt idx="11">
                  <c:v>-62984849.867993921</c:v>
                </c:pt>
                <c:pt idx="12">
                  <c:v>-56588488.788522355</c:v>
                </c:pt>
                <c:pt idx="13">
                  <c:v>-50013754.421481296</c:v>
                </c:pt>
                <c:pt idx="14">
                  <c:v>-43255811.12087068</c:v>
                </c:pt>
                <c:pt idx="15">
                  <c:v>-36309694.422432333</c:v>
                </c:pt>
                <c:pt idx="16">
                  <c:v>-29170307.623654947</c:v>
                </c:pt>
                <c:pt idx="17">
                  <c:v>-21832418.268994793</c:v>
                </c:pt>
                <c:pt idx="18">
                  <c:v>-14290654.537035823</c:v>
                </c:pt>
                <c:pt idx="19">
                  <c:v>-6539501.526113987</c:v>
                </c:pt>
                <c:pt idx="20">
                  <c:v>1426702.5652895868</c:v>
                </c:pt>
                <c:pt idx="21">
                  <c:v>9613770.3673262894</c:v>
                </c:pt>
                <c:pt idx="22">
                  <c:v>18027669.380938083</c:v>
                </c:pt>
                <c:pt idx="23">
                  <c:v>26674526.137907505</c:v>
                </c:pt>
                <c:pt idx="24">
                  <c:v>35560501.425577313</c:v>
                </c:pt>
                <c:pt idx="25">
                  <c:v>44624068.213147551</c:v>
                </c:pt>
                <c:pt idx="26">
                  <c:v>53868778.35166055</c:v>
                </c:pt>
                <c:pt idx="27">
                  <c:v>63298254.72960034</c:v>
                </c:pt>
                <c:pt idx="28">
                  <c:v>72916192.693649977</c:v>
                </c:pt>
                <c:pt idx="29">
                  <c:v>82726361.497864008</c:v>
                </c:pt>
                <c:pt idx="30">
                  <c:v>92732605.781824827</c:v>
                </c:pt>
                <c:pt idx="31">
                  <c:v>102938847.07836199</c:v>
                </c:pt>
                <c:pt idx="32">
                  <c:v>113349085.35142627</c:v>
                </c:pt>
                <c:pt idx="33">
                  <c:v>123967400.56472149</c:v>
                </c:pt>
                <c:pt idx="34">
                  <c:v>134797954.2817091</c:v>
                </c:pt>
                <c:pt idx="35">
                  <c:v>145844991.29761282</c:v>
                </c:pt>
                <c:pt idx="36">
                  <c:v>157112841.30406389</c:v>
                </c:pt>
                <c:pt idx="37">
                  <c:v>168605920.58703917</c:v>
                </c:pt>
                <c:pt idx="38">
                  <c:v>180328733.75875843</c:v>
                </c:pt>
                <c:pt idx="39">
                  <c:v>192285875.5242196</c:v>
                </c:pt>
                <c:pt idx="40">
                  <c:v>204482032.48306504</c:v>
                </c:pt>
                <c:pt idx="41">
                  <c:v>216921984.96748531</c:v>
                </c:pt>
                <c:pt idx="42">
                  <c:v>229610608.91688123</c:v>
                </c:pt>
                <c:pt idx="43">
                  <c:v>242552877.79001945</c:v>
                </c:pt>
                <c:pt idx="44">
                  <c:v>255753864.51543123</c:v>
                </c:pt>
                <c:pt idx="45">
                  <c:v>269218743.48081964</c:v>
                </c:pt>
                <c:pt idx="46">
                  <c:v>282952792.56225502</c:v>
                </c:pt>
                <c:pt idx="47">
                  <c:v>296961395.19395441</c:v>
                </c:pt>
                <c:pt idx="48">
                  <c:v>311250042.47945708</c:v>
                </c:pt>
                <c:pt idx="49">
                  <c:v>325824335.34502399</c:v>
                </c:pt>
                <c:pt idx="50">
                  <c:v>340689986.73610485</c:v>
                </c:pt>
                <c:pt idx="51">
                  <c:v>355852823.85773528</c:v>
                </c:pt>
                <c:pt idx="52">
                  <c:v>371318790.45974225</c:v>
                </c:pt>
                <c:pt idx="53">
                  <c:v>387093949.16765356</c:v>
                </c:pt>
                <c:pt idx="54">
                  <c:v>403184483.86022586</c:v>
                </c:pt>
              </c:numCache>
            </c:numRef>
          </c:val>
          <c:smooth val="0"/>
          <c:extLst>
            <c:ext xmlns:c16="http://schemas.microsoft.com/office/drawing/2014/chart" uri="{C3380CC4-5D6E-409C-BE32-E72D297353CC}">
              <c16:uniqueId val="{00000001-BB0A-6E4C-85C9-C0B2E63C4D95}"/>
            </c:ext>
          </c:extLst>
        </c:ser>
        <c:ser>
          <c:idx val="2"/>
          <c:order val="2"/>
          <c:tx>
            <c:v>Bond+Rev-Cost-DebtSC</c:v>
          </c:tx>
          <c:spPr>
            <a:ln w="38100" cmpd="sng">
              <a:solidFill>
                <a:schemeClr val="accent3"/>
              </a:solidFill>
            </a:ln>
          </c:spPr>
          <c:marker>
            <c:symbol val="none"/>
          </c:marker>
          <c:val>
            <c:numRef>
              <c:f>'Evol of Costs and Rev'!$B$24:$BD$24</c:f>
              <c:numCache>
                <c:formatCode>_(* #,##0_);_(* \(#,##0\);_(* "-"??_);_(@_)</c:formatCode>
                <c:ptCount val="55"/>
                <c:pt idx="0">
                  <c:v>36841315.708750129</c:v>
                </c:pt>
                <c:pt idx="1">
                  <c:v>28013920.442847639</c:v>
                </c:pt>
                <c:pt idx="2">
                  <c:v>19129977.271627098</c:v>
                </c:pt>
                <c:pt idx="3">
                  <c:v>10188355.236982137</c:v>
                </c:pt>
                <c:pt idx="4">
                  <c:v>1187900.761644274</c:v>
                </c:pt>
                <c:pt idx="5">
                  <c:v>7127437.1967996657</c:v>
                </c:pt>
                <c:pt idx="6">
                  <c:v>5798301.7063898444</c:v>
                </c:pt>
                <c:pt idx="7">
                  <c:v>4621050.4867989719</c:v>
                </c:pt>
                <c:pt idx="8">
                  <c:v>3599813.1569727659</c:v>
                </c:pt>
                <c:pt idx="9">
                  <c:v>2738829.4619829506</c:v>
                </c:pt>
                <c:pt idx="10">
                  <c:v>2042452.1840560138</c:v>
                </c:pt>
                <c:pt idx="11">
                  <c:v>1515150.132006079</c:v>
                </c:pt>
                <c:pt idx="12">
                  <c:v>1161511.2114776447</c:v>
                </c:pt>
                <c:pt idx="13">
                  <c:v>986245.57851870358</c:v>
                </c:pt>
                <c:pt idx="14">
                  <c:v>994188.87912932038</c:v>
                </c:pt>
                <c:pt idx="15">
                  <c:v>1190305.5775676668</c:v>
                </c:pt>
                <c:pt idx="16">
                  <c:v>1579692.3763450533</c:v>
                </c:pt>
                <c:pt idx="17">
                  <c:v>2167581.7310052067</c:v>
                </c:pt>
                <c:pt idx="18">
                  <c:v>2959345.4629641771</c:v>
                </c:pt>
                <c:pt idx="19">
                  <c:v>3960498.473886013</c:v>
                </c:pt>
                <c:pt idx="20">
                  <c:v>5176702.5652895868</c:v>
                </c:pt>
                <c:pt idx="21">
                  <c:v>6613770.3673262894</c:v>
                </c:pt>
                <c:pt idx="22">
                  <c:v>8277669.3809380829</c:v>
                </c:pt>
                <c:pt idx="23">
                  <c:v>10174526.137907505</c:v>
                </c:pt>
                <c:pt idx="24">
                  <c:v>12310501.425577313</c:v>
                </c:pt>
                <c:pt idx="25">
                  <c:v>14624068.213147551</c:v>
                </c:pt>
                <c:pt idx="26">
                  <c:v>17118778.35166055</c:v>
                </c:pt>
                <c:pt idx="27">
                  <c:v>19798254.72960034</c:v>
                </c:pt>
                <c:pt idx="28">
                  <c:v>22666192.693649977</c:v>
                </c:pt>
                <c:pt idx="29">
                  <c:v>25726361.497864008</c:v>
                </c:pt>
                <c:pt idx="30">
                  <c:v>3982605.7818248272</c:v>
                </c:pt>
                <c:pt idx="31">
                  <c:v>8688847.0783619881</c:v>
                </c:pt>
                <c:pt idx="32">
                  <c:v>13599085.351426274</c:v>
                </c:pt>
                <c:pt idx="33">
                  <c:v>18717400.564721495</c:v>
                </c:pt>
                <c:pt idx="34">
                  <c:v>24047954.281709105</c:v>
                </c:pt>
                <c:pt idx="35">
                  <c:v>29594991.297612816</c:v>
                </c:pt>
                <c:pt idx="36">
                  <c:v>35362841.304063886</c:v>
                </c:pt>
                <c:pt idx="37">
                  <c:v>41355920.587039173</c:v>
                </c:pt>
                <c:pt idx="38">
                  <c:v>47578733.758758426</c:v>
                </c:pt>
                <c:pt idx="39">
                  <c:v>54035875.524219602</c:v>
                </c:pt>
                <c:pt idx="40">
                  <c:v>60732032.483065039</c:v>
                </c:pt>
                <c:pt idx="41">
                  <c:v>67671984.967485309</c:v>
                </c:pt>
                <c:pt idx="42">
                  <c:v>74860608.916881233</c:v>
                </c:pt>
                <c:pt idx="43">
                  <c:v>82302877.790019453</c:v>
                </c:pt>
                <c:pt idx="44">
                  <c:v>90003864.515431225</c:v>
                </c:pt>
                <c:pt idx="45">
                  <c:v>97968743.480819643</c:v>
                </c:pt>
                <c:pt idx="46">
                  <c:v>106202792.56225502</c:v>
                </c:pt>
                <c:pt idx="47">
                  <c:v>114711395.19395441</c:v>
                </c:pt>
                <c:pt idx="48">
                  <c:v>123500042.47945708</c:v>
                </c:pt>
                <c:pt idx="49">
                  <c:v>132574335.34502399</c:v>
                </c:pt>
                <c:pt idx="50">
                  <c:v>141939986.73610485</c:v>
                </c:pt>
                <c:pt idx="51">
                  <c:v>157102823.85773528</c:v>
                </c:pt>
                <c:pt idx="52">
                  <c:v>172568790.45974225</c:v>
                </c:pt>
                <c:pt idx="53">
                  <c:v>188343949.16765356</c:v>
                </c:pt>
                <c:pt idx="54">
                  <c:v>204434483.86022586</c:v>
                </c:pt>
              </c:numCache>
            </c:numRef>
          </c:val>
          <c:smooth val="0"/>
          <c:extLst>
            <c:ext xmlns:c16="http://schemas.microsoft.com/office/drawing/2014/chart" uri="{C3380CC4-5D6E-409C-BE32-E72D297353CC}">
              <c16:uniqueId val="{00000002-BB0A-6E4C-85C9-C0B2E63C4D95}"/>
            </c:ext>
          </c:extLst>
        </c:ser>
        <c:ser>
          <c:idx val="3"/>
          <c:order val="3"/>
          <c:tx>
            <c:v>Rev60%-Cost</c:v>
          </c:tx>
          <c:spPr>
            <a:ln w="38100" cmpd="sng">
              <a:solidFill>
                <a:schemeClr val="accent1"/>
              </a:solidFill>
              <a:prstDash val="dash"/>
            </a:ln>
          </c:spPr>
          <c:marker>
            <c:symbol val="none"/>
          </c:marker>
          <c:val>
            <c:numRef>
              <c:f>'Evol of Costs and Rev'!$B$25:$BD$25</c:f>
              <c:numCache>
                <c:formatCode>_(* #,##0_);_(* \(#,##0\);_(* "-"??_);_(@_)</c:formatCode>
                <c:ptCount val="55"/>
                <c:pt idx="0">
                  <c:v>-83158684.291249871</c:v>
                </c:pt>
                <c:pt idx="1">
                  <c:v>-85986079.557152361</c:v>
                </c:pt>
                <c:pt idx="2">
                  <c:v>-88870022.728372902</c:v>
                </c:pt>
                <c:pt idx="3">
                  <c:v>-91811644.763017863</c:v>
                </c:pt>
                <c:pt idx="4">
                  <c:v>-94812099.238355726</c:v>
                </c:pt>
                <c:pt idx="5">
                  <c:v>-97872562.803200334</c:v>
                </c:pt>
                <c:pt idx="6">
                  <c:v>-94603319.579083979</c:v>
                </c:pt>
                <c:pt idx="7">
                  <c:v>-91236097.698222563</c:v>
                </c:pt>
                <c:pt idx="8">
                  <c:v>-87768119.48517403</c:v>
                </c:pt>
                <c:pt idx="9">
                  <c:v>-84196531.17665714</c:v>
                </c:pt>
                <c:pt idx="10">
                  <c:v>-80518400.884383768</c:v>
                </c:pt>
                <c:pt idx="11">
                  <c:v>-76730716.504210964</c:v>
                </c:pt>
                <c:pt idx="12">
                  <c:v>-72830383.570214689</c:v>
                </c:pt>
                <c:pt idx="13">
                  <c:v>-68814223.052250504</c:v>
                </c:pt>
                <c:pt idx="14">
                  <c:v>-64678969.095529974</c:v>
                </c:pt>
                <c:pt idx="15">
                  <c:v>-60421266.700703159</c:v>
                </c:pt>
                <c:pt idx="16">
                  <c:v>-56037669.342898861</c:v>
                </c:pt>
                <c:pt idx="17">
                  <c:v>-51524636.528134137</c:v>
                </c:pt>
                <c:pt idx="18">
                  <c:v>-46878531.28546375</c:v>
                </c:pt>
                <c:pt idx="19">
                  <c:v>-42095617.593197972</c:v>
                </c:pt>
                <c:pt idx="20">
                  <c:v>-37172057.737474471</c:v>
                </c:pt>
                <c:pt idx="21">
                  <c:v>-32103909.601425022</c:v>
                </c:pt>
                <c:pt idx="22">
                  <c:v>-26887123.883133307</c:v>
                </c:pt>
                <c:pt idx="23">
                  <c:v>-21517541.240532875</c:v>
                </c:pt>
                <c:pt idx="24">
                  <c:v>-15990889.36134696</c:v>
                </c:pt>
                <c:pt idx="25">
                  <c:v>-10353703.918469578</c:v>
                </c:pt>
                <c:pt idx="26">
                  <c:v>-4603774.2301047444</c:v>
                </c:pt>
                <c:pt idx="27">
                  <c:v>1261154.5993898213</c:v>
                </c:pt>
                <c:pt idx="28">
                  <c:v>7243382.5637840331</c:v>
                </c:pt>
                <c:pt idx="29">
                  <c:v>13345255.65694204</c:v>
                </c:pt>
                <c:pt idx="30">
                  <c:v>19569166.792828649</c:v>
                </c:pt>
                <c:pt idx="31">
                  <c:v>25917556.743915766</c:v>
                </c:pt>
                <c:pt idx="32">
                  <c:v>32392915.098357022</c:v>
                </c:pt>
                <c:pt idx="33">
                  <c:v>38997781.236306161</c:v>
                </c:pt>
                <c:pt idx="34">
                  <c:v>45734745.325761706</c:v>
                </c:pt>
                <c:pt idx="35">
                  <c:v>52606449.338328749</c:v>
                </c:pt>
                <c:pt idx="36">
                  <c:v>59615588.085296005</c:v>
                </c:pt>
                <c:pt idx="37">
                  <c:v>66764910.274434388</c:v>
                </c:pt>
                <c:pt idx="38">
                  <c:v>74057219.587931991</c:v>
                </c:pt>
                <c:pt idx="39">
                  <c:v>81495375.781887561</c:v>
                </c:pt>
                <c:pt idx="40">
                  <c:v>89082295.807793945</c:v>
                </c:pt>
                <c:pt idx="41">
                  <c:v>96820954.956451654</c:v>
                </c:pt>
                <c:pt idx="42">
                  <c:v>104714388.02476034</c:v>
                </c:pt>
                <c:pt idx="43">
                  <c:v>112765690.50584656</c:v>
                </c:pt>
                <c:pt idx="44">
                  <c:v>120978019.80299413</c:v>
                </c:pt>
                <c:pt idx="45">
                  <c:v>129354596.46785307</c:v>
                </c:pt>
                <c:pt idx="46">
                  <c:v>137898705.46341294</c:v>
                </c:pt>
                <c:pt idx="47">
                  <c:v>146613697.45223594</c:v>
                </c:pt>
                <c:pt idx="48">
                  <c:v>155502990.11045426</c:v>
                </c:pt>
                <c:pt idx="49">
                  <c:v>164570069.46804821</c:v>
                </c:pt>
                <c:pt idx="50">
                  <c:v>173818491.27592957</c:v>
                </c:pt>
                <c:pt idx="51">
                  <c:v>183251882.40036672</c:v>
                </c:pt>
                <c:pt idx="52">
                  <c:v>192873942.2452988</c:v>
                </c:pt>
                <c:pt idx="53">
                  <c:v>202688444.20309579</c:v>
                </c:pt>
                <c:pt idx="54">
                  <c:v>212699237.13433439</c:v>
                </c:pt>
              </c:numCache>
            </c:numRef>
          </c:val>
          <c:smooth val="0"/>
          <c:extLst>
            <c:ext xmlns:c16="http://schemas.microsoft.com/office/drawing/2014/chart" uri="{C3380CC4-5D6E-409C-BE32-E72D297353CC}">
              <c16:uniqueId val="{00000003-BB0A-6E4C-85C9-C0B2E63C4D95}"/>
            </c:ext>
          </c:extLst>
        </c:ser>
        <c:ser>
          <c:idx val="4"/>
          <c:order val="4"/>
          <c:tx>
            <c:v>Bond+Rev60%-Cost-DebtSC</c:v>
          </c:tx>
          <c:spPr>
            <a:ln w="38100" cmpd="sng">
              <a:solidFill>
                <a:schemeClr val="accent3"/>
              </a:solidFill>
              <a:prstDash val="dash"/>
            </a:ln>
          </c:spPr>
          <c:marker>
            <c:symbol val="none"/>
          </c:marker>
          <c:val>
            <c:numRef>
              <c:f>'Evol of Costs and Rev'!$B$26:$BD$26</c:f>
              <c:numCache>
                <c:formatCode>_(* #,##0_);_(* \(#,##0\);_(* "-"??_);_(@_)</c:formatCode>
                <c:ptCount val="55"/>
                <c:pt idx="0">
                  <c:v>36841315.708750129</c:v>
                </c:pt>
                <c:pt idx="1">
                  <c:v>28013920.442847639</c:v>
                </c:pt>
                <c:pt idx="2">
                  <c:v>19129977.271627098</c:v>
                </c:pt>
                <c:pt idx="3">
                  <c:v>10188355.236982137</c:v>
                </c:pt>
                <c:pt idx="4">
                  <c:v>1187900.761644274</c:v>
                </c:pt>
                <c:pt idx="5">
                  <c:v>32127437.196799666</c:v>
                </c:pt>
                <c:pt idx="6">
                  <c:v>27396680.420916021</c:v>
                </c:pt>
                <c:pt idx="7">
                  <c:v>22763902.301777437</c:v>
                </c:pt>
                <c:pt idx="8">
                  <c:v>18231880.51482597</c:v>
                </c:pt>
                <c:pt idx="9">
                  <c:v>13803468.82334286</c:v>
                </c:pt>
                <c:pt idx="10">
                  <c:v>9481599.1156162322</c:v>
                </c:pt>
                <c:pt idx="11">
                  <c:v>5269283.4957890362</c:v>
                </c:pt>
                <c:pt idx="12">
                  <c:v>1169616.4297853112</c:v>
                </c:pt>
                <c:pt idx="13">
                  <c:v>-2814223.0522505045</c:v>
                </c:pt>
                <c:pt idx="14">
                  <c:v>-6678969.0955299735</c:v>
                </c:pt>
                <c:pt idx="15">
                  <c:v>-10421266.700703159</c:v>
                </c:pt>
                <c:pt idx="16">
                  <c:v>-14037669.342898861</c:v>
                </c:pt>
                <c:pt idx="17">
                  <c:v>-17524636.528134137</c:v>
                </c:pt>
                <c:pt idx="18">
                  <c:v>-20878531.28546375</c:v>
                </c:pt>
                <c:pt idx="19">
                  <c:v>-24095617.593197972</c:v>
                </c:pt>
                <c:pt idx="20">
                  <c:v>-27172057.737474471</c:v>
                </c:pt>
                <c:pt idx="21">
                  <c:v>-30103909.601425022</c:v>
                </c:pt>
                <c:pt idx="22">
                  <c:v>-32887123.883133307</c:v>
                </c:pt>
                <c:pt idx="23">
                  <c:v>-35517541.240532875</c:v>
                </c:pt>
                <c:pt idx="24">
                  <c:v>-37990889.36134696</c:v>
                </c:pt>
                <c:pt idx="25">
                  <c:v>-40353703.918469578</c:v>
                </c:pt>
                <c:pt idx="26">
                  <c:v>-42603774.230104744</c:v>
                </c:pt>
                <c:pt idx="27">
                  <c:v>-44738845.400610179</c:v>
                </c:pt>
                <c:pt idx="28">
                  <c:v>-46756617.436215967</c:v>
                </c:pt>
                <c:pt idx="29">
                  <c:v>-48654744.34305796</c:v>
                </c:pt>
                <c:pt idx="30">
                  <c:v>-60430833.207171351</c:v>
                </c:pt>
                <c:pt idx="31">
                  <c:v>-61582443.256084234</c:v>
                </c:pt>
                <c:pt idx="32">
                  <c:v>-62607084.901642978</c:v>
                </c:pt>
                <c:pt idx="33">
                  <c:v>-63502218.763693839</c:v>
                </c:pt>
                <c:pt idx="34">
                  <c:v>-64265254.674238294</c:v>
                </c:pt>
                <c:pt idx="35">
                  <c:v>-64893550.661671251</c:v>
                </c:pt>
                <c:pt idx="36">
                  <c:v>-65384411.914703995</c:v>
                </c:pt>
                <c:pt idx="37">
                  <c:v>-65735089.725565612</c:v>
                </c:pt>
                <c:pt idx="38">
                  <c:v>-65942780.412068009</c:v>
                </c:pt>
                <c:pt idx="39">
                  <c:v>-66004624.218112439</c:v>
                </c:pt>
                <c:pt idx="40">
                  <c:v>-65917704.192206055</c:v>
                </c:pt>
                <c:pt idx="41">
                  <c:v>-65679045.043548346</c:v>
                </c:pt>
                <c:pt idx="42">
                  <c:v>-65285611.975239664</c:v>
                </c:pt>
                <c:pt idx="43">
                  <c:v>-64734309.49415344</c:v>
                </c:pt>
                <c:pt idx="44">
                  <c:v>-64021980.197005868</c:v>
                </c:pt>
                <c:pt idx="45">
                  <c:v>-63145403.532146931</c:v>
                </c:pt>
                <c:pt idx="46">
                  <c:v>-62101294.536587059</c:v>
                </c:pt>
                <c:pt idx="47">
                  <c:v>-60886302.547764063</c:v>
                </c:pt>
                <c:pt idx="48">
                  <c:v>-59497009.889545739</c:v>
                </c:pt>
                <c:pt idx="49">
                  <c:v>-57929930.531951785</c:v>
                </c:pt>
                <c:pt idx="50">
                  <c:v>-56181508.72407043</c:v>
                </c:pt>
                <c:pt idx="51">
                  <c:v>-46748117.599633276</c:v>
                </c:pt>
                <c:pt idx="52">
                  <c:v>-37126057.754701197</c:v>
                </c:pt>
                <c:pt idx="53">
                  <c:v>-27311555.796904206</c:v>
                </c:pt>
                <c:pt idx="54">
                  <c:v>-17300762.865665615</c:v>
                </c:pt>
              </c:numCache>
            </c:numRef>
          </c:val>
          <c:smooth val="0"/>
          <c:extLst>
            <c:ext xmlns:c16="http://schemas.microsoft.com/office/drawing/2014/chart" uri="{C3380CC4-5D6E-409C-BE32-E72D297353CC}">
              <c16:uniqueId val="{00000004-BB0A-6E4C-85C9-C0B2E63C4D95}"/>
            </c:ext>
          </c:extLst>
        </c:ser>
        <c:dLbls>
          <c:showLegendKey val="0"/>
          <c:showVal val="0"/>
          <c:showCatName val="0"/>
          <c:showSerName val="0"/>
          <c:showPercent val="0"/>
          <c:showBubbleSize val="0"/>
        </c:dLbls>
        <c:smooth val="0"/>
        <c:axId val="283660061"/>
        <c:axId val="437992034"/>
      </c:lineChart>
      <c:catAx>
        <c:axId val="28366006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437992034"/>
        <c:crosses val="autoZero"/>
        <c:auto val="1"/>
        <c:lblAlgn val="ctr"/>
        <c:lblOffset val="100"/>
        <c:noMultiLvlLbl val="1"/>
      </c:catAx>
      <c:valAx>
        <c:axId val="43799203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_(* #,##0_);_(* \(#,##0\);_(* &quot;-&quot;??_);_(@_)" sourceLinked="1"/>
        <c:majorTickMark val="none"/>
        <c:minorTickMark val="none"/>
        <c:tickLblPos val="nextTo"/>
        <c:spPr>
          <a:ln/>
        </c:spPr>
        <c:txPr>
          <a:bodyPr/>
          <a:lstStyle/>
          <a:p>
            <a:pPr lvl="0">
              <a:defRPr sz="900" b="0" i="0">
                <a:solidFill>
                  <a:srgbClr val="000000"/>
                </a:solidFill>
                <a:latin typeface="+mn-lt"/>
              </a:defRPr>
            </a:pPr>
            <a:endParaRPr lang="en-US"/>
          </a:p>
        </c:txPr>
        <c:crossAx val="283660061"/>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1"/>
        <c:ser>
          <c:idx val="0"/>
          <c:order val="0"/>
          <c:tx>
            <c:v>NPV for Model</c:v>
          </c:tx>
          <c:spPr>
            <a:ln w="28575" cmpd="sng">
              <a:solidFill>
                <a:schemeClr val="accent2"/>
              </a:solidFill>
            </a:ln>
          </c:spPr>
          <c:marker>
            <c:symbol val="none"/>
          </c:marker>
          <c:cat>
            <c:numRef>
              <c:f>'Sensitivity Analysis'!$G$4:$G$13</c:f>
              <c:numCache>
                <c:formatCode>0%</c:formatCode>
                <c:ptCount val="10"/>
                <c:pt idx="0">
                  <c:v>0.01</c:v>
                </c:pt>
                <c:pt idx="1">
                  <c:v>0.02</c:v>
                </c:pt>
                <c:pt idx="2">
                  <c:v>0.03</c:v>
                </c:pt>
                <c:pt idx="3">
                  <c:v>0.04</c:v>
                </c:pt>
                <c:pt idx="4">
                  <c:v>0.05</c:v>
                </c:pt>
                <c:pt idx="5">
                  <c:v>0.06</c:v>
                </c:pt>
                <c:pt idx="6">
                  <c:v>7.0000000000000007E-2</c:v>
                </c:pt>
                <c:pt idx="7">
                  <c:v>0.08</c:v>
                </c:pt>
                <c:pt idx="8">
                  <c:v>0.09</c:v>
                </c:pt>
                <c:pt idx="9">
                  <c:v>0.1</c:v>
                </c:pt>
              </c:numCache>
            </c:numRef>
          </c:cat>
          <c:val>
            <c:numRef>
              <c:f>'Sensitivity Analysis'!$H$4:$H$13</c:f>
              <c:numCache>
                <c:formatCode>_([$$-409]* #,##0.00_);_([$$-409]* \(#,##0.00\);_([$$-409]* "-"??_);_(@_)</c:formatCode>
                <c:ptCount val="10"/>
                <c:pt idx="0">
                  <c:v>-869371944.74624562</c:v>
                </c:pt>
                <c:pt idx="1">
                  <c:v>-604410053.66466975</c:v>
                </c:pt>
                <c:pt idx="2">
                  <c:v>-455674102.30966365</c:v>
                </c:pt>
                <c:pt idx="3">
                  <c:v>-365952412.1448645</c:v>
                </c:pt>
                <c:pt idx="4">
                  <c:v>-308054158.53602338</c:v>
                </c:pt>
                <c:pt idx="5">
                  <c:v>-268393252.13444671</c:v>
                </c:pt>
                <c:pt idx="6">
                  <c:v>-239812632.29964575</c:v>
                </c:pt>
                <c:pt idx="7">
                  <c:v>-218334198.73214772</c:v>
                </c:pt>
                <c:pt idx="8">
                  <c:v>-201628438.67372662</c:v>
                </c:pt>
                <c:pt idx="9">
                  <c:v>-188263137.69782758</c:v>
                </c:pt>
              </c:numCache>
            </c:numRef>
          </c:val>
          <c:smooth val="0"/>
          <c:extLst>
            <c:ext xmlns:c16="http://schemas.microsoft.com/office/drawing/2014/chart" uri="{C3380CC4-5D6E-409C-BE32-E72D297353CC}">
              <c16:uniqueId val="{00000000-81D4-8544-8DD4-A7DFAB4217B6}"/>
            </c:ext>
          </c:extLst>
        </c:ser>
        <c:ser>
          <c:idx val="1"/>
          <c:order val="1"/>
          <c:tx>
            <c:v>NPV for Counterfactual</c:v>
          </c:tx>
          <c:spPr>
            <a:ln w="28575" cmpd="sng">
              <a:solidFill>
                <a:schemeClr val="accent1"/>
              </a:solidFill>
            </a:ln>
          </c:spPr>
          <c:marker>
            <c:symbol val="none"/>
          </c:marker>
          <c:cat>
            <c:numRef>
              <c:f>'Sensitivity Analysis'!$G$4:$G$13</c:f>
              <c:numCache>
                <c:formatCode>0%</c:formatCode>
                <c:ptCount val="10"/>
                <c:pt idx="0">
                  <c:v>0.01</c:v>
                </c:pt>
                <c:pt idx="1">
                  <c:v>0.02</c:v>
                </c:pt>
                <c:pt idx="2">
                  <c:v>0.03</c:v>
                </c:pt>
                <c:pt idx="3">
                  <c:v>0.04</c:v>
                </c:pt>
                <c:pt idx="4">
                  <c:v>0.05</c:v>
                </c:pt>
                <c:pt idx="5">
                  <c:v>0.06</c:v>
                </c:pt>
                <c:pt idx="6">
                  <c:v>7.0000000000000007E-2</c:v>
                </c:pt>
                <c:pt idx="7">
                  <c:v>0.08</c:v>
                </c:pt>
                <c:pt idx="8">
                  <c:v>0.09</c:v>
                </c:pt>
                <c:pt idx="9">
                  <c:v>0.1</c:v>
                </c:pt>
              </c:numCache>
            </c:numRef>
          </c:cat>
          <c:val>
            <c:numRef>
              <c:f>'Sensitivity Analysis'!$L$4:$L$13</c:f>
              <c:numCache>
                <c:formatCode>_([$$-409]* #,##0.00_);_([$$-409]* \(#,##0.00\);_([$$-409]* "-"??_);_(@_)</c:formatCode>
                <c:ptCount val="10"/>
                <c:pt idx="0">
                  <c:v>-1751419662.3344281</c:v>
                </c:pt>
                <c:pt idx="1">
                  <c:v>-1021585066.1557633</c:v>
                </c:pt>
                <c:pt idx="2">
                  <c:v>-648426808.4685328</c:v>
                </c:pt>
                <c:pt idx="3">
                  <c:v>-445432932.14793164</c:v>
                </c:pt>
                <c:pt idx="4">
                  <c:v>-327641083.96717864</c:v>
                </c:pt>
                <c:pt idx="5">
                  <c:v>-254790803.42600095</c:v>
                </c:pt>
                <c:pt idx="6">
                  <c:v>-206967383.41803598</c:v>
                </c:pt>
                <c:pt idx="7">
                  <c:v>-173858864.9319284</c:v>
                </c:pt>
                <c:pt idx="8">
                  <c:v>-149866025.08866495</c:v>
                </c:pt>
                <c:pt idx="9">
                  <c:v>-131799875.13074481</c:v>
                </c:pt>
              </c:numCache>
            </c:numRef>
          </c:val>
          <c:smooth val="0"/>
          <c:extLst>
            <c:ext xmlns:c16="http://schemas.microsoft.com/office/drawing/2014/chart" uri="{C3380CC4-5D6E-409C-BE32-E72D297353CC}">
              <c16:uniqueId val="{00000001-81D4-8544-8DD4-A7DFAB4217B6}"/>
            </c:ext>
          </c:extLst>
        </c:ser>
        <c:dLbls>
          <c:showLegendKey val="0"/>
          <c:showVal val="0"/>
          <c:showCatName val="0"/>
          <c:showSerName val="0"/>
          <c:showPercent val="0"/>
          <c:showBubbleSize val="0"/>
        </c:dLbls>
        <c:smooth val="0"/>
        <c:axId val="175530863"/>
        <c:axId val="2085272631"/>
      </c:lineChart>
      <c:catAx>
        <c:axId val="175530863"/>
        <c:scaling>
          <c:orientation val="minMax"/>
        </c:scaling>
        <c:delete val="0"/>
        <c:axPos val="b"/>
        <c:title>
          <c:tx>
            <c:rich>
              <a:bodyPr/>
              <a:lstStyle/>
              <a:p>
                <a:pPr lvl="0">
                  <a:defRPr b="1" i="0">
                    <a:solidFill>
                      <a:srgbClr val="000000"/>
                    </a:solidFill>
                    <a:latin typeface="+mn-lt"/>
                  </a:defRPr>
                </a:pPr>
                <a:r>
                  <a:rPr lang="en-US" b="1" i="0">
                    <a:solidFill>
                      <a:srgbClr val="000000"/>
                    </a:solidFill>
                    <a:latin typeface="+mn-lt"/>
                  </a:rPr>
                  <a:t>Discount Rate</a:t>
                </a:r>
              </a:p>
            </c:rich>
          </c:tx>
          <c:overlay val="0"/>
        </c:title>
        <c:numFmt formatCode="0%" sourceLinked="1"/>
        <c:majorTickMark val="none"/>
        <c:minorTickMark val="none"/>
        <c:tickLblPos val="nextTo"/>
        <c:txPr>
          <a:bodyPr/>
          <a:lstStyle/>
          <a:p>
            <a:pPr lvl="0">
              <a:defRPr sz="900" b="0" i="0">
                <a:solidFill>
                  <a:srgbClr val="000000"/>
                </a:solidFill>
                <a:latin typeface="+mn-lt"/>
              </a:defRPr>
            </a:pPr>
            <a:endParaRPr lang="en-US"/>
          </a:p>
        </c:txPr>
        <c:crossAx val="2085272631"/>
        <c:crosses val="autoZero"/>
        <c:auto val="1"/>
        <c:lblAlgn val="ctr"/>
        <c:lblOffset val="100"/>
        <c:noMultiLvlLbl val="1"/>
      </c:catAx>
      <c:valAx>
        <c:axId val="208527263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_([$$-409]* #,##0_);_([$$-409]* \(#,##0\);_([$$-409]* &quot;-&quot;_);_(@_)" sourceLinked="0"/>
        <c:majorTickMark val="none"/>
        <c:minorTickMark val="none"/>
        <c:tickLblPos val="nextTo"/>
        <c:spPr>
          <a:ln/>
        </c:spPr>
        <c:txPr>
          <a:bodyPr/>
          <a:lstStyle/>
          <a:p>
            <a:pPr lvl="0">
              <a:defRPr sz="900" b="0" i="0">
                <a:solidFill>
                  <a:srgbClr val="000000"/>
                </a:solidFill>
                <a:latin typeface="+mn-lt"/>
              </a:defRPr>
            </a:pPr>
            <a:endParaRPr lang="en-US"/>
          </a:p>
        </c:txPr>
        <c:crossAx val="175530863"/>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1"/>
        <c:ser>
          <c:idx val="0"/>
          <c:order val="0"/>
          <c:tx>
            <c:v>NPV for Model</c:v>
          </c:tx>
          <c:spPr>
            <a:ln w="28575" cmpd="sng">
              <a:solidFill>
                <a:schemeClr val="accent2"/>
              </a:solidFill>
            </a:ln>
          </c:spPr>
          <c:marker>
            <c:symbol val="none"/>
          </c:marker>
          <c:cat>
            <c:numRef>
              <c:f>'Sensitivity Analysis'!$G$21:$G$41</c:f>
              <c:numCache>
                <c:formatCode>0%</c:formatCode>
                <c:ptCount val="21"/>
                <c:pt idx="0">
                  <c:v>0.2</c:v>
                </c:pt>
                <c:pt idx="1">
                  <c:v>0.21</c:v>
                </c:pt>
                <c:pt idx="2">
                  <c:v>0.22</c:v>
                </c:pt>
                <c:pt idx="3">
                  <c:v>0.23</c:v>
                </c:pt>
                <c:pt idx="4">
                  <c:v>0.24</c:v>
                </c:pt>
                <c:pt idx="5">
                  <c:v>0.25</c:v>
                </c:pt>
                <c:pt idx="6">
                  <c:v>0.26</c:v>
                </c:pt>
                <c:pt idx="7">
                  <c:v>0.27</c:v>
                </c:pt>
                <c:pt idx="8">
                  <c:v>0.28000000000000003</c:v>
                </c:pt>
                <c:pt idx="9">
                  <c:v>0.28999999999999998</c:v>
                </c:pt>
                <c:pt idx="10">
                  <c:v>0.3</c:v>
                </c:pt>
                <c:pt idx="11">
                  <c:v>0.31</c:v>
                </c:pt>
                <c:pt idx="12">
                  <c:v>0.32</c:v>
                </c:pt>
                <c:pt idx="13">
                  <c:v>0.33</c:v>
                </c:pt>
                <c:pt idx="14">
                  <c:v>0.34</c:v>
                </c:pt>
                <c:pt idx="15">
                  <c:v>0.35</c:v>
                </c:pt>
                <c:pt idx="16">
                  <c:v>0.36</c:v>
                </c:pt>
                <c:pt idx="17">
                  <c:v>0.37</c:v>
                </c:pt>
                <c:pt idx="18">
                  <c:v>0.38</c:v>
                </c:pt>
                <c:pt idx="19">
                  <c:v>0.39</c:v>
                </c:pt>
                <c:pt idx="20">
                  <c:v>0.4</c:v>
                </c:pt>
              </c:numCache>
            </c:numRef>
          </c:cat>
          <c:val>
            <c:numRef>
              <c:f>'Sensitivity Analysis'!$H$21:$H$41</c:f>
              <c:numCache>
                <c:formatCode>_([$$-409]* #,##0.00_);_([$$-409]* \(#,##0.00\);_([$$-409]* "-"??_);_(@_)</c:formatCode>
                <c:ptCount val="21"/>
                <c:pt idx="0">
                  <c:v>-342978536.62752408</c:v>
                </c:pt>
                <c:pt idx="1">
                  <c:v>-343517350.45378017</c:v>
                </c:pt>
                <c:pt idx="2">
                  <c:v>-344056164.28003627</c:v>
                </c:pt>
                <c:pt idx="3">
                  <c:v>-344594978.10629237</c:v>
                </c:pt>
                <c:pt idx="4">
                  <c:v>-345133791.93254852</c:v>
                </c:pt>
                <c:pt idx="5">
                  <c:v>-345672605.75880462</c:v>
                </c:pt>
                <c:pt idx="6">
                  <c:v>-346211419.58506072</c:v>
                </c:pt>
                <c:pt idx="7">
                  <c:v>-346750233.41131687</c:v>
                </c:pt>
                <c:pt idx="8">
                  <c:v>-347289047.23757297</c:v>
                </c:pt>
                <c:pt idx="9">
                  <c:v>-347827861.06382906</c:v>
                </c:pt>
                <c:pt idx="10">
                  <c:v>-348366674.89008522</c:v>
                </c:pt>
                <c:pt idx="11">
                  <c:v>-348905488.71634132</c:v>
                </c:pt>
                <c:pt idx="12">
                  <c:v>-349444302.54259741</c:v>
                </c:pt>
                <c:pt idx="13">
                  <c:v>-349983116.36885357</c:v>
                </c:pt>
                <c:pt idx="14">
                  <c:v>-350521930.19510967</c:v>
                </c:pt>
                <c:pt idx="15">
                  <c:v>-351060744.02136576</c:v>
                </c:pt>
                <c:pt idx="16">
                  <c:v>-351599557.84762192</c:v>
                </c:pt>
                <c:pt idx="17">
                  <c:v>-352138371.67387801</c:v>
                </c:pt>
                <c:pt idx="18">
                  <c:v>-352677185.50013411</c:v>
                </c:pt>
                <c:pt idx="19">
                  <c:v>-353215999.32639027</c:v>
                </c:pt>
                <c:pt idx="20">
                  <c:v>-353754813.15264636</c:v>
                </c:pt>
              </c:numCache>
            </c:numRef>
          </c:val>
          <c:smooth val="0"/>
          <c:extLst>
            <c:ext xmlns:c16="http://schemas.microsoft.com/office/drawing/2014/chart" uri="{C3380CC4-5D6E-409C-BE32-E72D297353CC}">
              <c16:uniqueId val="{00000000-AEB8-2F45-BD32-605E013FF17F}"/>
            </c:ext>
          </c:extLst>
        </c:ser>
        <c:ser>
          <c:idx val="1"/>
          <c:order val="1"/>
          <c:tx>
            <c:v>NPV for Counterfactual</c:v>
          </c:tx>
          <c:spPr>
            <a:ln w="28575" cmpd="sng">
              <a:solidFill>
                <a:schemeClr val="accent1"/>
              </a:solidFill>
            </a:ln>
          </c:spPr>
          <c:marker>
            <c:symbol val="none"/>
          </c:marker>
          <c:cat>
            <c:numRef>
              <c:f>'Sensitivity Analysis'!$G$21:$G$41</c:f>
              <c:numCache>
                <c:formatCode>0%</c:formatCode>
                <c:ptCount val="21"/>
                <c:pt idx="0">
                  <c:v>0.2</c:v>
                </c:pt>
                <c:pt idx="1">
                  <c:v>0.21</c:v>
                </c:pt>
                <c:pt idx="2">
                  <c:v>0.22</c:v>
                </c:pt>
                <c:pt idx="3">
                  <c:v>0.23</c:v>
                </c:pt>
                <c:pt idx="4">
                  <c:v>0.24</c:v>
                </c:pt>
                <c:pt idx="5">
                  <c:v>0.25</c:v>
                </c:pt>
                <c:pt idx="6">
                  <c:v>0.26</c:v>
                </c:pt>
                <c:pt idx="7">
                  <c:v>0.27</c:v>
                </c:pt>
                <c:pt idx="8">
                  <c:v>0.28000000000000003</c:v>
                </c:pt>
                <c:pt idx="9">
                  <c:v>0.28999999999999998</c:v>
                </c:pt>
                <c:pt idx="10">
                  <c:v>0.3</c:v>
                </c:pt>
                <c:pt idx="11">
                  <c:v>0.31</c:v>
                </c:pt>
                <c:pt idx="12">
                  <c:v>0.32</c:v>
                </c:pt>
                <c:pt idx="13">
                  <c:v>0.33</c:v>
                </c:pt>
                <c:pt idx="14">
                  <c:v>0.34</c:v>
                </c:pt>
                <c:pt idx="15">
                  <c:v>0.35</c:v>
                </c:pt>
                <c:pt idx="16">
                  <c:v>0.36</c:v>
                </c:pt>
                <c:pt idx="17">
                  <c:v>0.37</c:v>
                </c:pt>
                <c:pt idx="18">
                  <c:v>0.38</c:v>
                </c:pt>
                <c:pt idx="19">
                  <c:v>0.39</c:v>
                </c:pt>
                <c:pt idx="20">
                  <c:v>0.4</c:v>
                </c:pt>
              </c:numCache>
            </c:numRef>
          </c:cat>
          <c:val>
            <c:numRef>
              <c:f>'Sensitivity Analysis'!$L$21:$L$41</c:f>
              <c:numCache>
                <c:formatCode>_([$$-409]* #,##0.00_);_([$$-409]* \(#,##0.00\);_([$$-409]* "-"??_);_(@_)</c:formatCode>
                <c:ptCount val="21"/>
                <c:pt idx="0">
                  <c:v>-272056913.55987471</c:v>
                </c:pt>
                <c:pt idx="1">
                  <c:v>-285381983.5543983</c:v>
                </c:pt>
                <c:pt idx="2">
                  <c:v>-298707053.54892141</c:v>
                </c:pt>
                <c:pt idx="3">
                  <c:v>-312032123.54344451</c:v>
                </c:pt>
                <c:pt idx="4">
                  <c:v>-325357193.53796798</c:v>
                </c:pt>
                <c:pt idx="5">
                  <c:v>-338682263.53249121</c:v>
                </c:pt>
                <c:pt idx="6">
                  <c:v>-352007333.52701443</c:v>
                </c:pt>
                <c:pt idx="7">
                  <c:v>-365332403.52153772</c:v>
                </c:pt>
                <c:pt idx="8">
                  <c:v>-378657473.51606089</c:v>
                </c:pt>
                <c:pt idx="9">
                  <c:v>-391982543.51058429</c:v>
                </c:pt>
                <c:pt idx="10">
                  <c:v>-405307613.50510752</c:v>
                </c:pt>
                <c:pt idx="11">
                  <c:v>-418632683.49963093</c:v>
                </c:pt>
                <c:pt idx="12">
                  <c:v>-431957753.49415392</c:v>
                </c:pt>
                <c:pt idx="13">
                  <c:v>-445282823.48867744</c:v>
                </c:pt>
                <c:pt idx="14">
                  <c:v>-458607893.48320043</c:v>
                </c:pt>
                <c:pt idx="15">
                  <c:v>-471932963.47772384</c:v>
                </c:pt>
                <c:pt idx="16">
                  <c:v>-485258033.47224718</c:v>
                </c:pt>
                <c:pt idx="17">
                  <c:v>-498583103.46677035</c:v>
                </c:pt>
                <c:pt idx="18">
                  <c:v>-511908173.46129358</c:v>
                </c:pt>
                <c:pt idx="19">
                  <c:v>-525233243.45581669</c:v>
                </c:pt>
                <c:pt idx="20">
                  <c:v>-538558313.45034003</c:v>
                </c:pt>
              </c:numCache>
            </c:numRef>
          </c:val>
          <c:smooth val="0"/>
          <c:extLst>
            <c:ext xmlns:c16="http://schemas.microsoft.com/office/drawing/2014/chart" uri="{C3380CC4-5D6E-409C-BE32-E72D297353CC}">
              <c16:uniqueId val="{00000001-AEB8-2F45-BD32-605E013FF17F}"/>
            </c:ext>
          </c:extLst>
        </c:ser>
        <c:dLbls>
          <c:showLegendKey val="0"/>
          <c:showVal val="0"/>
          <c:showCatName val="0"/>
          <c:showSerName val="0"/>
          <c:showPercent val="0"/>
          <c:showBubbleSize val="0"/>
        </c:dLbls>
        <c:smooth val="0"/>
        <c:axId val="1073133360"/>
        <c:axId val="1269277756"/>
      </c:lineChart>
      <c:catAx>
        <c:axId val="1073133360"/>
        <c:scaling>
          <c:orientation val="minMax"/>
        </c:scaling>
        <c:delete val="0"/>
        <c:axPos val="b"/>
        <c:title>
          <c:tx>
            <c:rich>
              <a:bodyPr/>
              <a:lstStyle/>
              <a:p>
                <a:pPr lvl="0">
                  <a:defRPr b="1" i="0">
                    <a:solidFill>
                      <a:srgbClr val="000000"/>
                    </a:solidFill>
                    <a:latin typeface="+mn-lt"/>
                  </a:defRPr>
                </a:pPr>
                <a:r>
                  <a:rPr lang="en-US" b="1" i="0">
                    <a:solidFill>
                      <a:srgbClr val="000000"/>
                    </a:solidFill>
                    <a:latin typeface="+mn-lt"/>
                  </a:rPr>
                  <a:t>No. of Street Cuts 
(% of Total No. of Utility Street Cut Permits on the Case Study Street)</a:t>
                </a:r>
              </a:p>
            </c:rich>
          </c:tx>
          <c:overlay val="0"/>
        </c:title>
        <c:numFmt formatCode="0%" sourceLinked="1"/>
        <c:majorTickMark val="none"/>
        <c:minorTickMark val="none"/>
        <c:tickLblPos val="nextTo"/>
        <c:txPr>
          <a:bodyPr/>
          <a:lstStyle/>
          <a:p>
            <a:pPr lvl="0">
              <a:defRPr sz="900" b="0" i="0">
                <a:solidFill>
                  <a:srgbClr val="000000"/>
                </a:solidFill>
                <a:latin typeface="+mn-lt"/>
              </a:defRPr>
            </a:pPr>
            <a:endParaRPr lang="en-US"/>
          </a:p>
        </c:txPr>
        <c:crossAx val="1269277756"/>
        <c:crosses val="autoZero"/>
        <c:auto val="1"/>
        <c:lblAlgn val="ctr"/>
        <c:lblOffset val="100"/>
        <c:noMultiLvlLbl val="1"/>
      </c:catAx>
      <c:valAx>
        <c:axId val="126927775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_([$$-409]* #,##0_);_([$$-409]* \(#,##0\);_([$$-409]* &quot;-&quot;_);_(@_)" sourceLinked="0"/>
        <c:majorTickMark val="none"/>
        <c:minorTickMark val="none"/>
        <c:tickLblPos val="nextTo"/>
        <c:spPr>
          <a:ln/>
        </c:spPr>
        <c:txPr>
          <a:bodyPr/>
          <a:lstStyle/>
          <a:p>
            <a:pPr lvl="0">
              <a:defRPr sz="900" b="0" i="0">
                <a:solidFill>
                  <a:srgbClr val="000000"/>
                </a:solidFill>
                <a:latin typeface="+mn-lt"/>
              </a:defRPr>
            </a:pPr>
            <a:endParaRPr lang="en-US"/>
          </a:p>
        </c:txPr>
        <c:crossAx val="1073133360"/>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1"/>
        <c:ser>
          <c:idx val="0"/>
          <c:order val="0"/>
          <c:tx>
            <c:v>NPV for Model</c:v>
          </c:tx>
          <c:spPr>
            <a:ln w="28575" cmpd="sng">
              <a:solidFill>
                <a:schemeClr val="accent2"/>
              </a:solidFill>
            </a:ln>
          </c:spPr>
          <c:marker>
            <c:symbol val="none"/>
          </c:marker>
          <c:cat>
            <c:numRef>
              <c:f>'Sensitivity Analysis'!$G$46:$G$56</c:f>
              <c:numCache>
                <c:formatCode>0%</c:formatCode>
                <c:ptCount val="11"/>
                <c:pt idx="0">
                  <c:v>0.5</c:v>
                </c:pt>
                <c:pt idx="1">
                  <c:v>0.6</c:v>
                </c:pt>
                <c:pt idx="2">
                  <c:v>0.7</c:v>
                </c:pt>
                <c:pt idx="3">
                  <c:v>0.8</c:v>
                </c:pt>
                <c:pt idx="4">
                  <c:v>0.9</c:v>
                </c:pt>
                <c:pt idx="5">
                  <c:v>1</c:v>
                </c:pt>
                <c:pt idx="6">
                  <c:v>1.1000000000000001</c:v>
                </c:pt>
                <c:pt idx="7">
                  <c:v>1.2</c:v>
                </c:pt>
                <c:pt idx="8">
                  <c:v>1.3</c:v>
                </c:pt>
                <c:pt idx="9">
                  <c:v>1.4</c:v>
                </c:pt>
                <c:pt idx="10">
                  <c:v>1.5</c:v>
                </c:pt>
              </c:numCache>
            </c:numRef>
          </c:cat>
          <c:val>
            <c:numRef>
              <c:f>'Sensitivity Analysis'!$H$46:$H$56</c:f>
              <c:numCache>
                <c:formatCode>_([$$-409]* #,##0.00_);_([$$-409]* \(#,##0.00\);_([$$-409]* "-"??_);_(@_)</c:formatCode>
                <c:ptCount val="11"/>
                <c:pt idx="0">
                  <c:v>-251977278.92524526</c:v>
                </c:pt>
                <c:pt idx="1">
                  <c:v>-271578446.41396689</c:v>
                </c:pt>
                <c:pt idx="2">
                  <c:v>-291179613.90268856</c:v>
                </c:pt>
                <c:pt idx="3">
                  <c:v>-310780781.39141023</c:v>
                </c:pt>
                <c:pt idx="4">
                  <c:v>-330381948.88013184</c:v>
                </c:pt>
                <c:pt idx="5">
                  <c:v>-349983116.36885357</c:v>
                </c:pt>
                <c:pt idx="6">
                  <c:v>-369584283.85757518</c:v>
                </c:pt>
                <c:pt idx="7">
                  <c:v>-389185451.34629685</c:v>
                </c:pt>
                <c:pt idx="8">
                  <c:v>-408786618.83501846</c:v>
                </c:pt>
                <c:pt idx="9">
                  <c:v>-428387786.32374012</c:v>
                </c:pt>
                <c:pt idx="10">
                  <c:v>-447988953.81246179</c:v>
                </c:pt>
              </c:numCache>
            </c:numRef>
          </c:val>
          <c:smooth val="0"/>
          <c:extLst>
            <c:ext xmlns:c16="http://schemas.microsoft.com/office/drawing/2014/chart" uri="{C3380CC4-5D6E-409C-BE32-E72D297353CC}">
              <c16:uniqueId val="{00000000-B427-9141-BDFB-FE29DFBD36A6}"/>
            </c:ext>
          </c:extLst>
        </c:ser>
        <c:ser>
          <c:idx val="1"/>
          <c:order val="1"/>
          <c:tx>
            <c:v>NPV for Counterfactual</c:v>
          </c:tx>
          <c:spPr>
            <a:ln w="28575" cmpd="sng">
              <a:solidFill>
                <a:schemeClr val="accent1"/>
              </a:solidFill>
            </a:ln>
          </c:spPr>
          <c:marker>
            <c:symbol val="none"/>
          </c:marker>
          <c:cat>
            <c:numRef>
              <c:f>'Sensitivity Analysis'!$G$46:$G$56</c:f>
              <c:numCache>
                <c:formatCode>0%</c:formatCode>
                <c:ptCount val="11"/>
                <c:pt idx="0">
                  <c:v>0.5</c:v>
                </c:pt>
                <c:pt idx="1">
                  <c:v>0.6</c:v>
                </c:pt>
                <c:pt idx="2">
                  <c:v>0.7</c:v>
                </c:pt>
                <c:pt idx="3">
                  <c:v>0.8</c:v>
                </c:pt>
                <c:pt idx="4">
                  <c:v>0.9</c:v>
                </c:pt>
                <c:pt idx="5">
                  <c:v>1</c:v>
                </c:pt>
                <c:pt idx="6">
                  <c:v>1.1000000000000001</c:v>
                </c:pt>
                <c:pt idx="7">
                  <c:v>1.2</c:v>
                </c:pt>
                <c:pt idx="8">
                  <c:v>1.3</c:v>
                </c:pt>
                <c:pt idx="9">
                  <c:v>1.4</c:v>
                </c:pt>
                <c:pt idx="10">
                  <c:v>1.5</c:v>
                </c:pt>
              </c:numCache>
            </c:numRef>
          </c:cat>
          <c:val>
            <c:numRef>
              <c:f>'Sensitivity Analysis'!$L$46:$L$56</c:f>
              <c:numCache>
                <c:formatCode>_([$$-409]* #,##0.00_);_([$$-409]* \(#,##0.00\);_([$$-409]* "-"??_);_(@_)</c:formatCode>
                <c:ptCount val="11"/>
                <c:pt idx="0">
                  <c:v>-445432932.14793164</c:v>
                </c:pt>
                <c:pt idx="1">
                  <c:v>-445432932.14793164</c:v>
                </c:pt>
                <c:pt idx="2">
                  <c:v>-445432932.14793164</c:v>
                </c:pt>
                <c:pt idx="3">
                  <c:v>-445432932.14793164</c:v>
                </c:pt>
                <c:pt idx="4">
                  <c:v>-445432932.14793164</c:v>
                </c:pt>
                <c:pt idx="5">
                  <c:v>-445432932.14793164</c:v>
                </c:pt>
                <c:pt idx="6">
                  <c:v>-445432932.14793164</c:v>
                </c:pt>
                <c:pt idx="7">
                  <c:v>-445432932.14793164</c:v>
                </c:pt>
                <c:pt idx="8">
                  <c:v>-445432932.14793164</c:v>
                </c:pt>
                <c:pt idx="9">
                  <c:v>-445432932.14793164</c:v>
                </c:pt>
                <c:pt idx="10">
                  <c:v>-445432932.14793164</c:v>
                </c:pt>
              </c:numCache>
            </c:numRef>
          </c:val>
          <c:smooth val="0"/>
          <c:extLst>
            <c:ext xmlns:c16="http://schemas.microsoft.com/office/drawing/2014/chart" uri="{C3380CC4-5D6E-409C-BE32-E72D297353CC}">
              <c16:uniqueId val="{00000001-B427-9141-BDFB-FE29DFBD36A6}"/>
            </c:ext>
          </c:extLst>
        </c:ser>
        <c:dLbls>
          <c:showLegendKey val="0"/>
          <c:showVal val="0"/>
          <c:showCatName val="0"/>
          <c:showSerName val="0"/>
          <c:showPercent val="0"/>
          <c:showBubbleSize val="0"/>
        </c:dLbls>
        <c:smooth val="0"/>
        <c:axId val="730667888"/>
        <c:axId val="986079640"/>
      </c:lineChart>
      <c:catAx>
        <c:axId val="730667888"/>
        <c:scaling>
          <c:orientation val="minMax"/>
        </c:scaling>
        <c:delete val="0"/>
        <c:axPos val="b"/>
        <c:title>
          <c:tx>
            <c:rich>
              <a:bodyPr/>
              <a:lstStyle/>
              <a:p>
                <a:pPr lvl="0">
                  <a:defRPr b="1" i="0">
                    <a:solidFill>
                      <a:srgbClr val="000000"/>
                    </a:solidFill>
                    <a:latin typeface="+mn-lt"/>
                  </a:defRPr>
                </a:pPr>
                <a:r>
                  <a:rPr lang="en-US" b="1" i="0">
                    <a:solidFill>
                      <a:srgbClr val="000000"/>
                    </a:solidFill>
                    <a:latin typeface="+mn-lt"/>
                  </a:rPr>
                  <a:t>Construction Cost of the Utilidor (% of Current Estimation)</a:t>
                </a:r>
              </a:p>
            </c:rich>
          </c:tx>
          <c:overlay val="0"/>
        </c:title>
        <c:numFmt formatCode="0%" sourceLinked="1"/>
        <c:majorTickMark val="none"/>
        <c:minorTickMark val="none"/>
        <c:tickLblPos val="nextTo"/>
        <c:txPr>
          <a:bodyPr/>
          <a:lstStyle/>
          <a:p>
            <a:pPr lvl="0">
              <a:defRPr sz="900" b="0" i="0">
                <a:solidFill>
                  <a:srgbClr val="000000"/>
                </a:solidFill>
                <a:latin typeface="+mn-lt"/>
              </a:defRPr>
            </a:pPr>
            <a:endParaRPr lang="en-US"/>
          </a:p>
        </c:txPr>
        <c:crossAx val="986079640"/>
        <c:crosses val="autoZero"/>
        <c:auto val="1"/>
        <c:lblAlgn val="ctr"/>
        <c:lblOffset val="100"/>
        <c:noMultiLvlLbl val="1"/>
      </c:catAx>
      <c:valAx>
        <c:axId val="98607964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_([$$-409]* #,##0_);_([$$-409]* \(#,##0\);_([$$-409]* &quot;-&quot;_);_(@_)" sourceLinked="0"/>
        <c:majorTickMark val="none"/>
        <c:minorTickMark val="none"/>
        <c:tickLblPos val="nextTo"/>
        <c:spPr>
          <a:ln/>
        </c:spPr>
        <c:txPr>
          <a:bodyPr/>
          <a:lstStyle/>
          <a:p>
            <a:pPr lvl="0">
              <a:defRPr sz="900" b="0" i="0">
                <a:solidFill>
                  <a:srgbClr val="000000"/>
                </a:solidFill>
                <a:latin typeface="+mn-lt"/>
              </a:defRPr>
            </a:pPr>
            <a:endParaRPr lang="en-US"/>
          </a:p>
        </c:txPr>
        <c:crossAx val="730667888"/>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1"/>
        <c:ser>
          <c:idx val="0"/>
          <c:order val="0"/>
          <c:tx>
            <c:v>NPV for Model</c:v>
          </c:tx>
          <c:spPr>
            <a:ln w="28575" cmpd="sng">
              <a:solidFill>
                <a:schemeClr val="accent2"/>
              </a:solidFill>
            </a:ln>
          </c:spPr>
          <c:marker>
            <c:symbol val="none"/>
          </c:marker>
          <c:cat>
            <c:numRef>
              <c:f>'Sensitivity Analysis'!$G$64:$G$104</c:f>
              <c:numCache>
                <c:formatCode>0%</c:formatCode>
                <c:ptCount val="41"/>
                <c:pt idx="0">
                  <c:v>0.1</c:v>
                </c:pt>
                <c:pt idx="1">
                  <c:v>0.11</c:v>
                </c:pt>
                <c:pt idx="2">
                  <c:v>0.12</c:v>
                </c:pt>
                <c:pt idx="3">
                  <c:v>0.13</c:v>
                </c:pt>
                <c:pt idx="4">
                  <c:v>0.14000000000000001</c:v>
                </c:pt>
                <c:pt idx="5">
                  <c:v>0.15</c:v>
                </c:pt>
                <c:pt idx="6">
                  <c:v>0.16</c:v>
                </c:pt>
                <c:pt idx="7">
                  <c:v>0.17</c:v>
                </c:pt>
                <c:pt idx="8">
                  <c:v>0.18</c:v>
                </c:pt>
                <c:pt idx="9">
                  <c:v>0.19</c:v>
                </c:pt>
                <c:pt idx="10">
                  <c:v>0.2</c:v>
                </c:pt>
                <c:pt idx="11">
                  <c:v>0.21</c:v>
                </c:pt>
                <c:pt idx="12">
                  <c:v>0.22</c:v>
                </c:pt>
                <c:pt idx="13">
                  <c:v>0.23</c:v>
                </c:pt>
                <c:pt idx="14">
                  <c:v>0.24</c:v>
                </c:pt>
                <c:pt idx="15">
                  <c:v>0.25</c:v>
                </c:pt>
                <c:pt idx="16">
                  <c:v>0.26</c:v>
                </c:pt>
                <c:pt idx="17">
                  <c:v>0.27</c:v>
                </c:pt>
                <c:pt idx="18">
                  <c:v>0.28000000000000003</c:v>
                </c:pt>
                <c:pt idx="19">
                  <c:v>0.28999999999999998</c:v>
                </c:pt>
                <c:pt idx="20">
                  <c:v>0.3</c:v>
                </c:pt>
                <c:pt idx="21">
                  <c:v>0.31</c:v>
                </c:pt>
                <c:pt idx="22">
                  <c:v>0.32</c:v>
                </c:pt>
                <c:pt idx="23">
                  <c:v>0.33</c:v>
                </c:pt>
                <c:pt idx="24">
                  <c:v>0.34</c:v>
                </c:pt>
                <c:pt idx="25">
                  <c:v>0.35</c:v>
                </c:pt>
                <c:pt idx="26">
                  <c:v>0.36</c:v>
                </c:pt>
                <c:pt idx="27">
                  <c:v>0.37</c:v>
                </c:pt>
                <c:pt idx="28">
                  <c:v>0.38</c:v>
                </c:pt>
                <c:pt idx="29">
                  <c:v>0.38999999999999901</c:v>
                </c:pt>
                <c:pt idx="30">
                  <c:v>0.39999999999999902</c:v>
                </c:pt>
                <c:pt idx="31">
                  <c:v>0.40999999999999898</c:v>
                </c:pt>
                <c:pt idx="32">
                  <c:v>0.41999999999999899</c:v>
                </c:pt>
                <c:pt idx="33">
                  <c:v>0.42999999999999899</c:v>
                </c:pt>
                <c:pt idx="34">
                  <c:v>0.439999999999999</c:v>
                </c:pt>
                <c:pt idx="35">
                  <c:v>0.44999999999999901</c:v>
                </c:pt>
                <c:pt idx="36">
                  <c:v>0.45999999999999902</c:v>
                </c:pt>
                <c:pt idx="37">
                  <c:v>0.46999999999999897</c:v>
                </c:pt>
                <c:pt idx="38">
                  <c:v>0.47999999999999898</c:v>
                </c:pt>
                <c:pt idx="39">
                  <c:v>0.48999999999999899</c:v>
                </c:pt>
                <c:pt idx="40">
                  <c:v>0.499999999999999</c:v>
                </c:pt>
              </c:numCache>
            </c:numRef>
          </c:cat>
          <c:val>
            <c:numRef>
              <c:f>'Sensitivity Analysis'!$H$64:$H$104</c:f>
              <c:numCache>
                <c:formatCode>_([$$-409]* #,##0.00_);_([$$-409]* \(#,##0.00\);_([$$-409]* "-"??_);_(@_)</c:formatCode>
                <c:ptCount val="41"/>
                <c:pt idx="0">
                  <c:v>-291957415.6037308</c:v>
                </c:pt>
                <c:pt idx="1">
                  <c:v>-297759985.68024302</c:v>
                </c:pt>
                <c:pt idx="2">
                  <c:v>-303562555.75675535</c:v>
                </c:pt>
                <c:pt idx="3">
                  <c:v>-309365125.83326757</c:v>
                </c:pt>
                <c:pt idx="4">
                  <c:v>-315167695.90977985</c:v>
                </c:pt>
                <c:pt idx="5">
                  <c:v>-320970265.98629212</c:v>
                </c:pt>
                <c:pt idx="6">
                  <c:v>-326772836.0628044</c:v>
                </c:pt>
                <c:pt idx="7">
                  <c:v>-332575406.13931674</c:v>
                </c:pt>
                <c:pt idx="8">
                  <c:v>-338377976.21582896</c:v>
                </c:pt>
                <c:pt idx="9">
                  <c:v>-344180546.29234123</c:v>
                </c:pt>
                <c:pt idx="10">
                  <c:v>-349983116.36885357</c:v>
                </c:pt>
                <c:pt idx="11">
                  <c:v>-355785686.44536579</c:v>
                </c:pt>
                <c:pt idx="12">
                  <c:v>-361588256.52187806</c:v>
                </c:pt>
                <c:pt idx="13">
                  <c:v>-367390826.59839034</c:v>
                </c:pt>
                <c:pt idx="14">
                  <c:v>-373193396.67490268</c:v>
                </c:pt>
                <c:pt idx="15">
                  <c:v>-378995966.75141495</c:v>
                </c:pt>
                <c:pt idx="16">
                  <c:v>-384798536.82792717</c:v>
                </c:pt>
                <c:pt idx="17">
                  <c:v>-390601106.90443945</c:v>
                </c:pt>
                <c:pt idx="18">
                  <c:v>-396403676.98095173</c:v>
                </c:pt>
                <c:pt idx="19">
                  <c:v>-402206247.05746406</c:v>
                </c:pt>
                <c:pt idx="20">
                  <c:v>-408008817.13397622</c:v>
                </c:pt>
                <c:pt idx="21">
                  <c:v>-413811387.21048868</c:v>
                </c:pt>
                <c:pt idx="22">
                  <c:v>-419613957.28700072</c:v>
                </c:pt>
                <c:pt idx="23">
                  <c:v>-425416527.36351323</c:v>
                </c:pt>
                <c:pt idx="24">
                  <c:v>-431219097.44002545</c:v>
                </c:pt>
                <c:pt idx="25">
                  <c:v>-437021667.51653767</c:v>
                </c:pt>
                <c:pt idx="26">
                  <c:v>-442824237.59304994</c:v>
                </c:pt>
                <c:pt idx="27">
                  <c:v>-448626807.66956234</c:v>
                </c:pt>
                <c:pt idx="28">
                  <c:v>-454429377.74607444</c:v>
                </c:pt>
                <c:pt idx="29">
                  <c:v>-460231947.82258636</c:v>
                </c:pt>
                <c:pt idx="30">
                  <c:v>-466034517.89909852</c:v>
                </c:pt>
                <c:pt idx="31">
                  <c:v>-471837087.97561073</c:v>
                </c:pt>
                <c:pt idx="32">
                  <c:v>-477639658.05212307</c:v>
                </c:pt>
                <c:pt idx="33">
                  <c:v>-483442228.12863529</c:v>
                </c:pt>
                <c:pt idx="34">
                  <c:v>-489244798.20514756</c:v>
                </c:pt>
                <c:pt idx="35">
                  <c:v>-495047368.28165984</c:v>
                </c:pt>
                <c:pt idx="36">
                  <c:v>-500849938.35817218</c:v>
                </c:pt>
                <c:pt idx="37">
                  <c:v>-506652508.4346844</c:v>
                </c:pt>
                <c:pt idx="38">
                  <c:v>-512455078.51119667</c:v>
                </c:pt>
                <c:pt idx="39">
                  <c:v>-518257648.58770907</c:v>
                </c:pt>
                <c:pt idx="40">
                  <c:v>-524060218.66422129</c:v>
                </c:pt>
              </c:numCache>
            </c:numRef>
          </c:val>
          <c:smooth val="0"/>
          <c:extLst>
            <c:ext xmlns:c16="http://schemas.microsoft.com/office/drawing/2014/chart" uri="{C3380CC4-5D6E-409C-BE32-E72D297353CC}">
              <c16:uniqueId val="{00000000-7399-D94B-8D6B-18D9CDF1E2F4}"/>
            </c:ext>
          </c:extLst>
        </c:ser>
        <c:ser>
          <c:idx val="1"/>
          <c:order val="1"/>
          <c:tx>
            <c:v>NPV for Counterfactual</c:v>
          </c:tx>
          <c:spPr>
            <a:ln w="28575" cmpd="sng">
              <a:solidFill>
                <a:schemeClr val="accent1"/>
              </a:solidFill>
            </a:ln>
          </c:spPr>
          <c:marker>
            <c:symbol val="none"/>
          </c:marker>
          <c:cat>
            <c:numRef>
              <c:f>'Sensitivity Analysis'!$G$64:$G$104</c:f>
              <c:numCache>
                <c:formatCode>0%</c:formatCode>
                <c:ptCount val="41"/>
                <c:pt idx="0">
                  <c:v>0.1</c:v>
                </c:pt>
                <c:pt idx="1">
                  <c:v>0.11</c:v>
                </c:pt>
                <c:pt idx="2">
                  <c:v>0.12</c:v>
                </c:pt>
                <c:pt idx="3">
                  <c:v>0.13</c:v>
                </c:pt>
                <c:pt idx="4">
                  <c:v>0.14000000000000001</c:v>
                </c:pt>
                <c:pt idx="5">
                  <c:v>0.15</c:v>
                </c:pt>
                <c:pt idx="6">
                  <c:v>0.16</c:v>
                </c:pt>
                <c:pt idx="7">
                  <c:v>0.17</c:v>
                </c:pt>
                <c:pt idx="8">
                  <c:v>0.18</c:v>
                </c:pt>
                <c:pt idx="9">
                  <c:v>0.19</c:v>
                </c:pt>
                <c:pt idx="10">
                  <c:v>0.2</c:v>
                </c:pt>
                <c:pt idx="11">
                  <c:v>0.21</c:v>
                </c:pt>
                <c:pt idx="12">
                  <c:v>0.22</c:v>
                </c:pt>
                <c:pt idx="13">
                  <c:v>0.23</c:v>
                </c:pt>
                <c:pt idx="14">
                  <c:v>0.24</c:v>
                </c:pt>
                <c:pt idx="15">
                  <c:v>0.25</c:v>
                </c:pt>
                <c:pt idx="16">
                  <c:v>0.26</c:v>
                </c:pt>
                <c:pt idx="17">
                  <c:v>0.27</c:v>
                </c:pt>
                <c:pt idx="18">
                  <c:v>0.28000000000000003</c:v>
                </c:pt>
                <c:pt idx="19">
                  <c:v>0.28999999999999998</c:v>
                </c:pt>
                <c:pt idx="20">
                  <c:v>0.3</c:v>
                </c:pt>
                <c:pt idx="21">
                  <c:v>0.31</c:v>
                </c:pt>
                <c:pt idx="22">
                  <c:v>0.32</c:v>
                </c:pt>
                <c:pt idx="23">
                  <c:v>0.33</c:v>
                </c:pt>
                <c:pt idx="24">
                  <c:v>0.34</c:v>
                </c:pt>
                <c:pt idx="25">
                  <c:v>0.35</c:v>
                </c:pt>
                <c:pt idx="26">
                  <c:v>0.36</c:v>
                </c:pt>
                <c:pt idx="27">
                  <c:v>0.37</c:v>
                </c:pt>
                <c:pt idx="28">
                  <c:v>0.38</c:v>
                </c:pt>
                <c:pt idx="29">
                  <c:v>0.38999999999999901</c:v>
                </c:pt>
                <c:pt idx="30">
                  <c:v>0.39999999999999902</c:v>
                </c:pt>
                <c:pt idx="31">
                  <c:v>0.40999999999999898</c:v>
                </c:pt>
                <c:pt idx="32">
                  <c:v>0.41999999999999899</c:v>
                </c:pt>
                <c:pt idx="33">
                  <c:v>0.42999999999999899</c:v>
                </c:pt>
                <c:pt idx="34">
                  <c:v>0.439999999999999</c:v>
                </c:pt>
                <c:pt idx="35">
                  <c:v>0.44999999999999901</c:v>
                </c:pt>
                <c:pt idx="36">
                  <c:v>0.45999999999999902</c:v>
                </c:pt>
                <c:pt idx="37">
                  <c:v>0.46999999999999897</c:v>
                </c:pt>
                <c:pt idx="38">
                  <c:v>0.47999999999999898</c:v>
                </c:pt>
                <c:pt idx="39">
                  <c:v>0.48999999999999899</c:v>
                </c:pt>
                <c:pt idx="40">
                  <c:v>0.499999999999999</c:v>
                </c:pt>
              </c:numCache>
            </c:numRef>
          </c:cat>
          <c:val>
            <c:numRef>
              <c:f>'Sensitivity Analysis'!$L$64:$L$104</c:f>
              <c:numCache>
                <c:formatCode>_([$$-409]* #,##0.00_);_([$$-409]* \(#,##0.00\);_([$$-409]* "-"??_);_(@_)</c:formatCode>
                <c:ptCount val="41"/>
                <c:pt idx="0">
                  <c:v>-445282823.48867744</c:v>
                </c:pt>
                <c:pt idx="1">
                  <c:v>-445282823.48867744</c:v>
                </c:pt>
                <c:pt idx="2">
                  <c:v>-445282823.48867744</c:v>
                </c:pt>
                <c:pt idx="3">
                  <c:v>-445282823.48867744</c:v>
                </c:pt>
                <c:pt idx="4">
                  <c:v>-445282823.48867744</c:v>
                </c:pt>
                <c:pt idx="5">
                  <c:v>-445282823.48867744</c:v>
                </c:pt>
                <c:pt idx="6">
                  <c:v>-445282823.48867744</c:v>
                </c:pt>
                <c:pt idx="7">
                  <c:v>-445282823.48867744</c:v>
                </c:pt>
                <c:pt idx="8">
                  <c:v>-445282823.48867744</c:v>
                </c:pt>
                <c:pt idx="9">
                  <c:v>-445282823.48867744</c:v>
                </c:pt>
                <c:pt idx="10">
                  <c:v>-445282823.48867744</c:v>
                </c:pt>
                <c:pt idx="11">
                  <c:v>-445282823.48867744</c:v>
                </c:pt>
                <c:pt idx="12">
                  <c:v>-445282823.48867744</c:v>
                </c:pt>
                <c:pt idx="13">
                  <c:v>-445282823.48867744</c:v>
                </c:pt>
                <c:pt idx="14">
                  <c:v>-445282823.48867744</c:v>
                </c:pt>
                <c:pt idx="15">
                  <c:v>-445282823.48867744</c:v>
                </c:pt>
                <c:pt idx="16">
                  <c:v>-445282823.48867744</c:v>
                </c:pt>
                <c:pt idx="17">
                  <c:v>-445282823.48867744</c:v>
                </c:pt>
                <c:pt idx="18">
                  <c:v>-445282823.48867744</c:v>
                </c:pt>
                <c:pt idx="19">
                  <c:v>-445282823.48867744</c:v>
                </c:pt>
                <c:pt idx="20">
                  <c:v>-445282823.48867744</c:v>
                </c:pt>
                <c:pt idx="21">
                  <c:v>-445282823.48867744</c:v>
                </c:pt>
                <c:pt idx="22">
                  <c:v>-445282823.48867744</c:v>
                </c:pt>
                <c:pt idx="23">
                  <c:v>-445282823.48867744</c:v>
                </c:pt>
                <c:pt idx="24">
                  <c:v>-445282823.48867744</c:v>
                </c:pt>
                <c:pt idx="25">
                  <c:v>-445282823.48867744</c:v>
                </c:pt>
                <c:pt idx="26">
                  <c:v>-445282823.48867744</c:v>
                </c:pt>
                <c:pt idx="27">
                  <c:v>-445282823.48867744</c:v>
                </c:pt>
                <c:pt idx="28">
                  <c:v>-445282823.48867744</c:v>
                </c:pt>
                <c:pt idx="29">
                  <c:v>-445282823.48867744</c:v>
                </c:pt>
                <c:pt idx="30">
                  <c:v>-445282823.48867744</c:v>
                </c:pt>
                <c:pt idx="31">
                  <c:v>-445282823.48867744</c:v>
                </c:pt>
                <c:pt idx="32">
                  <c:v>-445282823.48867744</c:v>
                </c:pt>
                <c:pt idx="33">
                  <c:v>-445282823.48867744</c:v>
                </c:pt>
                <c:pt idx="34">
                  <c:v>-445282823.48867744</c:v>
                </c:pt>
                <c:pt idx="35">
                  <c:v>-445282823.48867744</c:v>
                </c:pt>
                <c:pt idx="36">
                  <c:v>-445282823.48867744</c:v>
                </c:pt>
                <c:pt idx="37">
                  <c:v>-445282823.48867744</c:v>
                </c:pt>
                <c:pt idx="38">
                  <c:v>-445282823.48867744</c:v>
                </c:pt>
                <c:pt idx="39">
                  <c:v>-445282823.48867744</c:v>
                </c:pt>
                <c:pt idx="40">
                  <c:v>-445282823.48867744</c:v>
                </c:pt>
              </c:numCache>
            </c:numRef>
          </c:val>
          <c:smooth val="0"/>
          <c:extLst>
            <c:ext xmlns:c16="http://schemas.microsoft.com/office/drawing/2014/chart" uri="{C3380CC4-5D6E-409C-BE32-E72D297353CC}">
              <c16:uniqueId val="{00000001-7399-D94B-8D6B-18D9CDF1E2F4}"/>
            </c:ext>
          </c:extLst>
        </c:ser>
        <c:dLbls>
          <c:showLegendKey val="0"/>
          <c:showVal val="0"/>
          <c:showCatName val="0"/>
          <c:showSerName val="0"/>
          <c:showPercent val="0"/>
          <c:showBubbleSize val="0"/>
        </c:dLbls>
        <c:smooth val="0"/>
        <c:axId val="1329611397"/>
        <c:axId val="708077512"/>
      </c:lineChart>
      <c:catAx>
        <c:axId val="1329611397"/>
        <c:scaling>
          <c:orientation val="minMax"/>
        </c:scaling>
        <c:delete val="0"/>
        <c:axPos val="b"/>
        <c:title>
          <c:tx>
            <c:rich>
              <a:bodyPr/>
              <a:lstStyle/>
              <a:p>
                <a:pPr lvl="0">
                  <a:defRPr b="1" i="0">
                    <a:solidFill>
                      <a:srgbClr val="000000"/>
                    </a:solidFill>
                    <a:latin typeface="+mn-lt"/>
                  </a:defRPr>
                </a:pPr>
                <a:r>
                  <a:rPr lang="en-US" b="1" i="0">
                    <a:solidFill>
                      <a:srgbClr val="000000"/>
                    </a:solidFill>
                    <a:latin typeface="+mn-lt"/>
                  </a:rPr>
                  <a:t>Operation and Maintenance Cost of the Utilidor (% of Utilidor Construction Estimation)</a:t>
                </a:r>
              </a:p>
            </c:rich>
          </c:tx>
          <c:overlay val="0"/>
        </c:title>
        <c:numFmt formatCode="0%" sourceLinked="1"/>
        <c:majorTickMark val="none"/>
        <c:minorTickMark val="none"/>
        <c:tickLblPos val="nextTo"/>
        <c:txPr>
          <a:bodyPr/>
          <a:lstStyle/>
          <a:p>
            <a:pPr lvl="0">
              <a:defRPr sz="900" b="0" i="0">
                <a:solidFill>
                  <a:srgbClr val="000000"/>
                </a:solidFill>
                <a:latin typeface="+mn-lt"/>
              </a:defRPr>
            </a:pPr>
            <a:endParaRPr lang="en-US"/>
          </a:p>
        </c:txPr>
        <c:crossAx val="708077512"/>
        <c:crosses val="autoZero"/>
        <c:auto val="1"/>
        <c:lblAlgn val="ctr"/>
        <c:lblOffset val="100"/>
        <c:noMultiLvlLbl val="1"/>
      </c:catAx>
      <c:valAx>
        <c:axId val="70807751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_([$$-409]* #,##0_);_([$$-409]* \(#,##0\);_([$$-409]* &quot;-&quot;_);_(@_)" sourceLinked="0"/>
        <c:majorTickMark val="none"/>
        <c:minorTickMark val="none"/>
        <c:tickLblPos val="nextTo"/>
        <c:spPr>
          <a:ln/>
        </c:spPr>
        <c:txPr>
          <a:bodyPr/>
          <a:lstStyle/>
          <a:p>
            <a:pPr lvl="0">
              <a:defRPr sz="900" b="0" i="0">
                <a:solidFill>
                  <a:srgbClr val="000000"/>
                </a:solidFill>
                <a:latin typeface="+mn-lt"/>
              </a:defRPr>
            </a:pPr>
            <a:endParaRPr lang="en-US"/>
          </a:p>
        </c:txPr>
        <c:crossAx val="1329611397"/>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1"/>
        <c:ser>
          <c:idx val="0"/>
          <c:order val="0"/>
          <c:tx>
            <c:v>NPV for Model</c:v>
          </c:tx>
          <c:spPr>
            <a:ln w="28575" cmpd="sng">
              <a:solidFill>
                <a:schemeClr val="accent2"/>
              </a:solidFill>
            </a:ln>
          </c:spPr>
          <c:marker>
            <c:symbol val="none"/>
          </c:marker>
          <c:cat>
            <c:numRef>
              <c:f>'Sensitivity Analysis'!$G$108:$G$117</c:f>
              <c:numCache>
                <c:formatCode>0%</c:formatCode>
                <c:ptCount val="10"/>
                <c:pt idx="0">
                  <c:v>0.01</c:v>
                </c:pt>
                <c:pt idx="1">
                  <c:v>0.02</c:v>
                </c:pt>
                <c:pt idx="2">
                  <c:v>0.03</c:v>
                </c:pt>
                <c:pt idx="3">
                  <c:v>0.04</c:v>
                </c:pt>
                <c:pt idx="4">
                  <c:v>0.05</c:v>
                </c:pt>
                <c:pt idx="5">
                  <c:v>0.06</c:v>
                </c:pt>
                <c:pt idx="6">
                  <c:v>7.0000000000000007E-2</c:v>
                </c:pt>
                <c:pt idx="7">
                  <c:v>0.08</c:v>
                </c:pt>
                <c:pt idx="8">
                  <c:v>0.09</c:v>
                </c:pt>
                <c:pt idx="9">
                  <c:v>0.1</c:v>
                </c:pt>
              </c:numCache>
            </c:numRef>
          </c:cat>
          <c:val>
            <c:numRef>
              <c:f>'Sensitivity Analysis'!$H$108:$H$117</c:f>
              <c:numCache>
                <c:formatCode>_([$$-409]* #,##0.00_);_([$$-409]* \(#,##0.00\);_([$$-409]* "-"??_);_(@_)</c:formatCode>
                <c:ptCount val="10"/>
                <c:pt idx="0">
                  <c:v>-331722901.05018443</c:v>
                </c:pt>
                <c:pt idx="1">
                  <c:v>-365952412.1448645</c:v>
                </c:pt>
                <c:pt idx="2">
                  <c:v>-423626287.90287411</c:v>
                </c:pt>
                <c:pt idx="3">
                  <c:v>-526700913.20298409</c:v>
                </c:pt>
                <c:pt idx="4">
                  <c:v>-720722131.37942183</c:v>
                </c:pt>
                <c:pt idx="5">
                  <c:v>-1101973442.9443092</c:v>
                </c:pt>
                <c:pt idx="6">
                  <c:v>-1876957608.1573822</c:v>
                </c:pt>
                <c:pt idx="7">
                  <c:v>-3493313781.8762245</c:v>
                </c:pt>
                <c:pt idx="8">
                  <c:v>-6928749136.8256912</c:v>
                </c:pt>
                <c:pt idx="9">
                  <c:v>-14329503427.562929</c:v>
                </c:pt>
              </c:numCache>
            </c:numRef>
          </c:val>
          <c:smooth val="0"/>
          <c:extLst>
            <c:ext xmlns:c16="http://schemas.microsoft.com/office/drawing/2014/chart" uri="{C3380CC4-5D6E-409C-BE32-E72D297353CC}">
              <c16:uniqueId val="{00000000-1757-9A49-9BDC-8EBB1A05BBA7}"/>
            </c:ext>
          </c:extLst>
        </c:ser>
        <c:ser>
          <c:idx val="1"/>
          <c:order val="1"/>
          <c:tx>
            <c:v>NPV for Counterfactual</c:v>
          </c:tx>
          <c:spPr>
            <a:ln w="28575" cmpd="sng">
              <a:solidFill>
                <a:schemeClr val="accent1"/>
              </a:solidFill>
            </a:ln>
          </c:spPr>
          <c:marker>
            <c:symbol val="none"/>
          </c:marker>
          <c:cat>
            <c:numRef>
              <c:f>'Sensitivity Analysis'!$G$108:$G$117</c:f>
              <c:numCache>
                <c:formatCode>0%</c:formatCode>
                <c:ptCount val="10"/>
                <c:pt idx="0">
                  <c:v>0.01</c:v>
                </c:pt>
                <c:pt idx="1">
                  <c:v>0.02</c:v>
                </c:pt>
                <c:pt idx="2">
                  <c:v>0.03</c:v>
                </c:pt>
                <c:pt idx="3">
                  <c:v>0.04</c:v>
                </c:pt>
                <c:pt idx="4">
                  <c:v>0.05</c:v>
                </c:pt>
                <c:pt idx="5">
                  <c:v>0.06</c:v>
                </c:pt>
                <c:pt idx="6">
                  <c:v>7.0000000000000007E-2</c:v>
                </c:pt>
                <c:pt idx="7">
                  <c:v>0.08</c:v>
                </c:pt>
                <c:pt idx="8">
                  <c:v>0.09</c:v>
                </c:pt>
                <c:pt idx="9">
                  <c:v>0.1</c:v>
                </c:pt>
              </c:numCache>
            </c:numRef>
          </c:cat>
          <c:val>
            <c:numRef>
              <c:f>'Sensitivity Analysis'!$L$108:$L$117</c:f>
              <c:numCache>
                <c:formatCode>_([$$-409]* #,##0.00_);_([$$-409]* \(#,##0.00\);_([$$-409]* "-"??_);_(@_)</c:formatCode>
                <c:ptCount val="10"/>
                <c:pt idx="0">
                  <c:v>-325003599.33665526</c:v>
                </c:pt>
                <c:pt idx="1">
                  <c:v>-445432932.14793164</c:v>
                </c:pt>
                <c:pt idx="2">
                  <c:v>-650976677.46422946</c:v>
                </c:pt>
                <c:pt idx="3">
                  <c:v>-1021425761.6372684</c:v>
                </c:pt>
                <c:pt idx="4">
                  <c:v>-1722302193.6290734</c:v>
                </c:pt>
                <c:pt idx="5">
                  <c:v>-3103516404.4911289</c:v>
                </c:pt>
                <c:pt idx="6">
                  <c:v>-5915514178.8804712</c:v>
                </c:pt>
                <c:pt idx="7">
                  <c:v>-11784984688.532621</c:v>
                </c:pt>
                <c:pt idx="8">
                  <c:v>-24264684549.450142</c:v>
                </c:pt>
                <c:pt idx="9">
                  <c:v>-51153158986.553246</c:v>
                </c:pt>
              </c:numCache>
            </c:numRef>
          </c:val>
          <c:smooth val="0"/>
          <c:extLst>
            <c:ext xmlns:c16="http://schemas.microsoft.com/office/drawing/2014/chart" uri="{C3380CC4-5D6E-409C-BE32-E72D297353CC}">
              <c16:uniqueId val="{00000001-1757-9A49-9BDC-8EBB1A05BBA7}"/>
            </c:ext>
          </c:extLst>
        </c:ser>
        <c:dLbls>
          <c:showLegendKey val="0"/>
          <c:showVal val="0"/>
          <c:showCatName val="0"/>
          <c:showSerName val="0"/>
          <c:showPercent val="0"/>
          <c:showBubbleSize val="0"/>
        </c:dLbls>
        <c:smooth val="0"/>
        <c:axId val="1424516285"/>
        <c:axId val="1475009602"/>
      </c:lineChart>
      <c:catAx>
        <c:axId val="1424516285"/>
        <c:scaling>
          <c:orientation val="minMax"/>
        </c:scaling>
        <c:delete val="0"/>
        <c:axPos val="b"/>
        <c:title>
          <c:tx>
            <c:rich>
              <a:bodyPr/>
              <a:lstStyle/>
              <a:p>
                <a:pPr lvl="0">
                  <a:defRPr b="1" i="0">
                    <a:solidFill>
                      <a:srgbClr val="000000"/>
                    </a:solidFill>
                    <a:latin typeface="+mn-lt"/>
                  </a:defRPr>
                </a:pPr>
                <a:r>
                  <a:rPr lang="en-US" b="1" i="0">
                    <a:solidFill>
                      <a:srgbClr val="000000"/>
                    </a:solidFill>
                    <a:latin typeface="+mn-lt"/>
                  </a:rPr>
                  <a:t>Inflation Rate</a:t>
                </a:r>
              </a:p>
            </c:rich>
          </c:tx>
          <c:overlay val="0"/>
        </c:title>
        <c:numFmt formatCode="0%" sourceLinked="1"/>
        <c:majorTickMark val="none"/>
        <c:minorTickMark val="none"/>
        <c:tickLblPos val="nextTo"/>
        <c:txPr>
          <a:bodyPr/>
          <a:lstStyle/>
          <a:p>
            <a:pPr lvl="0">
              <a:defRPr sz="900" b="0" i="0">
                <a:solidFill>
                  <a:srgbClr val="000000"/>
                </a:solidFill>
                <a:latin typeface="+mn-lt"/>
              </a:defRPr>
            </a:pPr>
            <a:endParaRPr lang="en-US"/>
          </a:p>
        </c:txPr>
        <c:crossAx val="1475009602"/>
        <c:crosses val="autoZero"/>
        <c:auto val="1"/>
        <c:lblAlgn val="ctr"/>
        <c:lblOffset val="100"/>
        <c:noMultiLvlLbl val="1"/>
      </c:catAx>
      <c:valAx>
        <c:axId val="147500960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_([$$-409]* #,##0_);_([$$-409]* \(#,##0\);_([$$-409]* &quot;-&quot;_);_(@_)" sourceLinked="0"/>
        <c:majorTickMark val="none"/>
        <c:minorTickMark val="none"/>
        <c:tickLblPos val="nextTo"/>
        <c:spPr>
          <a:ln/>
        </c:spPr>
        <c:txPr>
          <a:bodyPr/>
          <a:lstStyle/>
          <a:p>
            <a:pPr lvl="0">
              <a:defRPr sz="900" b="0" i="0">
                <a:solidFill>
                  <a:srgbClr val="000000"/>
                </a:solidFill>
                <a:latin typeface="+mn-lt"/>
              </a:defRPr>
            </a:pPr>
            <a:endParaRPr lang="en-US"/>
          </a:p>
        </c:txPr>
        <c:crossAx val="1424516285"/>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1"/>
        <c:ser>
          <c:idx val="0"/>
          <c:order val="0"/>
          <c:tx>
            <c:v>NPV for Model</c:v>
          </c:tx>
          <c:spPr>
            <a:ln w="28575" cmpd="sng">
              <a:solidFill>
                <a:schemeClr val="accent2"/>
              </a:solidFill>
            </a:ln>
          </c:spPr>
          <c:marker>
            <c:symbol val="none"/>
          </c:marker>
          <c:cat>
            <c:numRef>
              <c:f>'Sensitivity Analysis'!$G$127:$G$167</c:f>
              <c:numCache>
                <c:formatCode>General</c:formatCode>
                <c:ptCount val="41"/>
                <c:pt idx="0">
                  <c:v>600</c:v>
                </c:pt>
                <c:pt idx="1">
                  <c:v>610</c:v>
                </c:pt>
                <c:pt idx="2">
                  <c:v>620</c:v>
                </c:pt>
                <c:pt idx="3">
                  <c:v>630</c:v>
                </c:pt>
                <c:pt idx="4">
                  <c:v>640</c:v>
                </c:pt>
                <c:pt idx="5">
                  <c:v>650</c:v>
                </c:pt>
                <c:pt idx="6">
                  <c:v>660</c:v>
                </c:pt>
                <c:pt idx="7">
                  <c:v>670</c:v>
                </c:pt>
                <c:pt idx="8">
                  <c:v>680</c:v>
                </c:pt>
                <c:pt idx="9">
                  <c:v>690</c:v>
                </c:pt>
                <c:pt idx="10">
                  <c:v>700</c:v>
                </c:pt>
                <c:pt idx="11">
                  <c:v>710</c:v>
                </c:pt>
                <c:pt idx="12">
                  <c:v>720</c:v>
                </c:pt>
                <c:pt idx="13">
                  <c:v>730</c:v>
                </c:pt>
                <c:pt idx="14">
                  <c:v>740</c:v>
                </c:pt>
                <c:pt idx="15">
                  <c:v>750</c:v>
                </c:pt>
                <c:pt idx="16">
                  <c:v>760</c:v>
                </c:pt>
                <c:pt idx="17">
                  <c:v>770</c:v>
                </c:pt>
                <c:pt idx="18">
                  <c:v>780</c:v>
                </c:pt>
                <c:pt idx="19">
                  <c:v>790</c:v>
                </c:pt>
                <c:pt idx="20">
                  <c:v>800</c:v>
                </c:pt>
                <c:pt idx="21">
                  <c:v>810</c:v>
                </c:pt>
                <c:pt idx="22">
                  <c:v>820</c:v>
                </c:pt>
                <c:pt idx="23">
                  <c:v>830</c:v>
                </c:pt>
                <c:pt idx="24">
                  <c:v>840</c:v>
                </c:pt>
                <c:pt idx="25">
                  <c:v>850</c:v>
                </c:pt>
                <c:pt idx="26">
                  <c:v>860</c:v>
                </c:pt>
                <c:pt idx="27">
                  <c:v>870</c:v>
                </c:pt>
                <c:pt idx="28">
                  <c:v>880</c:v>
                </c:pt>
                <c:pt idx="29">
                  <c:v>890</c:v>
                </c:pt>
                <c:pt idx="30">
                  <c:v>900</c:v>
                </c:pt>
                <c:pt idx="31">
                  <c:v>910</c:v>
                </c:pt>
                <c:pt idx="32">
                  <c:v>920</c:v>
                </c:pt>
                <c:pt idx="33">
                  <c:v>930</c:v>
                </c:pt>
                <c:pt idx="34">
                  <c:v>940</c:v>
                </c:pt>
                <c:pt idx="35">
                  <c:v>950</c:v>
                </c:pt>
                <c:pt idx="36">
                  <c:v>960</c:v>
                </c:pt>
                <c:pt idx="37">
                  <c:v>970</c:v>
                </c:pt>
                <c:pt idx="38">
                  <c:v>980</c:v>
                </c:pt>
                <c:pt idx="39">
                  <c:v>990</c:v>
                </c:pt>
                <c:pt idx="40">
                  <c:v>1000</c:v>
                </c:pt>
              </c:numCache>
            </c:numRef>
          </c:cat>
          <c:val>
            <c:numRef>
              <c:f>'Sensitivity Analysis'!$H$127:$H$167</c:f>
              <c:numCache>
                <c:formatCode>_([$$-409]* #,##0.00_);_([$$-409]* \(#,##0.00\);_([$$-409]* "-"??_);_(@_)</c:formatCode>
                <c:ptCount val="41"/>
                <c:pt idx="0">
                  <c:v>-345537902.30224061</c:v>
                </c:pt>
                <c:pt idx="1">
                  <c:v>-345760163.00557125</c:v>
                </c:pt>
                <c:pt idx="2">
                  <c:v>-345982423.70890188</c:v>
                </c:pt>
                <c:pt idx="3">
                  <c:v>-346204684.41223252</c:v>
                </c:pt>
                <c:pt idx="4">
                  <c:v>-346426945.11556321</c:v>
                </c:pt>
                <c:pt idx="5">
                  <c:v>-346649205.81889385</c:v>
                </c:pt>
                <c:pt idx="6">
                  <c:v>-346871466.52222449</c:v>
                </c:pt>
                <c:pt idx="7">
                  <c:v>-347093727.22555512</c:v>
                </c:pt>
                <c:pt idx="8">
                  <c:v>-347315987.92888576</c:v>
                </c:pt>
                <c:pt idx="9">
                  <c:v>-347538248.63221645</c:v>
                </c:pt>
                <c:pt idx="10">
                  <c:v>-347760509.33554709</c:v>
                </c:pt>
                <c:pt idx="11">
                  <c:v>-347982770.03887773</c:v>
                </c:pt>
                <c:pt idx="12">
                  <c:v>-348205030.74220836</c:v>
                </c:pt>
                <c:pt idx="13">
                  <c:v>-348427291.445539</c:v>
                </c:pt>
                <c:pt idx="14">
                  <c:v>-348649552.14886963</c:v>
                </c:pt>
                <c:pt idx="15">
                  <c:v>-348871812.85220033</c:v>
                </c:pt>
                <c:pt idx="16">
                  <c:v>-349094073.55553097</c:v>
                </c:pt>
                <c:pt idx="17">
                  <c:v>-349316334.2588616</c:v>
                </c:pt>
                <c:pt idx="18">
                  <c:v>-349538594.96219224</c:v>
                </c:pt>
                <c:pt idx="19">
                  <c:v>-349760855.66552293</c:v>
                </c:pt>
                <c:pt idx="20">
                  <c:v>-349983116.36885357</c:v>
                </c:pt>
                <c:pt idx="21">
                  <c:v>-350205377.07218421</c:v>
                </c:pt>
                <c:pt idx="22">
                  <c:v>-350427637.77551484</c:v>
                </c:pt>
                <c:pt idx="23">
                  <c:v>-350649898.47884548</c:v>
                </c:pt>
                <c:pt idx="24">
                  <c:v>-350872159.18217611</c:v>
                </c:pt>
                <c:pt idx="25">
                  <c:v>-351094419.88550681</c:v>
                </c:pt>
                <c:pt idx="26">
                  <c:v>-351316680.58883744</c:v>
                </c:pt>
                <c:pt idx="27">
                  <c:v>-351538941.29216808</c:v>
                </c:pt>
                <c:pt idx="28">
                  <c:v>-351761201.99549872</c:v>
                </c:pt>
                <c:pt idx="29">
                  <c:v>-351983462.69882935</c:v>
                </c:pt>
                <c:pt idx="30">
                  <c:v>-352205723.40216005</c:v>
                </c:pt>
                <c:pt idx="31">
                  <c:v>-352427984.10549068</c:v>
                </c:pt>
                <c:pt idx="32">
                  <c:v>-352650244.80882132</c:v>
                </c:pt>
                <c:pt idx="33">
                  <c:v>-352872505.51215196</c:v>
                </c:pt>
                <c:pt idx="34">
                  <c:v>-353094766.21548259</c:v>
                </c:pt>
                <c:pt idx="35">
                  <c:v>-353317026.91881323</c:v>
                </c:pt>
                <c:pt idx="36">
                  <c:v>-353539287.62214392</c:v>
                </c:pt>
                <c:pt idx="37">
                  <c:v>-353761548.32547456</c:v>
                </c:pt>
                <c:pt idx="38">
                  <c:v>-353983809.0288052</c:v>
                </c:pt>
                <c:pt idx="39">
                  <c:v>-354206069.73213583</c:v>
                </c:pt>
                <c:pt idx="40">
                  <c:v>-354428330.43546653</c:v>
                </c:pt>
              </c:numCache>
            </c:numRef>
          </c:val>
          <c:smooth val="0"/>
          <c:extLst>
            <c:ext xmlns:c16="http://schemas.microsoft.com/office/drawing/2014/chart" uri="{C3380CC4-5D6E-409C-BE32-E72D297353CC}">
              <c16:uniqueId val="{00000000-777B-5042-9588-115F591A5BB9}"/>
            </c:ext>
          </c:extLst>
        </c:ser>
        <c:ser>
          <c:idx val="1"/>
          <c:order val="1"/>
          <c:tx>
            <c:v>NPV for Counterfactual</c:v>
          </c:tx>
          <c:spPr>
            <a:ln w="28575" cmpd="sng">
              <a:solidFill>
                <a:schemeClr val="accent1"/>
              </a:solidFill>
            </a:ln>
          </c:spPr>
          <c:marker>
            <c:symbol val="none"/>
          </c:marker>
          <c:cat>
            <c:numRef>
              <c:f>'Sensitivity Analysis'!$G$127:$G$167</c:f>
              <c:numCache>
                <c:formatCode>General</c:formatCode>
                <c:ptCount val="41"/>
                <c:pt idx="0">
                  <c:v>600</c:v>
                </c:pt>
                <c:pt idx="1">
                  <c:v>610</c:v>
                </c:pt>
                <c:pt idx="2">
                  <c:v>620</c:v>
                </c:pt>
                <c:pt idx="3">
                  <c:v>630</c:v>
                </c:pt>
                <c:pt idx="4">
                  <c:v>640</c:v>
                </c:pt>
                <c:pt idx="5">
                  <c:v>650</c:v>
                </c:pt>
                <c:pt idx="6">
                  <c:v>660</c:v>
                </c:pt>
                <c:pt idx="7">
                  <c:v>670</c:v>
                </c:pt>
                <c:pt idx="8">
                  <c:v>680</c:v>
                </c:pt>
                <c:pt idx="9">
                  <c:v>690</c:v>
                </c:pt>
                <c:pt idx="10">
                  <c:v>700</c:v>
                </c:pt>
                <c:pt idx="11">
                  <c:v>710</c:v>
                </c:pt>
                <c:pt idx="12">
                  <c:v>720</c:v>
                </c:pt>
                <c:pt idx="13">
                  <c:v>730</c:v>
                </c:pt>
                <c:pt idx="14">
                  <c:v>740</c:v>
                </c:pt>
                <c:pt idx="15">
                  <c:v>750</c:v>
                </c:pt>
                <c:pt idx="16">
                  <c:v>760</c:v>
                </c:pt>
                <c:pt idx="17">
                  <c:v>770</c:v>
                </c:pt>
                <c:pt idx="18">
                  <c:v>780</c:v>
                </c:pt>
                <c:pt idx="19">
                  <c:v>790</c:v>
                </c:pt>
                <c:pt idx="20">
                  <c:v>800</c:v>
                </c:pt>
                <c:pt idx="21">
                  <c:v>810</c:v>
                </c:pt>
                <c:pt idx="22">
                  <c:v>820</c:v>
                </c:pt>
                <c:pt idx="23">
                  <c:v>830</c:v>
                </c:pt>
                <c:pt idx="24">
                  <c:v>840</c:v>
                </c:pt>
                <c:pt idx="25">
                  <c:v>850</c:v>
                </c:pt>
                <c:pt idx="26">
                  <c:v>860</c:v>
                </c:pt>
                <c:pt idx="27">
                  <c:v>870</c:v>
                </c:pt>
                <c:pt idx="28">
                  <c:v>880</c:v>
                </c:pt>
                <c:pt idx="29">
                  <c:v>890</c:v>
                </c:pt>
                <c:pt idx="30">
                  <c:v>900</c:v>
                </c:pt>
                <c:pt idx="31">
                  <c:v>910</c:v>
                </c:pt>
                <c:pt idx="32">
                  <c:v>920</c:v>
                </c:pt>
                <c:pt idx="33">
                  <c:v>930</c:v>
                </c:pt>
                <c:pt idx="34">
                  <c:v>940</c:v>
                </c:pt>
                <c:pt idx="35">
                  <c:v>950</c:v>
                </c:pt>
                <c:pt idx="36">
                  <c:v>960</c:v>
                </c:pt>
                <c:pt idx="37">
                  <c:v>970</c:v>
                </c:pt>
                <c:pt idx="38">
                  <c:v>980</c:v>
                </c:pt>
                <c:pt idx="39">
                  <c:v>990</c:v>
                </c:pt>
                <c:pt idx="40">
                  <c:v>1000</c:v>
                </c:pt>
              </c:numCache>
            </c:numRef>
          </c:cat>
          <c:val>
            <c:numRef>
              <c:f>'Sensitivity Analysis'!$L$127:$L$167</c:f>
              <c:numCache>
                <c:formatCode>_([$$-409]* #,##0.00_);_([$$-409]* \(#,##0.00\);_([$$-409]* "-"??_);_(@_)</c:formatCode>
                <c:ptCount val="41"/>
                <c:pt idx="0">
                  <c:v>-335358066.91652864</c:v>
                </c:pt>
                <c:pt idx="1">
                  <c:v>-340854304.74513638</c:v>
                </c:pt>
                <c:pt idx="2">
                  <c:v>-346350542.57374346</c:v>
                </c:pt>
                <c:pt idx="3">
                  <c:v>-351846780.40235066</c:v>
                </c:pt>
                <c:pt idx="4">
                  <c:v>-357343018.23095846</c:v>
                </c:pt>
                <c:pt idx="5">
                  <c:v>-362839256.05956566</c:v>
                </c:pt>
                <c:pt idx="6">
                  <c:v>-368335493.8881731</c:v>
                </c:pt>
                <c:pt idx="7">
                  <c:v>-373831731.7167809</c:v>
                </c:pt>
                <c:pt idx="8">
                  <c:v>-379327969.5453881</c:v>
                </c:pt>
                <c:pt idx="9">
                  <c:v>-384824207.37399542</c:v>
                </c:pt>
                <c:pt idx="10">
                  <c:v>-390320445.2026028</c:v>
                </c:pt>
                <c:pt idx="11">
                  <c:v>-395816683.03121012</c:v>
                </c:pt>
                <c:pt idx="12">
                  <c:v>-401312920.85981792</c:v>
                </c:pt>
                <c:pt idx="13">
                  <c:v>-406809158.68842524</c:v>
                </c:pt>
                <c:pt idx="14">
                  <c:v>-412305396.51703256</c:v>
                </c:pt>
                <c:pt idx="15">
                  <c:v>-417801634.34563994</c:v>
                </c:pt>
                <c:pt idx="16">
                  <c:v>-423297872.1742475</c:v>
                </c:pt>
                <c:pt idx="17">
                  <c:v>-428794110.00285506</c:v>
                </c:pt>
                <c:pt idx="18">
                  <c:v>-434290347.8314625</c:v>
                </c:pt>
                <c:pt idx="19">
                  <c:v>-439786585.66006964</c:v>
                </c:pt>
                <c:pt idx="20">
                  <c:v>-445282823.48867744</c:v>
                </c:pt>
                <c:pt idx="21">
                  <c:v>-450779061.31728476</c:v>
                </c:pt>
                <c:pt idx="22">
                  <c:v>-456275299.14589226</c:v>
                </c:pt>
                <c:pt idx="23">
                  <c:v>-461771536.97449952</c:v>
                </c:pt>
                <c:pt idx="24">
                  <c:v>-467267774.80310708</c:v>
                </c:pt>
                <c:pt idx="25">
                  <c:v>-472764012.63171458</c:v>
                </c:pt>
                <c:pt idx="26">
                  <c:v>-478260250.46032172</c:v>
                </c:pt>
                <c:pt idx="27">
                  <c:v>-483756488.28892946</c:v>
                </c:pt>
                <c:pt idx="28">
                  <c:v>-489252726.1175366</c:v>
                </c:pt>
                <c:pt idx="29">
                  <c:v>-494748963.94614422</c:v>
                </c:pt>
                <c:pt idx="30">
                  <c:v>-500245201.77475166</c:v>
                </c:pt>
                <c:pt idx="31">
                  <c:v>-505741439.60335904</c:v>
                </c:pt>
                <c:pt idx="32">
                  <c:v>-511237677.43196672</c:v>
                </c:pt>
                <c:pt idx="33">
                  <c:v>-516733915.2605741</c:v>
                </c:pt>
                <c:pt idx="34">
                  <c:v>-522230153.0891816</c:v>
                </c:pt>
                <c:pt idx="35">
                  <c:v>-527726390.91778892</c:v>
                </c:pt>
                <c:pt idx="36">
                  <c:v>-533222628.7463966</c:v>
                </c:pt>
                <c:pt idx="37">
                  <c:v>-538718866.57500374</c:v>
                </c:pt>
                <c:pt idx="38">
                  <c:v>-544215104.40361142</c:v>
                </c:pt>
                <c:pt idx="39">
                  <c:v>-549711342.23221838</c:v>
                </c:pt>
                <c:pt idx="40">
                  <c:v>-555207580.06082606</c:v>
                </c:pt>
              </c:numCache>
            </c:numRef>
          </c:val>
          <c:smooth val="0"/>
          <c:extLst>
            <c:ext xmlns:c16="http://schemas.microsoft.com/office/drawing/2014/chart" uri="{C3380CC4-5D6E-409C-BE32-E72D297353CC}">
              <c16:uniqueId val="{00000001-777B-5042-9588-115F591A5BB9}"/>
            </c:ext>
          </c:extLst>
        </c:ser>
        <c:dLbls>
          <c:showLegendKey val="0"/>
          <c:showVal val="0"/>
          <c:showCatName val="0"/>
          <c:showSerName val="0"/>
          <c:showPercent val="0"/>
          <c:showBubbleSize val="0"/>
        </c:dLbls>
        <c:smooth val="0"/>
        <c:axId val="507313975"/>
        <c:axId val="1457886539"/>
      </c:lineChart>
      <c:catAx>
        <c:axId val="507313975"/>
        <c:scaling>
          <c:orientation val="minMax"/>
        </c:scaling>
        <c:delete val="0"/>
        <c:axPos val="b"/>
        <c:title>
          <c:tx>
            <c:rich>
              <a:bodyPr/>
              <a:lstStyle/>
              <a:p>
                <a:pPr lvl="0">
                  <a:defRPr b="1" i="0">
                    <a:solidFill>
                      <a:srgbClr val="000000"/>
                    </a:solidFill>
                    <a:latin typeface="+mn-lt"/>
                  </a:defRPr>
                </a:pPr>
                <a:r>
                  <a:rPr b="1" i="0">
                    <a:solidFill>
                      <a:srgbClr val="000000"/>
                    </a:solidFill>
                    <a:latin typeface="+mn-lt"/>
                  </a:rPr>
                  <a:t>Trenching Cost per Foot</a:t>
                </a:r>
              </a:p>
            </c:rich>
          </c:tx>
          <c:overlay val="0"/>
        </c:title>
        <c:numFmt formatCode="[$$-409]#,##0" sourceLinked="0"/>
        <c:majorTickMark val="none"/>
        <c:minorTickMark val="none"/>
        <c:tickLblPos val="nextTo"/>
        <c:txPr>
          <a:bodyPr/>
          <a:lstStyle/>
          <a:p>
            <a:pPr lvl="0">
              <a:defRPr sz="900" b="0" i="0">
                <a:solidFill>
                  <a:srgbClr val="000000"/>
                </a:solidFill>
                <a:latin typeface="+mn-lt"/>
              </a:defRPr>
            </a:pPr>
            <a:endParaRPr lang="en-US"/>
          </a:p>
        </c:txPr>
        <c:crossAx val="1457886539"/>
        <c:crosses val="autoZero"/>
        <c:auto val="1"/>
        <c:lblAlgn val="ctr"/>
        <c:lblOffset val="100"/>
        <c:noMultiLvlLbl val="1"/>
      </c:catAx>
      <c:valAx>
        <c:axId val="145788653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_([$$-409]* #,##0_);_([$$-409]* \(#,##0\);_([$$-409]* &quot;-&quot;_);_(@_)" sourceLinked="0"/>
        <c:majorTickMark val="none"/>
        <c:minorTickMark val="none"/>
        <c:tickLblPos val="nextTo"/>
        <c:spPr>
          <a:ln/>
        </c:spPr>
        <c:txPr>
          <a:bodyPr/>
          <a:lstStyle/>
          <a:p>
            <a:pPr lvl="0">
              <a:defRPr sz="900" b="0" i="0">
                <a:solidFill>
                  <a:srgbClr val="000000"/>
                </a:solidFill>
                <a:latin typeface="+mn-lt"/>
              </a:defRPr>
            </a:pPr>
            <a:endParaRPr lang="en-US"/>
          </a:p>
        </c:txPr>
        <c:crossAx val="507313975"/>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2000" b="0" i="0">
                <a:solidFill>
                  <a:srgbClr val="757575"/>
                </a:solidFill>
                <a:latin typeface="Arial"/>
              </a:defRPr>
            </a:pPr>
            <a:r>
              <a:rPr lang="en-US" sz="2000" b="0" i="0">
                <a:solidFill>
                  <a:srgbClr val="757575"/>
                </a:solidFill>
                <a:latin typeface="Arial"/>
              </a:rPr>
              <a:t>Cash Flow Components</a:t>
            </a:r>
          </a:p>
        </c:rich>
      </c:tx>
      <c:overlay val="0"/>
    </c:title>
    <c:autoTitleDeleted val="0"/>
    <c:plotArea>
      <c:layout/>
      <c:lineChart>
        <c:grouping val="standard"/>
        <c:varyColors val="1"/>
        <c:ser>
          <c:idx val="0"/>
          <c:order val="0"/>
          <c:tx>
            <c:v>Cost+O&amp;M</c:v>
          </c:tx>
          <c:spPr>
            <a:ln w="38100" cmpd="sng">
              <a:solidFill>
                <a:schemeClr val="accent2"/>
              </a:solidFill>
            </a:ln>
          </c:spPr>
          <c:marker>
            <c:symbol val="none"/>
          </c:marker>
          <c:val>
            <c:numRef>
              <c:f>'Evol of Costs and Rev'!$B$22:$CW$22</c:f>
              <c:numCache>
                <c:formatCode>_(* #,##0_);_(* \(#,##0\);_(* "-"??_);_(@_)</c:formatCode>
                <c:ptCount val="100"/>
                <c:pt idx="0">
                  <c:v>-83158684.291249871</c:v>
                </c:pt>
                <c:pt idx="1">
                  <c:v>-85986079.557152361</c:v>
                </c:pt>
                <c:pt idx="2">
                  <c:v>-88870022.728372902</c:v>
                </c:pt>
                <c:pt idx="3">
                  <c:v>-91811644.763017863</c:v>
                </c:pt>
                <c:pt idx="4">
                  <c:v>-94812099.238355726</c:v>
                </c:pt>
                <c:pt idx="5">
                  <c:v>-97872562.803200334</c:v>
                </c:pt>
                <c:pt idx="6">
                  <c:v>-100994235.63934185</c:v>
                </c:pt>
                <c:pt idx="7">
                  <c:v>-104178341.93220618</c:v>
                </c:pt>
                <c:pt idx="8">
                  <c:v>-107426130.3509278</c:v>
                </c:pt>
                <c:pt idx="9">
                  <c:v>-110738874.53802386</c:v>
                </c:pt>
                <c:pt idx="10">
                  <c:v>-114117873.60886183</c:v>
                </c:pt>
                <c:pt idx="11">
                  <c:v>-117564452.66111657</c:v>
                </c:pt>
                <c:pt idx="12">
                  <c:v>-121079963.2944164</c:v>
                </c:pt>
                <c:pt idx="13">
                  <c:v>-124665784.14038223</c:v>
                </c:pt>
                <c:pt idx="14">
                  <c:v>-128323321.40326737</c:v>
                </c:pt>
                <c:pt idx="15">
                  <c:v>-132054009.41141021</c:v>
                </c:pt>
                <c:pt idx="16">
                  <c:v>-135859311.1797159</c:v>
                </c:pt>
                <c:pt idx="17">
                  <c:v>-139740718.98338771</c:v>
                </c:pt>
                <c:pt idx="18">
                  <c:v>-143699754.94313297</c:v>
                </c:pt>
                <c:pt idx="19">
                  <c:v>-147737971.62207311</c:v>
                </c:pt>
                <c:pt idx="20">
                  <c:v>-151856952.63459209</c:v>
                </c:pt>
                <c:pt idx="21">
                  <c:v>-156058313.26736143</c:v>
                </c:pt>
                <c:pt idx="22">
                  <c:v>-160343701.11278617</c:v>
                </c:pt>
                <c:pt idx="23">
                  <c:v>-164714796.71511939</c:v>
                </c:pt>
                <c:pt idx="24">
                  <c:v>-169173314.22949928</c:v>
                </c:pt>
                <c:pt idx="25">
                  <c:v>-173721002.09416676</c:v>
                </c:pt>
                <c:pt idx="26">
                  <c:v>-178359643.71612757</c:v>
                </c:pt>
                <c:pt idx="27">
                  <c:v>-183091058.17052764</c:v>
                </c:pt>
                <c:pt idx="28">
                  <c:v>-187917100.91401568</c:v>
                </c:pt>
                <c:pt idx="29">
                  <c:v>-192839664.51237351</c:v>
                </c:pt>
                <c:pt idx="30">
                  <c:v>-197860679.38269848</c:v>
                </c:pt>
                <c:pt idx="31">
                  <c:v>-202982114.55042994</c:v>
                </c:pt>
                <c:pt idx="32">
                  <c:v>-208205978.42151603</c:v>
                </c:pt>
                <c:pt idx="33">
                  <c:v>-213534319.57002386</c:v>
                </c:pt>
                <c:pt idx="34">
                  <c:v>-218969227.54150185</c:v>
                </c:pt>
                <c:pt idx="35">
                  <c:v>-224512833.67240939</c:v>
                </c:pt>
                <c:pt idx="36">
                  <c:v>-230167311.92593506</c:v>
                </c:pt>
                <c:pt idx="37">
                  <c:v>-235934879.74453127</c:v>
                </c:pt>
                <c:pt idx="38">
                  <c:v>-241817798.9194994</c:v>
                </c:pt>
                <c:pt idx="39">
                  <c:v>-247818376.47796687</c:v>
                </c:pt>
                <c:pt idx="40">
                  <c:v>-253938965.58760372</c:v>
                </c:pt>
                <c:pt idx="41">
                  <c:v>-260181966.4794333</c:v>
                </c:pt>
                <c:pt idx="42">
                  <c:v>-266549827.38909945</c:v>
                </c:pt>
                <c:pt idx="43">
                  <c:v>-273045045.51695895</c:v>
                </c:pt>
                <c:pt idx="44">
                  <c:v>-279670168.00737566</c:v>
                </c:pt>
                <c:pt idx="45">
                  <c:v>-286427792.94760066</c:v>
                </c:pt>
                <c:pt idx="46">
                  <c:v>-293320570.38663018</c:v>
                </c:pt>
                <c:pt idx="47">
                  <c:v>-300351203.37444025</c:v>
                </c:pt>
                <c:pt idx="48">
                  <c:v>-307522449.02200657</c:v>
                </c:pt>
                <c:pt idx="49">
                  <c:v>-314837119.58252418</c:v>
                </c:pt>
                <c:pt idx="50">
                  <c:v>-322298083.55425215</c:v>
                </c:pt>
                <c:pt idx="51">
                  <c:v>-329908266.80541468</c:v>
                </c:pt>
                <c:pt idx="52">
                  <c:v>-337670653.72160047</c:v>
                </c:pt>
                <c:pt idx="53">
                  <c:v>-345588288.37610996</c:v>
                </c:pt>
                <c:pt idx="54">
                  <c:v>-353664275.72370964</c:v>
                </c:pt>
                <c:pt idx="55">
                  <c:v>-361901782.81826133</c:v>
                </c:pt>
                <c:pt idx="56">
                  <c:v>-370304040.05470407</c:v>
                </c:pt>
                <c:pt idx="57">
                  <c:v>-378874342.43587565</c:v>
                </c:pt>
                <c:pt idx="58">
                  <c:v>-387616050.86467063</c:v>
                </c:pt>
                <c:pt idx="59">
                  <c:v>-396532593.46204156</c:v>
                </c:pt>
                <c:pt idx="60">
                  <c:v>-405627466.91135991</c:v>
                </c:pt>
                <c:pt idx="61">
                  <c:v>-414904237.82966459</c:v>
                </c:pt>
                <c:pt idx="62">
                  <c:v>-424366544.1663354</c:v>
                </c:pt>
                <c:pt idx="63">
                  <c:v>-434018096.62973958</c:v>
                </c:pt>
                <c:pt idx="64">
                  <c:v>-443862680.14241189</c:v>
                </c:pt>
                <c:pt idx="65">
                  <c:v>-453904155.32533765</c:v>
                </c:pt>
                <c:pt idx="66">
                  <c:v>-464146460.01192188</c:v>
                </c:pt>
                <c:pt idx="67">
                  <c:v>-474593610.79223782</c:v>
                </c:pt>
                <c:pt idx="68">
                  <c:v>-485249704.5881601</c:v>
                </c:pt>
                <c:pt idx="69">
                  <c:v>-496118920.26000082</c:v>
                </c:pt>
                <c:pt idx="70">
                  <c:v>-507205520.24527836</c:v>
                </c:pt>
                <c:pt idx="71">
                  <c:v>-518513852.23026145</c:v>
                </c:pt>
                <c:pt idx="72">
                  <c:v>-530048350.85494417</c:v>
                </c:pt>
                <c:pt idx="73">
                  <c:v>-541813539.45212054</c:v>
                </c:pt>
                <c:pt idx="74">
                  <c:v>-553814031.82124043</c:v>
                </c:pt>
                <c:pt idx="75">
                  <c:v>-566054534.03774273</c:v>
                </c:pt>
                <c:pt idx="76">
                  <c:v>-578539846.29857504</c:v>
                </c:pt>
                <c:pt idx="77">
                  <c:v>-591274864.80462408</c:v>
                </c:pt>
                <c:pt idx="78">
                  <c:v>-604264583.680794</c:v>
                </c:pt>
                <c:pt idx="79">
                  <c:v>-617514096.93448734</c:v>
                </c:pt>
                <c:pt idx="80">
                  <c:v>-631028600.45325458</c:v>
                </c:pt>
                <c:pt idx="81">
                  <c:v>-644813394.04239714</c:v>
                </c:pt>
                <c:pt idx="82">
                  <c:v>-658873883.5033226</c:v>
                </c:pt>
                <c:pt idx="83">
                  <c:v>-673215582.75346661</c:v>
                </c:pt>
                <c:pt idx="84">
                  <c:v>-687844115.98861349</c:v>
                </c:pt>
                <c:pt idx="85">
                  <c:v>-702765219.88846326</c:v>
                </c:pt>
                <c:pt idx="86">
                  <c:v>-717984745.86631</c:v>
                </c:pt>
                <c:pt idx="87">
                  <c:v>-733508662.36371374</c:v>
                </c:pt>
                <c:pt idx="88">
                  <c:v>-749343057.19106555</c:v>
                </c:pt>
                <c:pt idx="89">
                  <c:v>-765494139.91496432</c:v>
                </c:pt>
                <c:pt idx="90">
                  <c:v>-781968244.29334104</c:v>
                </c:pt>
                <c:pt idx="91">
                  <c:v>-798771830.75928533</c:v>
                </c:pt>
                <c:pt idx="92">
                  <c:v>-815911488.95454848</c:v>
                </c:pt>
                <c:pt idx="93">
                  <c:v>-833393940.31371689</c:v>
                </c:pt>
                <c:pt idx="94">
                  <c:v>-851226040.70006871</c:v>
                </c:pt>
                <c:pt idx="95">
                  <c:v>-869414783.09414756</c:v>
                </c:pt>
                <c:pt idx="96">
                  <c:v>-887967300.33610797</c:v>
                </c:pt>
                <c:pt idx="97">
                  <c:v>-906890867.92290759</c:v>
                </c:pt>
                <c:pt idx="98">
                  <c:v>-926192906.86144328</c:v>
                </c:pt>
                <c:pt idx="99">
                  <c:v>-945880986.57874966</c:v>
                </c:pt>
              </c:numCache>
            </c:numRef>
          </c:val>
          <c:smooth val="0"/>
          <c:extLst>
            <c:ext xmlns:c16="http://schemas.microsoft.com/office/drawing/2014/chart" uri="{C3380CC4-5D6E-409C-BE32-E72D297353CC}">
              <c16:uniqueId val="{00000000-B7DB-F44C-B8F2-511F6F8F5380}"/>
            </c:ext>
          </c:extLst>
        </c:ser>
        <c:ser>
          <c:idx val="1"/>
          <c:order val="1"/>
          <c:tx>
            <c:v>Rev-Cost</c:v>
          </c:tx>
          <c:spPr>
            <a:ln w="38100" cmpd="sng">
              <a:solidFill>
                <a:schemeClr val="accent1"/>
              </a:solidFill>
            </a:ln>
          </c:spPr>
          <c:marker>
            <c:symbol val="none"/>
          </c:marker>
          <c:val>
            <c:numRef>
              <c:f>'Evol of Costs and Rev'!$B$23:$CW$23</c:f>
              <c:numCache>
                <c:formatCode>_(* #,##0_);_(* \(#,##0\);_(* "-"??_);_(@_)</c:formatCode>
                <c:ptCount val="100"/>
                <c:pt idx="0">
                  <c:v>-83158684.291249871</c:v>
                </c:pt>
                <c:pt idx="1">
                  <c:v>-85986079.557152361</c:v>
                </c:pt>
                <c:pt idx="2">
                  <c:v>-88870022.728372902</c:v>
                </c:pt>
                <c:pt idx="3">
                  <c:v>-91811644.763017863</c:v>
                </c:pt>
                <c:pt idx="4">
                  <c:v>-94812099.238355726</c:v>
                </c:pt>
                <c:pt idx="5">
                  <c:v>-97872562.803200334</c:v>
                </c:pt>
                <c:pt idx="6">
                  <c:v>-92451698.293610156</c:v>
                </c:pt>
                <c:pt idx="7">
                  <c:v>-86878949.513201028</c:v>
                </c:pt>
                <c:pt idx="8">
                  <c:v>-81150186.843027234</c:v>
                </c:pt>
                <c:pt idx="9">
                  <c:v>-75261170.538017049</c:v>
                </c:pt>
                <c:pt idx="10">
                  <c:v>-69207547.815943986</c:v>
                </c:pt>
                <c:pt idx="11">
                  <c:v>-62984849.867993921</c:v>
                </c:pt>
                <c:pt idx="12">
                  <c:v>-56588488.788522355</c:v>
                </c:pt>
                <c:pt idx="13">
                  <c:v>-50013754.421481296</c:v>
                </c:pt>
                <c:pt idx="14">
                  <c:v>-43255811.12087068</c:v>
                </c:pt>
                <c:pt idx="15">
                  <c:v>-36309694.422432333</c:v>
                </c:pt>
                <c:pt idx="16">
                  <c:v>-29170307.623654947</c:v>
                </c:pt>
                <c:pt idx="17">
                  <c:v>-21832418.268994793</c:v>
                </c:pt>
                <c:pt idx="18">
                  <c:v>-14290654.537035823</c:v>
                </c:pt>
                <c:pt idx="19">
                  <c:v>-6539501.526113987</c:v>
                </c:pt>
                <c:pt idx="20">
                  <c:v>1426702.5652895868</c:v>
                </c:pt>
                <c:pt idx="21">
                  <c:v>9613770.3673262894</c:v>
                </c:pt>
                <c:pt idx="22">
                  <c:v>18027669.380938083</c:v>
                </c:pt>
                <c:pt idx="23">
                  <c:v>26674526.137907505</c:v>
                </c:pt>
                <c:pt idx="24">
                  <c:v>35560501.425577313</c:v>
                </c:pt>
                <c:pt idx="25">
                  <c:v>44624068.213147551</c:v>
                </c:pt>
                <c:pt idx="26">
                  <c:v>53868778.35166055</c:v>
                </c:pt>
                <c:pt idx="27">
                  <c:v>63298254.72960034</c:v>
                </c:pt>
                <c:pt idx="28">
                  <c:v>72916192.693649977</c:v>
                </c:pt>
                <c:pt idx="29">
                  <c:v>82726361.497864008</c:v>
                </c:pt>
                <c:pt idx="30">
                  <c:v>92732605.781824827</c:v>
                </c:pt>
                <c:pt idx="31">
                  <c:v>102938847.07836199</c:v>
                </c:pt>
                <c:pt idx="32">
                  <c:v>113349085.35142627</c:v>
                </c:pt>
                <c:pt idx="33">
                  <c:v>123967400.56472149</c:v>
                </c:pt>
                <c:pt idx="34">
                  <c:v>134797954.2817091</c:v>
                </c:pt>
                <c:pt idx="35">
                  <c:v>145844991.29761282</c:v>
                </c:pt>
                <c:pt idx="36">
                  <c:v>157112841.30406389</c:v>
                </c:pt>
                <c:pt idx="37">
                  <c:v>168605920.58703917</c:v>
                </c:pt>
                <c:pt idx="38">
                  <c:v>180328733.75875843</c:v>
                </c:pt>
                <c:pt idx="39">
                  <c:v>192285875.5242196</c:v>
                </c:pt>
                <c:pt idx="40">
                  <c:v>204482032.48306504</c:v>
                </c:pt>
                <c:pt idx="41">
                  <c:v>216921984.96748531</c:v>
                </c:pt>
                <c:pt idx="42">
                  <c:v>229610608.91688123</c:v>
                </c:pt>
                <c:pt idx="43">
                  <c:v>242552877.79001945</c:v>
                </c:pt>
                <c:pt idx="44">
                  <c:v>255753864.51543123</c:v>
                </c:pt>
                <c:pt idx="45">
                  <c:v>269218743.48081964</c:v>
                </c:pt>
                <c:pt idx="46">
                  <c:v>282952792.56225502</c:v>
                </c:pt>
                <c:pt idx="47">
                  <c:v>296961395.19395441</c:v>
                </c:pt>
                <c:pt idx="48">
                  <c:v>311250042.47945708</c:v>
                </c:pt>
                <c:pt idx="49">
                  <c:v>325824335.34502399</c:v>
                </c:pt>
                <c:pt idx="50">
                  <c:v>340689986.73610485</c:v>
                </c:pt>
                <c:pt idx="51">
                  <c:v>355852823.85773528</c:v>
                </c:pt>
                <c:pt idx="52">
                  <c:v>371318790.45974225</c:v>
                </c:pt>
                <c:pt idx="53">
                  <c:v>387093949.16765356</c:v>
                </c:pt>
                <c:pt idx="54">
                  <c:v>403184483.86022586</c:v>
                </c:pt>
                <c:pt idx="55">
                  <c:v>419596702.09452385</c:v>
                </c:pt>
                <c:pt idx="56">
                  <c:v>436337037.57950079</c:v>
                </c:pt>
                <c:pt idx="57">
                  <c:v>453412052.69905174</c:v>
                </c:pt>
                <c:pt idx="58">
                  <c:v>470828441.08552682</c:v>
                </c:pt>
                <c:pt idx="59">
                  <c:v>488593030.24471658</c:v>
                </c:pt>
                <c:pt idx="60">
                  <c:v>506712784.23333645</c:v>
                </c:pt>
                <c:pt idx="61">
                  <c:v>525194806.39006138</c:v>
                </c:pt>
                <c:pt idx="62">
                  <c:v>544046342.12118125</c:v>
                </c:pt>
                <c:pt idx="63">
                  <c:v>563274781.74197078</c:v>
                </c:pt>
                <c:pt idx="64">
                  <c:v>582887663.37488556</c:v>
                </c:pt>
                <c:pt idx="65">
                  <c:v>602892675.90572381</c:v>
                </c:pt>
                <c:pt idx="66">
                  <c:v>623297661.99891043</c:v>
                </c:pt>
                <c:pt idx="67">
                  <c:v>644110621.17308855</c:v>
                </c:pt>
                <c:pt idx="68">
                  <c:v>665339712.93822193</c:v>
                </c:pt>
                <c:pt idx="69">
                  <c:v>686993259.99544036</c:v>
                </c:pt>
                <c:pt idx="70">
                  <c:v>709079751.50088263</c:v>
                </c:pt>
                <c:pt idx="71">
                  <c:v>731607846.39481628</c:v>
                </c:pt>
                <c:pt idx="72">
                  <c:v>754586376.79733992</c:v>
                </c:pt>
                <c:pt idx="73">
                  <c:v>778024351.47200108</c:v>
                </c:pt>
                <c:pt idx="74">
                  <c:v>801930959.35868573</c:v>
                </c:pt>
                <c:pt idx="75">
                  <c:v>826315573.1771661</c:v>
                </c:pt>
                <c:pt idx="76">
                  <c:v>851187753.10272086</c:v>
                </c:pt>
                <c:pt idx="77">
                  <c:v>876557250.5152669</c:v>
                </c:pt>
                <c:pt idx="78">
                  <c:v>902434011.82347512</c:v>
                </c:pt>
                <c:pt idx="79">
                  <c:v>928828182.36536813</c:v>
                </c:pt>
                <c:pt idx="80">
                  <c:v>955750110.38693154</c:v>
                </c:pt>
                <c:pt idx="81">
                  <c:v>983210351.10029685</c:v>
                </c:pt>
                <c:pt idx="82">
                  <c:v>1011219670.8230886</c:v>
                </c:pt>
                <c:pt idx="83">
                  <c:v>1039789051.2005601</c:v>
                </c:pt>
                <c:pt idx="84">
                  <c:v>1068929693.5121707</c:v>
                </c:pt>
                <c:pt idx="85">
                  <c:v>1098653023.0642965</c:v>
                </c:pt>
                <c:pt idx="86">
                  <c:v>1128970693.670795</c:v>
                </c:pt>
                <c:pt idx="87">
                  <c:v>1159894592.223181</c:v>
                </c:pt>
                <c:pt idx="88">
                  <c:v>1191436843.3522093</c:v>
                </c:pt>
                <c:pt idx="89">
                  <c:v>1223609814.1826859</c:v>
                </c:pt>
                <c:pt idx="90">
                  <c:v>1256426119.1833787</c:v>
                </c:pt>
                <c:pt idx="91">
                  <c:v>1289898625.113925</c:v>
                </c:pt>
                <c:pt idx="92">
                  <c:v>1324040456.0706801</c:v>
                </c:pt>
                <c:pt idx="93">
                  <c:v>1358864998.633482</c:v>
                </c:pt>
                <c:pt idx="94">
                  <c:v>1394385907.1153505</c:v>
                </c:pt>
                <c:pt idx="95">
                  <c:v>1430617108.9171848</c:v>
                </c:pt>
                <c:pt idx="96">
                  <c:v>1467572809.9895527</c:v>
                </c:pt>
                <c:pt idx="97">
                  <c:v>1505267500.4037158</c:v>
                </c:pt>
                <c:pt idx="98">
                  <c:v>1543715960.0340784</c:v>
                </c:pt>
                <c:pt idx="99">
                  <c:v>1582933264.3542838</c:v>
                </c:pt>
              </c:numCache>
            </c:numRef>
          </c:val>
          <c:smooth val="0"/>
          <c:extLst>
            <c:ext xmlns:c16="http://schemas.microsoft.com/office/drawing/2014/chart" uri="{C3380CC4-5D6E-409C-BE32-E72D297353CC}">
              <c16:uniqueId val="{00000001-B7DB-F44C-B8F2-511F6F8F5380}"/>
            </c:ext>
          </c:extLst>
        </c:ser>
        <c:ser>
          <c:idx val="2"/>
          <c:order val="2"/>
          <c:tx>
            <c:v>Bond+Rev-Cost-DebtSC</c:v>
          </c:tx>
          <c:spPr>
            <a:ln w="38100" cmpd="sng">
              <a:solidFill>
                <a:schemeClr val="accent3"/>
              </a:solidFill>
            </a:ln>
          </c:spPr>
          <c:marker>
            <c:symbol val="none"/>
          </c:marker>
          <c:val>
            <c:numRef>
              <c:f>'Evol of Costs and Rev'!$B$24:$CW$24</c:f>
              <c:numCache>
                <c:formatCode>_(* #,##0_);_(* \(#,##0\);_(* "-"??_);_(@_)</c:formatCode>
                <c:ptCount val="100"/>
                <c:pt idx="0">
                  <c:v>36841315.708750129</c:v>
                </c:pt>
                <c:pt idx="1">
                  <c:v>28013920.442847639</c:v>
                </c:pt>
                <c:pt idx="2">
                  <c:v>19129977.271627098</c:v>
                </c:pt>
                <c:pt idx="3">
                  <c:v>10188355.236982137</c:v>
                </c:pt>
                <c:pt idx="4">
                  <c:v>1187900.761644274</c:v>
                </c:pt>
                <c:pt idx="5">
                  <c:v>7127437.1967996657</c:v>
                </c:pt>
                <c:pt idx="6">
                  <c:v>5798301.7063898444</c:v>
                </c:pt>
                <c:pt idx="7">
                  <c:v>4621050.4867989719</c:v>
                </c:pt>
                <c:pt idx="8">
                  <c:v>3599813.1569727659</c:v>
                </c:pt>
                <c:pt idx="9">
                  <c:v>2738829.4619829506</c:v>
                </c:pt>
                <c:pt idx="10">
                  <c:v>2042452.1840560138</c:v>
                </c:pt>
                <c:pt idx="11">
                  <c:v>1515150.132006079</c:v>
                </c:pt>
                <c:pt idx="12">
                  <c:v>1161511.2114776447</c:v>
                </c:pt>
                <c:pt idx="13">
                  <c:v>986245.57851870358</c:v>
                </c:pt>
                <c:pt idx="14">
                  <c:v>994188.87912932038</c:v>
                </c:pt>
                <c:pt idx="15">
                  <c:v>1190305.5775676668</c:v>
                </c:pt>
                <c:pt idx="16">
                  <c:v>1579692.3763450533</c:v>
                </c:pt>
                <c:pt idx="17">
                  <c:v>2167581.7310052067</c:v>
                </c:pt>
                <c:pt idx="18">
                  <c:v>2959345.4629641771</c:v>
                </c:pt>
                <c:pt idx="19">
                  <c:v>3960498.473886013</c:v>
                </c:pt>
                <c:pt idx="20">
                  <c:v>5176702.5652895868</c:v>
                </c:pt>
                <c:pt idx="21">
                  <c:v>6613770.3673262894</c:v>
                </c:pt>
                <c:pt idx="22">
                  <c:v>8277669.3809380829</c:v>
                </c:pt>
                <c:pt idx="23">
                  <c:v>10174526.137907505</c:v>
                </c:pt>
                <c:pt idx="24">
                  <c:v>12310501.425577313</c:v>
                </c:pt>
                <c:pt idx="25">
                  <c:v>14624068.213147551</c:v>
                </c:pt>
                <c:pt idx="26">
                  <c:v>17118778.35166055</c:v>
                </c:pt>
                <c:pt idx="27">
                  <c:v>19798254.72960034</c:v>
                </c:pt>
                <c:pt idx="28">
                  <c:v>22666192.693649977</c:v>
                </c:pt>
                <c:pt idx="29">
                  <c:v>25726361.497864008</c:v>
                </c:pt>
                <c:pt idx="30">
                  <c:v>3982605.7818248272</c:v>
                </c:pt>
                <c:pt idx="31">
                  <c:v>8688847.0783619881</c:v>
                </c:pt>
                <c:pt idx="32">
                  <c:v>13599085.351426274</c:v>
                </c:pt>
                <c:pt idx="33">
                  <c:v>18717400.564721495</c:v>
                </c:pt>
                <c:pt idx="34">
                  <c:v>24047954.281709105</c:v>
                </c:pt>
                <c:pt idx="35">
                  <c:v>29594991.297612816</c:v>
                </c:pt>
                <c:pt idx="36">
                  <c:v>35362841.304063886</c:v>
                </c:pt>
                <c:pt idx="37">
                  <c:v>41355920.587039173</c:v>
                </c:pt>
                <c:pt idx="38">
                  <c:v>47578733.758758426</c:v>
                </c:pt>
                <c:pt idx="39">
                  <c:v>54035875.524219602</c:v>
                </c:pt>
                <c:pt idx="40">
                  <c:v>60732032.483065039</c:v>
                </c:pt>
                <c:pt idx="41">
                  <c:v>67671984.967485309</c:v>
                </c:pt>
                <c:pt idx="42">
                  <c:v>74860608.916881233</c:v>
                </c:pt>
                <c:pt idx="43">
                  <c:v>82302877.790019453</c:v>
                </c:pt>
                <c:pt idx="44">
                  <c:v>90003864.515431225</c:v>
                </c:pt>
                <c:pt idx="45">
                  <c:v>97968743.480819643</c:v>
                </c:pt>
                <c:pt idx="46">
                  <c:v>106202792.56225502</c:v>
                </c:pt>
                <c:pt idx="47">
                  <c:v>114711395.19395441</c:v>
                </c:pt>
                <c:pt idx="48">
                  <c:v>123500042.47945708</c:v>
                </c:pt>
                <c:pt idx="49">
                  <c:v>132574335.34502399</c:v>
                </c:pt>
                <c:pt idx="50">
                  <c:v>141939986.73610485</c:v>
                </c:pt>
                <c:pt idx="51">
                  <c:v>157102823.85773528</c:v>
                </c:pt>
                <c:pt idx="52">
                  <c:v>172568790.45974225</c:v>
                </c:pt>
                <c:pt idx="53">
                  <c:v>188343949.16765356</c:v>
                </c:pt>
                <c:pt idx="54">
                  <c:v>204434483.86022586</c:v>
                </c:pt>
                <c:pt idx="55">
                  <c:v>110846702.09452385</c:v>
                </c:pt>
                <c:pt idx="56">
                  <c:v>127587037.57950079</c:v>
                </c:pt>
                <c:pt idx="57">
                  <c:v>144662052.69905174</c:v>
                </c:pt>
                <c:pt idx="58">
                  <c:v>162078441.08552682</c:v>
                </c:pt>
                <c:pt idx="59">
                  <c:v>179843030.24471658</c:v>
                </c:pt>
                <c:pt idx="60">
                  <c:v>197962784.23333645</c:v>
                </c:pt>
                <c:pt idx="61">
                  <c:v>216444806.39006138</c:v>
                </c:pt>
                <c:pt idx="62">
                  <c:v>235296342.12118125</c:v>
                </c:pt>
                <c:pt idx="63">
                  <c:v>254524781.74197078</c:v>
                </c:pt>
                <c:pt idx="64">
                  <c:v>274137663.37488556</c:v>
                </c:pt>
                <c:pt idx="65">
                  <c:v>294142675.90572381</c:v>
                </c:pt>
                <c:pt idx="66">
                  <c:v>314547661.99891043</c:v>
                </c:pt>
                <c:pt idx="67">
                  <c:v>335360621.17308855</c:v>
                </c:pt>
                <c:pt idx="68">
                  <c:v>356589712.93822193</c:v>
                </c:pt>
                <c:pt idx="69">
                  <c:v>378243259.99544036</c:v>
                </c:pt>
                <c:pt idx="70">
                  <c:v>400329751.50088263</c:v>
                </c:pt>
                <c:pt idx="71">
                  <c:v>422857846.39481628</c:v>
                </c:pt>
                <c:pt idx="72">
                  <c:v>445836376.79733992</c:v>
                </c:pt>
                <c:pt idx="73">
                  <c:v>469274351.47200108</c:v>
                </c:pt>
                <c:pt idx="74">
                  <c:v>493180959.35868573</c:v>
                </c:pt>
                <c:pt idx="75">
                  <c:v>517565573.1771661</c:v>
                </c:pt>
                <c:pt idx="76">
                  <c:v>542437753.10272086</c:v>
                </c:pt>
                <c:pt idx="77">
                  <c:v>567807250.5152669</c:v>
                </c:pt>
                <c:pt idx="78">
                  <c:v>593684011.82347512</c:v>
                </c:pt>
                <c:pt idx="79">
                  <c:v>620078182.36536813</c:v>
                </c:pt>
                <c:pt idx="80">
                  <c:v>647000110.38693154</c:v>
                </c:pt>
                <c:pt idx="81">
                  <c:v>674460351.10029685</c:v>
                </c:pt>
                <c:pt idx="82">
                  <c:v>702469670.82308865</c:v>
                </c:pt>
                <c:pt idx="83">
                  <c:v>731039051.20056009</c:v>
                </c:pt>
                <c:pt idx="84">
                  <c:v>760179693.51217067</c:v>
                </c:pt>
                <c:pt idx="85">
                  <c:v>789903023.06429648</c:v>
                </c:pt>
                <c:pt idx="86">
                  <c:v>820220693.67079496</c:v>
                </c:pt>
                <c:pt idx="87">
                  <c:v>851144592.22318101</c:v>
                </c:pt>
                <c:pt idx="88">
                  <c:v>882686843.35220933</c:v>
                </c:pt>
                <c:pt idx="89">
                  <c:v>914859814.18268585</c:v>
                </c:pt>
                <c:pt idx="90">
                  <c:v>947676119.1833787</c:v>
                </c:pt>
                <c:pt idx="91">
                  <c:v>981148625.11392498</c:v>
                </c:pt>
                <c:pt idx="92">
                  <c:v>1015290456.0706801</c:v>
                </c:pt>
                <c:pt idx="93">
                  <c:v>1050114998.633482</c:v>
                </c:pt>
                <c:pt idx="94">
                  <c:v>1085635907.1153505</c:v>
                </c:pt>
                <c:pt idx="95">
                  <c:v>1121867108.9171848</c:v>
                </c:pt>
                <c:pt idx="96">
                  <c:v>1158822809.9895527</c:v>
                </c:pt>
                <c:pt idx="97">
                  <c:v>1196517500.4037158</c:v>
                </c:pt>
                <c:pt idx="98">
                  <c:v>1234965960.0340784</c:v>
                </c:pt>
                <c:pt idx="99">
                  <c:v>1274183264.3542838</c:v>
                </c:pt>
              </c:numCache>
            </c:numRef>
          </c:val>
          <c:smooth val="0"/>
          <c:extLst>
            <c:ext xmlns:c16="http://schemas.microsoft.com/office/drawing/2014/chart" uri="{C3380CC4-5D6E-409C-BE32-E72D297353CC}">
              <c16:uniqueId val="{00000002-B7DB-F44C-B8F2-511F6F8F5380}"/>
            </c:ext>
          </c:extLst>
        </c:ser>
        <c:ser>
          <c:idx val="3"/>
          <c:order val="3"/>
          <c:tx>
            <c:v>Rev60%-Cost</c:v>
          </c:tx>
          <c:spPr>
            <a:ln w="38100" cmpd="sng">
              <a:solidFill>
                <a:schemeClr val="accent1"/>
              </a:solidFill>
              <a:prstDash val="dash"/>
            </a:ln>
          </c:spPr>
          <c:marker>
            <c:symbol val="none"/>
          </c:marker>
          <c:val>
            <c:numRef>
              <c:f>'Evol of Costs and Rev'!$B$25:$CW$25</c:f>
              <c:numCache>
                <c:formatCode>_(* #,##0_);_(* \(#,##0\);_(* "-"??_);_(@_)</c:formatCode>
                <c:ptCount val="100"/>
                <c:pt idx="0">
                  <c:v>-83158684.291249871</c:v>
                </c:pt>
                <c:pt idx="1">
                  <c:v>-85986079.557152361</c:v>
                </c:pt>
                <c:pt idx="2">
                  <c:v>-88870022.728372902</c:v>
                </c:pt>
                <c:pt idx="3">
                  <c:v>-91811644.763017863</c:v>
                </c:pt>
                <c:pt idx="4">
                  <c:v>-94812099.238355726</c:v>
                </c:pt>
                <c:pt idx="5">
                  <c:v>-97872562.803200334</c:v>
                </c:pt>
                <c:pt idx="6">
                  <c:v>-94603319.579083979</c:v>
                </c:pt>
                <c:pt idx="7">
                  <c:v>-91236097.698222563</c:v>
                </c:pt>
                <c:pt idx="8">
                  <c:v>-87768119.48517403</c:v>
                </c:pt>
                <c:pt idx="9">
                  <c:v>-84196531.17665714</c:v>
                </c:pt>
                <c:pt idx="10">
                  <c:v>-80518400.884383768</c:v>
                </c:pt>
                <c:pt idx="11">
                  <c:v>-76730716.504210964</c:v>
                </c:pt>
                <c:pt idx="12">
                  <c:v>-72830383.570214689</c:v>
                </c:pt>
                <c:pt idx="13">
                  <c:v>-68814223.052250504</c:v>
                </c:pt>
                <c:pt idx="14">
                  <c:v>-64678969.095529974</c:v>
                </c:pt>
                <c:pt idx="15">
                  <c:v>-60421266.700703159</c:v>
                </c:pt>
                <c:pt idx="16">
                  <c:v>-56037669.342898861</c:v>
                </c:pt>
                <c:pt idx="17">
                  <c:v>-51524636.528134137</c:v>
                </c:pt>
                <c:pt idx="18">
                  <c:v>-46878531.28546375</c:v>
                </c:pt>
                <c:pt idx="19">
                  <c:v>-42095617.593197972</c:v>
                </c:pt>
                <c:pt idx="20">
                  <c:v>-37172057.737474471</c:v>
                </c:pt>
                <c:pt idx="21">
                  <c:v>-32103909.601425022</c:v>
                </c:pt>
                <c:pt idx="22">
                  <c:v>-26887123.883133307</c:v>
                </c:pt>
                <c:pt idx="23">
                  <c:v>-21517541.240532875</c:v>
                </c:pt>
                <c:pt idx="24">
                  <c:v>-15990889.36134696</c:v>
                </c:pt>
                <c:pt idx="25">
                  <c:v>-10353703.918469578</c:v>
                </c:pt>
                <c:pt idx="26">
                  <c:v>-4603774.2301047444</c:v>
                </c:pt>
                <c:pt idx="27">
                  <c:v>1261154.5993898213</c:v>
                </c:pt>
                <c:pt idx="28">
                  <c:v>7243382.5637840331</c:v>
                </c:pt>
                <c:pt idx="29">
                  <c:v>13345255.65694204</c:v>
                </c:pt>
                <c:pt idx="30">
                  <c:v>19569166.792828649</c:v>
                </c:pt>
                <c:pt idx="31">
                  <c:v>25917556.743915766</c:v>
                </c:pt>
                <c:pt idx="32">
                  <c:v>32392915.098357022</c:v>
                </c:pt>
                <c:pt idx="33">
                  <c:v>38997781.236306161</c:v>
                </c:pt>
                <c:pt idx="34">
                  <c:v>45734745.325761706</c:v>
                </c:pt>
                <c:pt idx="35">
                  <c:v>52606449.338328749</c:v>
                </c:pt>
                <c:pt idx="36">
                  <c:v>59615588.085296005</c:v>
                </c:pt>
                <c:pt idx="37">
                  <c:v>66764910.274434388</c:v>
                </c:pt>
                <c:pt idx="38">
                  <c:v>74057219.587931991</c:v>
                </c:pt>
                <c:pt idx="39">
                  <c:v>81495375.781887561</c:v>
                </c:pt>
                <c:pt idx="40">
                  <c:v>89082295.807793945</c:v>
                </c:pt>
                <c:pt idx="41">
                  <c:v>96820954.956451654</c:v>
                </c:pt>
                <c:pt idx="42">
                  <c:v>104714388.02476034</c:v>
                </c:pt>
                <c:pt idx="43">
                  <c:v>112765690.50584656</c:v>
                </c:pt>
                <c:pt idx="44">
                  <c:v>120978019.80299413</c:v>
                </c:pt>
                <c:pt idx="45">
                  <c:v>129354596.46785307</c:v>
                </c:pt>
                <c:pt idx="46">
                  <c:v>137898705.46341294</c:v>
                </c:pt>
                <c:pt idx="47">
                  <c:v>146613697.45223594</c:v>
                </c:pt>
                <c:pt idx="48">
                  <c:v>155502990.11045426</c:v>
                </c:pt>
                <c:pt idx="49">
                  <c:v>164570069.46804821</c:v>
                </c:pt>
                <c:pt idx="50">
                  <c:v>173818491.27592957</c:v>
                </c:pt>
                <c:pt idx="51">
                  <c:v>183251882.40036672</c:v>
                </c:pt>
                <c:pt idx="52">
                  <c:v>192873942.2452988</c:v>
                </c:pt>
                <c:pt idx="53">
                  <c:v>202688444.20309579</c:v>
                </c:pt>
                <c:pt idx="54">
                  <c:v>212699237.13433439</c:v>
                </c:pt>
                <c:pt idx="55">
                  <c:v>222910246.87716907</c:v>
                </c:pt>
                <c:pt idx="56">
                  <c:v>233325477.7868911</c:v>
                </c:pt>
                <c:pt idx="57">
                  <c:v>243949014.30627906</c:v>
                </c:pt>
                <c:pt idx="58">
                  <c:v>254785022.56735563</c:v>
                </c:pt>
                <c:pt idx="59">
                  <c:v>265837752.0251804</c:v>
                </c:pt>
                <c:pt idx="60">
                  <c:v>277111537.12431908</c:v>
                </c:pt>
                <c:pt idx="61">
                  <c:v>288610798.99864101</c:v>
                </c:pt>
                <c:pt idx="62">
                  <c:v>300340047.20511383</c:v>
                </c:pt>
                <c:pt idx="63">
                  <c:v>312303881.49227399</c:v>
                </c:pt>
                <c:pt idx="64">
                  <c:v>324506993.60406631</c:v>
                </c:pt>
                <c:pt idx="65">
                  <c:v>336954169.11976123</c:v>
                </c:pt>
                <c:pt idx="66">
                  <c:v>349650289.33067012</c:v>
                </c:pt>
                <c:pt idx="67">
                  <c:v>362600333.15439528</c:v>
                </c:pt>
                <c:pt idx="68">
                  <c:v>375809379.08736497</c:v>
                </c:pt>
                <c:pt idx="69">
                  <c:v>389282607.19641948</c:v>
                </c:pt>
                <c:pt idx="70">
                  <c:v>403025301.15022898</c:v>
                </c:pt>
                <c:pt idx="71">
                  <c:v>417042850.29134011</c:v>
                </c:pt>
                <c:pt idx="72">
                  <c:v>431340751.74966341</c:v>
                </c:pt>
                <c:pt idx="73">
                  <c:v>445924612.59823084</c:v>
                </c:pt>
                <c:pt idx="74">
                  <c:v>460800152.05206895</c:v>
                </c:pt>
                <c:pt idx="75">
                  <c:v>475973203.71104908</c:v>
                </c:pt>
                <c:pt idx="76">
                  <c:v>491449717.84759545</c:v>
                </c:pt>
                <c:pt idx="77">
                  <c:v>507235763.74014688</c:v>
                </c:pt>
                <c:pt idx="78">
                  <c:v>523337532.05328918</c:v>
                </c:pt>
                <c:pt idx="79">
                  <c:v>539761337.2654891</c:v>
                </c:pt>
                <c:pt idx="80">
                  <c:v>556513620.14538348</c:v>
                </c:pt>
                <c:pt idx="81">
                  <c:v>573600950.27759516</c:v>
                </c:pt>
                <c:pt idx="82">
                  <c:v>591030028.63906479</c:v>
                </c:pt>
                <c:pt idx="83">
                  <c:v>608807690.22691011</c:v>
                </c:pt>
                <c:pt idx="84">
                  <c:v>626940906.73884141</c:v>
                </c:pt>
                <c:pt idx="85">
                  <c:v>645436789.30718708</c:v>
                </c:pt>
                <c:pt idx="86">
                  <c:v>664302591.28759873</c:v>
                </c:pt>
                <c:pt idx="87">
                  <c:v>683545711.10353184</c:v>
                </c:pt>
                <c:pt idx="88">
                  <c:v>703173695.14761496</c:v>
                </c:pt>
                <c:pt idx="89">
                  <c:v>723194240.74104774</c:v>
                </c:pt>
                <c:pt idx="90">
                  <c:v>743615199.15218675</c:v>
                </c:pt>
                <c:pt idx="91">
                  <c:v>764444578.67550266</c:v>
                </c:pt>
                <c:pt idx="92">
                  <c:v>785690547.77211821</c:v>
                </c:pt>
                <c:pt idx="93">
                  <c:v>807361438.27315593</c:v>
                </c:pt>
                <c:pt idx="94">
                  <c:v>829465748.64715409</c:v>
                </c:pt>
                <c:pt idx="95">
                  <c:v>852012147.33283055</c:v>
                </c:pt>
                <c:pt idx="96">
                  <c:v>875009476.13850307</c:v>
                </c:pt>
                <c:pt idx="97">
                  <c:v>898466753.70949721</c:v>
                </c:pt>
                <c:pt idx="98">
                  <c:v>922393179.0649035</c:v>
                </c:pt>
                <c:pt idx="99">
                  <c:v>946798135.20507002</c:v>
                </c:pt>
              </c:numCache>
            </c:numRef>
          </c:val>
          <c:smooth val="0"/>
          <c:extLst>
            <c:ext xmlns:c16="http://schemas.microsoft.com/office/drawing/2014/chart" uri="{C3380CC4-5D6E-409C-BE32-E72D297353CC}">
              <c16:uniqueId val="{00000003-B7DB-F44C-B8F2-511F6F8F5380}"/>
            </c:ext>
          </c:extLst>
        </c:ser>
        <c:ser>
          <c:idx val="4"/>
          <c:order val="4"/>
          <c:tx>
            <c:v>Bond+Rev60%-Cost-DebtSC</c:v>
          </c:tx>
          <c:spPr>
            <a:ln w="38100" cmpd="sng">
              <a:solidFill>
                <a:schemeClr val="accent3"/>
              </a:solidFill>
              <a:prstDash val="dash"/>
            </a:ln>
          </c:spPr>
          <c:marker>
            <c:symbol val="none"/>
          </c:marker>
          <c:val>
            <c:numRef>
              <c:f>'Evol of Costs and Rev'!$B$26:$CW$26</c:f>
              <c:numCache>
                <c:formatCode>_(* #,##0_);_(* \(#,##0\);_(* "-"??_);_(@_)</c:formatCode>
                <c:ptCount val="100"/>
                <c:pt idx="0">
                  <c:v>36841315.708750129</c:v>
                </c:pt>
                <c:pt idx="1">
                  <c:v>28013920.442847639</c:v>
                </c:pt>
                <c:pt idx="2">
                  <c:v>19129977.271627098</c:v>
                </c:pt>
                <c:pt idx="3">
                  <c:v>10188355.236982137</c:v>
                </c:pt>
                <c:pt idx="4">
                  <c:v>1187900.761644274</c:v>
                </c:pt>
                <c:pt idx="5">
                  <c:v>32127437.196799666</c:v>
                </c:pt>
                <c:pt idx="6">
                  <c:v>27396680.420916021</c:v>
                </c:pt>
                <c:pt idx="7">
                  <c:v>22763902.301777437</c:v>
                </c:pt>
                <c:pt idx="8">
                  <c:v>18231880.51482597</c:v>
                </c:pt>
                <c:pt idx="9">
                  <c:v>13803468.82334286</c:v>
                </c:pt>
                <c:pt idx="10">
                  <c:v>9481599.1156162322</c:v>
                </c:pt>
                <c:pt idx="11">
                  <c:v>5269283.4957890362</c:v>
                </c:pt>
                <c:pt idx="12">
                  <c:v>1169616.4297853112</c:v>
                </c:pt>
                <c:pt idx="13">
                  <c:v>-2814223.0522505045</c:v>
                </c:pt>
                <c:pt idx="14">
                  <c:v>-6678969.0955299735</c:v>
                </c:pt>
                <c:pt idx="15">
                  <c:v>-10421266.700703159</c:v>
                </c:pt>
                <c:pt idx="16">
                  <c:v>-14037669.342898861</c:v>
                </c:pt>
                <c:pt idx="17">
                  <c:v>-17524636.528134137</c:v>
                </c:pt>
                <c:pt idx="18">
                  <c:v>-20878531.28546375</c:v>
                </c:pt>
                <c:pt idx="19">
                  <c:v>-24095617.593197972</c:v>
                </c:pt>
                <c:pt idx="20">
                  <c:v>-27172057.737474471</c:v>
                </c:pt>
                <c:pt idx="21">
                  <c:v>-30103909.601425022</c:v>
                </c:pt>
                <c:pt idx="22">
                  <c:v>-32887123.883133307</c:v>
                </c:pt>
                <c:pt idx="23">
                  <c:v>-35517541.240532875</c:v>
                </c:pt>
                <c:pt idx="24">
                  <c:v>-37990889.36134696</c:v>
                </c:pt>
                <c:pt idx="25">
                  <c:v>-40353703.918469578</c:v>
                </c:pt>
                <c:pt idx="26">
                  <c:v>-42603774.230104744</c:v>
                </c:pt>
                <c:pt idx="27">
                  <c:v>-44738845.400610179</c:v>
                </c:pt>
                <c:pt idx="28">
                  <c:v>-46756617.436215967</c:v>
                </c:pt>
                <c:pt idx="29">
                  <c:v>-48654744.34305796</c:v>
                </c:pt>
                <c:pt idx="30">
                  <c:v>-60430833.207171351</c:v>
                </c:pt>
                <c:pt idx="31">
                  <c:v>-61582443.256084234</c:v>
                </c:pt>
                <c:pt idx="32">
                  <c:v>-62607084.901642978</c:v>
                </c:pt>
                <c:pt idx="33">
                  <c:v>-63502218.763693839</c:v>
                </c:pt>
                <c:pt idx="34">
                  <c:v>-64265254.674238294</c:v>
                </c:pt>
                <c:pt idx="35">
                  <c:v>-64893550.661671251</c:v>
                </c:pt>
                <c:pt idx="36">
                  <c:v>-65384411.914703995</c:v>
                </c:pt>
                <c:pt idx="37">
                  <c:v>-65735089.725565612</c:v>
                </c:pt>
                <c:pt idx="38">
                  <c:v>-65942780.412068009</c:v>
                </c:pt>
                <c:pt idx="39">
                  <c:v>-66004624.218112439</c:v>
                </c:pt>
                <c:pt idx="40">
                  <c:v>-65917704.192206055</c:v>
                </c:pt>
                <c:pt idx="41">
                  <c:v>-65679045.043548346</c:v>
                </c:pt>
                <c:pt idx="42">
                  <c:v>-65285611.975239664</c:v>
                </c:pt>
                <c:pt idx="43">
                  <c:v>-64734309.49415344</c:v>
                </c:pt>
                <c:pt idx="44">
                  <c:v>-64021980.197005868</c:v>
                </c:pt>
                <c:pt idx="45">
                  <c:v>-63145403.532146931</c:v>
                </c:pt>
                <c:pt idx="46">
                  <c:v>-62101294.536587059</c:v>
                </c:pt>
                <c:pt idx="47">
                  <c:v>-60886302.547764063</c:v>
                </c:pt>
                <c:pt idx="48">
                  <c:v>-59497009.889545739</c:v>
                </c:pt>
                <c:pt idx="49">
                  <c:v>-57929930.531951785</c:v>
                </c:pt>
                <c:pt idx="50">
                  <c:v>-56181508.72407043</c:v>
                </c:pt>
                <c:pt idx="51">
                  <c:v>-46748117.599633276</c:v>
                </c:pt>
                <c:pt idx="52">
                  <c:v>-37126057.754701197</c:v>
                </c:pt>
                <c:pt idx="53">
                  <c:v>-27311555.796904206</c:v>
                </c:pt>
                <c:pt idx="54">
                  <c:v>-17300762.865665615</c:v>
                </c:pt>
                <c:pt idx="55">
                  <c:v>-157089753.12283093</c:v>
                </c:pt>
                <c:pt idx="56">
                  <c:v>-146674522.2131089</c:v>
                </c:pt>
                <c:pt idx="57">
                  <c:v>-136050985.69372094</c:v>
                </c:pt>
                <c:pt idx="58">
                  <c:v>-125214977.43264437</c:v>
                </c:pt>
                <c:pt idx="59">
                  <c:v>-114162247.9748196</c:v>
                </c:pt>
                <c:pt idx="60">
                  <c:v>-102888462.87568092</c:v>
                </c:pt>
                <c:pt idx="61">
                  <c:v>-91389201.001358986</c:v>
                </c:pt>
                <c:pt idx="62">
                  <c:v>-79659952.794886172</c:v>
                </c:pt>
                <c:pt idx="63">
                  <c:v>-67696118.507726014</c:v>
                </c:pt>
                <c:pt idx="64">
                  <c:v>-55493006.395933688</c:v>
                </c:pt>
                <c:pt idx="65">
                  <c:v>-43045830.880238771</c:v>
                </c:pt>
                <c:pt idx="66">
                  <c:v>-30349710.669329882</c:v>
                </c:pt>
                <c:pt idx="67">
                  <c:v>-17399666.845604718</c:v>
                </c:pt>
                <c:pt idx="68">
                  <c:v>-4190620.9126350284</c:v>
                </c:pt>
                <c:pt idx="69">
                  <c:v>9282607.1964194775</c:v>
                </c:pt>
                <c:pt idx="70">
                  <c:v>23025301.150228977</c:v>
                </c:pt>
                <c:pt idx="71">
                  <c:v>37042850.291340113</c:v>
                </c:pt>
                <c:pt idx="72">
                  <c:v>51340751.749663413</c:v>
                </c:pt>
                <c:pt idx="73">
                  <c:v>65924612.598230839</c:v>
                </c:pt>
                <c:pt idx="74">
                  <c:v>80800152.052068949</c:v>
                </c:pt>
                <c:pt idx="75">
                  <c:v>95973203.71104908</c:v>
                </c:pt>
                <c:pt idx="76">
                  <c:v>111449717.84759545</c:v>
                </c:pt>
                <c:pt idx="77">
                  <c:v>127235763.74014688</c:v>
                </c:pt>
                <c:pt idx="78">
                  <c:v>143337532.05328918</c:v>
                </c:pt>
                <c:pt idx="79">
                  <c:v>159761337.2654891</c:v>
                </c:pt>
                <c:pt idx="80">
                  <c:v>176513620.14538348</c:v>
                </c:pt>
                <c:pt idx="81">
                  <c:v>193600950.27759516</c:v>
                </c:pt>
                <c:pt idx="82">
                  <c:v>211030028.63906479</c:v>
                </c:pt>
                <c:pt idx="83">
                  <c:v>228807690.22691011</c:v>
                </c:pt>
                <c:pt idx="84">
                  <c:v>246940906.73884141</c:v>
                </c:pt>
                <c:pt idx="85">
                  <c:v>265436789.30718708</c:v>
                </c:pt>
                <c:pt idx="86">
                  <c:v>284302591.28759873</c:v>
                </c:pt>
                <c:pt idx="87">
                  <c:v>303545711.10353184</c:v>
                </c:pt>
                <c:pt idx="88">
                  <c:v>323173695.14761496</c:v>
                </c:pt>
                <c:pt idx="89">
                  <c:v>343194240.74104774</c:v>
                </c:pt>
                <c:pt idx="90">
                  <c:v>363615199.15218675</c:v>
                </c:pt>
                <c:pt idx="91">
                  <c:v>384444578.67550266</c:v>
                </c:pt>
                <c:pt idx="92">
                  <c:v>405690547.77211821</c:v>
                </c:pt>
                <c:pt idx="93">
                  <c:v>427361438.27315593</c:v>
                </c:pt>
                <c:pt idx="94">
                  <c:v>449465748.64715409</c:v>
                </c:pt>
                <c:pt idx="95">
                  <c:v>472012147.33283055</c:v>
                </c:pt>
                <c:pt idx="96">
                  <c:v>495009476.13850307</c:v>
                </c:pt>
                <c:pt idx="97">
                  <c:v>518466753.70949721</c:v>
                </c:pt>
                <c:pt idx="98">
                  <c:v>542393179.0649035</c:v>
                </c:pt>
                <c:pt idx="99">
                  <c:v>566798135.20507002</c:v>
                </c:pt>
              </c:numCache>
            </c:numRef>
          </c:val>
          <c:smooth val="0"/>
          <c:extLst>
            <c:ext xmlns:c16="http://schemas.microsoft.com/office/drawing/2014/chart" uri="{C3380CC4-5D6E-409C-BE32-E72D297353CC}">
              <c16:uniqueId val="{00000004-B7DB-F44C-B8F2-511F6F8F5380}"/>
            </c:ext>
          </c:extLst>
        </c:ser>
        <c:dLbls>
          <c:showLegendKey val="0"/>
          <c:showVal val="0"/>
          <c:showCatName val="0"/>
          <c:showSerName val="0"/>
          <c:showPercent val="0"/>
          <c:showBubbleSize val="0"/>
        </c:dLbls>
        <c:smooth val="0"/>
        <c:axId val="1056506641"/>
        <c:axId val="1753108977"/>
      </c:lineChart>
      <c:catAx>
        <c:axId val="105650664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753108977"/>
        <c:crosses val="autoZero"/>
        <c:auto val="1"/>
        <c:lblAlgn val="ctr"/>
        <c:lblOffset val="100"/>
        <c:noMultiLvlLbl val="1"/>
      </c:catAx>
      <c:valAx>
        <c:axId val="175310897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_(* #,##0_);_(* \(#,##0\);_(* &quot;-&quot;??_);_(@_)" sourceLinked="1"/>
        <c:majorTickMark val="none"/>
        <c:minorTickMark val="none"/>
        <c:tickLblPos val="nextTo"/>
        <c:spPr>
          <a:ln/>
        </c:spPr>
        <c:txPr>
          <a:bodyPr/>
          <a:lstStyle/>
          <a:p>
            <a:pPr lvl="0">
              <a:defRPr sz="900" b="0" i="0">
                <a:solidFill>
                  <a:srgbClr val="000000"/>
                </a:solidFill>
                <a:latin typeface="+mn-lt"/>
              </a:defRPr>
            </a:pPr>
            <a:endParaRPr lang="en-US"/>
          </a:p>
        </c:txPr>
        <c:crossAx val="1056506641"/>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2000" b="0" i="0">
                <a:solidFill>
                  <a:srgbClr val="757575"/>
                </a:solidFill>
                <a:latin typeface="Arial"/>
              </a:defRPr>
            </a:pPr>
            <a:r>
              <a:rPr lang="en-US" sz="2000" b="0" i="0">
                <a:solidFill>
                  <a:srgbClr val="757575"/>
                </a:solidFill>
                <a:latin typeface="Arial"/>
              </a:rPr>
              <a:t>Evolucion of Revenue and Costs</a:t>
            </a:r>
          </a:p>
        </c:rich>
      </c:tx>
      <c:overlay val="0"/>
    </c:title>
    <c:autoTitleDeleted val="0"/>
    <c:plotArea>
      <c:layout/>
      <c:lineChart>
        <c:grouping val="standard"/>
        <c:varyColors val="1"/>
        <c:ser>
          <c:idx val="0"/>
          <c:order val="0"/>
          <c:tx>
            <c:v>Revenue</c:v>
          </c:tx>
          <c:spPr>
            <a:ln w="38100" cmpd="sng">
              <a:solidFill>
                <a:schemeClr val="accent1"/>
              </a:solidFill>
            </a:ln>
          </c:spPr>
          <c:marker>
            <c:symbol val="none"/>
          </c:marker>
          <c:val>
            <c:numRef>
              <c:f>'Evol of Costs and Rev'!$B$9:$CW$9</c:f>
              <c:numCache>
                <c:formatCode>_(* #,##0_);_(* \(#,##0\);_(* "-"??_);_(@_)</c:formatCode>
                <c:ptCount val="100"/>
                <c:pt idx="0">
                  <c:v>0</c:v>
                </c:pt>
                <c:pt idx="1">
                  <c:v>0</c:v>
                </c:pt>
                <c:pt idx="2">
                  <c:v>0</c:v>
                </c:pt>
                <c:pt idx="3">
                  <c:v>0</c:v>
                </c:pt>
                <c:pt idx="4">
                  <c:v>0</c:v>
                </c:pt>
                <c:pt idx="5">
                  <c:v>0</c:v>
                </c:pt>
                <c:pt idx="6">
                  <c:v>8542537.3457316849</c:v>
                </c:pt>
                <c:pt idx="7">
                  <c:v>17299392.419005156</c:v>
                </c:pt>
                <c:pt idx="8">
                  <c:v>26275943.507900558</c:v>
                </c:pt>
                <c:pt idx="9">
                  <c:v>35477704.00000681</c:v>
                </c:pt>
                <c:pt idx="10">
                  <c:v>44910325.792917855</c:v>
                </c:pt>
                <c:pt idx="11">
                  <c:v>54579602.793122649</c:v>
                </c:pt>
                <c:pt idx="12">
                  <c:v>64491474.505894043</c:v>
                </c:pt>
                <c:pt idx="13">
                  <c:v>74652029.718900934</c:v>
                </c:pt>
                <c:pt idx="14">
                  <c:v>85067510.282396689</c:v>
                </c:pt>
                <c:pt idx="15">
                  <c:v>95744314.988977879</c:v>
                </c:pt>
                <c:pt idx="16">
                  <c:v>106689003.55606095</c:v>
                </c:pt>
                <c:pt idx="17">
                  <c:v>117908300.71439292</c:v>
                </c:pt>
                <c:pt idx="18">
                  <c:v>129409100.40609714</c:v>
                </c:pt>
                <c:pt idx="19">
                  <c:v>141198470.09595913</c:v>
                </c:pt>
                <c:pt idx="20">
                  <c:v>153283655.19988167</c:v>
                </c:pt>
                <c:pt idx="21">
                  <c:v>165672083.63468772</c:v>
                </c:pt>
                <c:pt idx="22">
                  <c:v>178371370.49372426</c:v>
                </c:pt>
                <c:pt idx="23">
                  <c:v>191389322.8530269</c:v>
                </c:pt>
                <c:pt idx="24">
                  <c:v>204733815.65507659</c:v>
                </c:pt>
                <c:pt idx="25">
                  <c:v>218345070.30731431</c:v>
                </c:pt>
                <c:pt idx="26">
                  <c:v>232228422.06778812</c:v>
                </c:pt>
                <c:pt idx="27">
                  <c:v>246389312.90012798</c:v>
                </c:pt>
                <c:pt idx="28">
                  <c:v>260833293.60766566</c:v>
                </c:pt>
                <c:pt idx="29">
                  <c:v>275566026.01023751</c:v>
                </c:pt>
                <c:pt idx="30">
                  <c:v>290593285.1645233</c:v>
                </c:pt>
                <c:pt idx="31">
                  <c:v>305920961.62879193</c:v>
                </c:pt>
                <c:pt idx="32">
                  <c:v>321555063.7729423</c:v>
                </c:pt>
                <c:pt idx="33">
                  <c:v>337501720.13474536</c:v>
                </c:pt>
                <c:pt idx="34">
                  <c:v>353767181.82321095</c:v>
                </c:pt>
                <c:pt idx="35">
                  <c:v>370357824.9700222</c:v>
                </c:pt>
                <c:pt idx="36">
                  <c:v>387280153.22999895</c:v>
                </c:pt>
                <c:pt idx="37">
                  <c:v>404540800.33157045</c:v>
                </c:pt>
                <c:pt idx="38">
                  <c:v>422146532.67825782</c:v>
                </c:pt>
                <c:pt idx="39">
                  <c:v>440104252.00218648</c:v>
                </c:pt>
                <c:pt idx="40">
                  <c:v>458420998.07066876</c:v>
                </c:pt>
                <c:pt idx="41">
                  <c:v>477103951.44691861</c:v>
                </c:pt>
                <c:pt idx="42">
                  <c:v>496160436.30598068</c:v>
                </c:pt>
                <c:pt idx="43">
                  <c:v>515597923.3069784</c:v>
                </c:pt>
                <c:pt idx="44">
                  <c:v>535424032.52280688</c:v>
                </c:pt>
                <c:pt idx="45">
                  <c:v>555646536.42842031</c:v>
                </c:pt>
                <c:pt idx="46">
                  <c:v>576273362.9488852</c:v>
                </c:pt>
                <c:pt idx="47">
                  <c:v>597312598.56839466</c:v>
                </c:pt>
                <c:pt idx="48">
                  <c:v>618772491.50146365</c:v>
                </c:pt>
                <c:pt idx="49">
                  <c:v>640661454.92754817</c:v>
                </c:pt>
                <c:pt idx="50">
                  <c:v>662988070.29035699</c:v>
                </c:pt>
                <c:pt idx="51">
                  <c:v>685761090.66314995</c:v>
                </c:pt>
                <c:pt idx="52">
                  <c:v>708989444.18134272</c:v>
                </c:pt>
                <c:pt idx="53">
                  <c:v>732682237.54376352</c:v>
                </c:pt>
                <c:pt idx="54">
                  <c:v>756848759.5839355</c:v>
                </c:pt>
                <c:pt idx="55">
                  <c:v>781498484.91278517</c:v>
                </c:pt>
                <c:pt idx="56">
                  <c:v>806641077.63420486</c:v>
                </c:pt>
                <c:pt idx="57">
                  <c:v>832286395.13492739</c:v>
                </c:pt>
                <c:pt idx="58">
                  <c:v>858444491.95019746</c:v>
                </c:pt>
                <c:pt idx="59">
                  <c:v>885125623.70675814</c:v>
                </c:pt>
                <c:pt idx="60">
                  <c:v>912340251.14469635</c:v>
                </c:pt>
                <c:pt idx="61">
                  <c:v>940099044.21972597</c:v>
                </c:pt>
                <c:pt idx="62">
                  <c:v>968412886.28751671</c:v>
                </c:pt>
                <c:pt idx="63">
                  <c:v>997292878.37171042</c:v>
                </c:pt>
                <c:pt idx="64">
                  <c:v>1026750343.5172975</c:v>
                </c:pt>
                <c:pt idx="65">
                  <c:v>1056796831.2310615</c:v>
                </c:pt>
                <c:pt idx="66">
                  <c:v>1087444122.0108323</c:v>
                </c:pt>
                <c:pt idx="67">
                  <c:v>1118704231.9653263</c:v>
                </c:pt>
                <c:pt idx="68">
                  <c:v>1150589417.526382</c:v>
                </c:pt>
                <c:pt idx="69">
                  <c:v>1183112180.2554412</c:v>
                </c:pt>
                <c:pt idx="70">
                  <c:v>1216285271.746161</c:v>
                </c:pt>
                <c:pt idx="71">
                  <c:v>1250121698.6250777</c:v>
                </c:pt>
                <c:pt idx="72">
                  <c:v>1284634727.6522841</c:v>
                </c:pt>
                <c:pt idx="73">
                  <c:v>1319837890.9241216</c:v>
                </c:pt>
                <c:pt idx="74">
                  <c:v>1355744991.1799262</c:v>
                </c:pt>
                <c:pt idx="75">
                  <c:v>1392370107.2149088</c:v>
                </c:pt>
                <c:pt idx="76">
                  <c:v>1429727599.4012959</c:v>
                </c:pt>
                <c:pt idx="77">
                  <c:v>1467832115.319891</c:v>
                </c:pt>
                <c:pt idx="78">
                  <c:v>1506698595.5042691</c:v>
                </c:pt>
                <c:pt idx="79">
                  <c:v>1546342279.2998555</c:v>
                </c:pt>
                <c:pt idx="80">
                  <c:v>1586778710.8401861</c:v>
                </c:pt>
                <c:pt idx="81">
                  <c:v>1628023745.142694</c:v>
                </c:pt>
                <c:pt idx="82">
                  <c:v>1670093554.3264112</c:v>
                </c:pt>
                <c:pt idx="83">
                  <c:v>1713004633.9540267</c:v>
                </c:pt>
                <c:pt idx="84">
                  <c:v>1756773809.5007842</c:v>
                </c:pt>
                <c:pt idx="85">
                  <c:v>1801418242.9527597</c:v>
                </c:pt>
                <c:pt idx="86">
                  <c:v>1846955439.5371048</c:v>
                </c:pt>
                <c:pt idx="87">
                  <c:v>1893403254.5868948</c:v>
                </c:pt>
                <c:pt idx="88">
                  <c:v>1940779900.5432749</c:v>
                </c:pt>
                <c:pt idx="89">
                  <c:v>1989103954.0976503</c:v>
                </c:pt>
                <c:pt idx="90">
                  <c:v>2038394363.4767196</c:v>
                </c:pt>
                <c:pt idx="91">
                  <c:v>2088670455.8732102</c:v>
                </c:pt>
                <c:pt idx="92">
                  <c:v>2139951945.0252285</c:v>
                </c:pt>
                <c:pt idx="93">
                  <c:v>2192258938.9471989</c:v>
                </c:pt>
                <c:pt idx="94">
                  <c:v>2245611947.8154192</c:v>
                </c:pt>
                <c:pt idx="95">
                  <c:v>2300031892.0113325</c:v>
                </c:pt>
                <c:pt idx="96">
                  <c:v>2355540110.3256607</c:v>
                </c:pt>
                <c:pt idx="97">
                  <c:v>2412158368.3266234</c:v>
                </c:pt>
                <c:pt idx="98">
                  <c:v>2469908866.8955216</c:v>
                </c:pt>
                <c:pt idx="99">
                  <c:v>2528814250.9330335</c:v>
                </c:pt>
              </c:numCache>
            </c:numRef>
          </c:val>
          <c:smooth val="0"/>
          <c:extLst>
            <c:ext xmlns:c16="http://schemas.microsoft.com/office/drawing/2014/chart" uri="{C3380CC4-5D6E-409C-BE32-E72D297353CC}">
              <c16:uniqueId val="{00000000-8B49-494D-801D-745E5079E65B}"/>
            </c:ext>
          </c:extLst>
        </c:ser>
        <c:ser>
          <c:idx val="1"/>
          <c:order val="1"/>
          <c:tx>
            <c:v>Const+O&amp;M</c:v>
          </c:tx>
          <c:spPr>
            <a:ln w="38100" cmpd="sng">
              <a:solidFill>
                <a:schemeClr val="accent2"/>
              </a:solidFill>
            </a:ln>
          </c:spPr>
          <c:marker>
            <c:symbol val="none"/>
          </c:marker>
          <c:val>
            <c:numRef>
              <c:f>'Evol of Costs and Rev'!$B$10:$CW$10</c:f>
              <c:numCache>
                <c:formatCode>_(* #,##0_);_(* \(#,##0\);_(* "-"??_);_(@_)</c:formatCode>
                <c:ptCount val="100"/>
                <c:pt idx="0">
                  <c:v>83158684.291249871</c:v>
                </c:pt>
                <c:pt idx="1">
                  <c:v>85986079.557152361</c:v>
                </c:pt>
                <c:pt idx="2">
                  <c:v>88870022.728372902</c:v>
                </c:pt>
                <c:pt idx="3">
                  <c:v>91811644.763017863</c:v>
                </c:pt>
                <c:pt idx="4">
                  <c:v>94812099.238355726</c:v>
                </c:pt>
                <c:pt idx="5">
                  <c:v>97872562.803200334</c:v>
                </c:pt>
                <c:pt idx="6">
                  <c:v>100994235.63934185</c:v>
                </c:pt>
                <c:pt idx="7">
                  <c:v>104178341.93220618</c:v>
                </c:pt>
                <c:pt idx="8">
                  <c:v>107426130.3509278</c:v>
                </c:pt>
                <c:pt idx="9">
                  <c:v>110738874.53802386</c:v>
                </c:pt>
                <c:pt idx="10">
                  <c:v>114117873.60886183</c:v>
                </c:pt>
                <c:pt idx="11">
                  <c:v>117564452.66111657</c:v>
                </c:pt>
                <c:pt idx="12">
                  <c:v>121079963.2944164</c:v>
                </c:pt>
                <c:pt idx="13">
                  <c:v>124665784.14038223</c:v>
                </c:pt>
                <c:pt idx="14">
                  <c:v>128323321.40326737</c:v>
                </c:pt>
                <c:pt idx="15">
                  <c:v>132054009.41141021</c:v>
                </c:pt>
                <c:pt idx="16">
                  <c:v>135859311.1797159</c:v>
                </c:pt>
                <c:pt idx="17">
                  <c:v>139740718.98338771</c:v>
                </c:pt>
                <c:pt idx="18">
                  <c:v>143699754.94313297</c:v>
                </c:pt>
                <c:pt idx="19">
                  <c:v>147737971.62207311</c:v>
                </c:pt>
                <c:pt idx="20">
                  <c:v>151856952.63459209</c:v>
                </c:pt>
                <c:pt idx="21">
                  <c:v>156058313.26736143</c:v>
                </c:pt>
                <c:pt idx="22">
                  <c:v>160343701.11278617</c:v>
                </c:pt>
                <c:pt idx="23">
                  <c:v>164714796.71511939</c:v>
                </c:pt>
                <c:pt idx="24">
                  <c:v>169173314.22949928</c:v>
                </c:pt>
                <c:pt idx="25">
                  <c:v>173721002.09416676</c:v>
                </c:pt>
                <c:pt idx="26">
                  <c:v>178359643.71612757</c:v>
                </c:pt>
                <c:pt idx="27">
                  <c:v>183091058.17052764</c:v>
                </c:pt>
                <c:pt idx="28">
                  <c:v>187917100.91401568</c:v>
                </c:pt>
                <c:pt idx="29">
                  <c:v>192839664.51237351</c:v>
                </c:pt>
                <c:pt idx="30">
                  <c:v>197860679.38269848</c:v>
                </c:pt>
                <c:pt idx="31">
                  <c:v>202982114.55042994</c:v>
                </c:pt>
                <c:pt idx="32">
                  <c:v>208205978.42151603</c:v>
                </c:pt>
                <c:pt idx="33">
                  <c:v>213534319.57002386</c:v>
                </c:pt>
                <c:pt idx="34">
                  <c:v>218969227.54150185</c:v>
                </c:pt>
                <c:pt idx="35">
                  <c:v>224512833.67240939</c:v>
                </c:pt>
                <c:pt idx="36">
                  <c:v>230167311.92593506</c:v>
                </c:pt>
                <c:pt idx="37">
                  <c:v>235934879.74453127</c:v>
                </c:pt>
                <c:pt idx="38">
                  <c:v>241817798.9194994</c:v>
                </c:pt>
                <c:pt idx="39">
                  <c:v>247818376.47796687</c:v>
                </c:pt>
                <c:pt idx="40">
                  <c:v>253938965.58760372</c:v>
                </c:pt>
                <c:pt idx="41">
                  <c:v>260181966.4794333</c:v>
                </c:pt>
                <c:pt idx="42">
                  <c:v>266549827.38909945</c:v>
                </c:pt>
                <c:pt idx="43">
                  <c:v>273045045.51695895</c:v>
                </c:pt>
                <c:pt idx="44">
                  <c:v>279670168.00737566</c:v>
                </c:pt>
                <c:pt idx="45">
                  <c:v>286427792.94760066</c:v>
                </c:pt>
                <c:pt idx="46">
                  <c:v>293320570.38663018</c:v>
                </c:pt>
                <c:pt idx="47">
                  <c:v>300351203.37444025</c:v>
                </c:pt>
                <c:pt idx="48">
                  <c:v>307522449.02200657</c:v>
                </c:pt>
                <c:pt idx="49">
                  <c:v>314837119.58252418</c:v>
                </c:pt>
                <c:pt idx="50">
                  <c:v>322298083.55425215</c:v>
                </c:pt>
                <c:pt idx="51">
                  <c:v>329908266.80541468</c:v>
                </c:pt>
                <c:pt idx="52">
                  <c:v>337670653.72160047</c:v>
                </c:pt>
                <c:pt idx="53">
                  <c:v>345588288.37610996</c:v>
                </c:pt>
                <c:pt idx="54">
                  <c:v>353664275.72370964</c:v>
                </c:pt>
                <c:pt idx="55">
                  <c:v>361901782.81826133</c:v>
                </c:pt>
                <c:pt idx="56">
                  <c:v>370304040.05470407</c:v>
                </c:pt>
                <c:pt idx="57">
                  <c:v>378874342.43587565</c:v>
                </c:pt>
                <c:pt idx="58">
                  <c:v>387616050.86467063</c:v>
                </c:pt>
                <c:pt idx="59">
                  <c:v>396532593.46204156</c:v>
                </c:pt>
                <c:pt idx="60">
                  <c:v>405627466.91135991</c:v>
                </c:pt>
                <c:pt idx="61">
                  <c:v>414904237.82966459</c:v>
                </c:pt>
                <c:pt idx="62">
                  <c:v>424366544.1663354</c:v>
                </c:pt>
                <c:pt idx="63">
                  <c:v>434018096.62973958</c:v>
                </c:pt>
                <c:pt idx="64">
                  <c:v>443862680.14241189</c:v>
                </c:pt>
                <c:pt idx="65">
                  <c:v>453904155.32533765</c:v>
                </c:pt>
                <c:pt idx="66">
                  <c:v>464146460.01192188</c:v>
                </c:pt>
                <c:pt idx="67">
                  <c:v>474593610.79223782</c:v>
                </c:pt>
                <c:pt idx="68">
                  <c:v>485249704.5881601</c:v>
                </c:pt>
                <c:pt idx="69">
                  <c:v>496118920.26000082</c:v>
                </c:pt>
                <c:pt idx="70">
                  <c:v>507205520.24527836</c:v>
                </c:pt>
                <c:pt idx="71">
                  <c:v>518513852.23026145</c:v>
                </c:pt>
                <c:pt idx="72">
                  <c:v>530048350.85494417</c:v>
                </c:pt>
                <c:pt idx="73">
                  <c:v>541813539.45212054</c:v>
                </c:pt>
                <c:pt idx="74">
                  <c:v>553814031.82124043</c:v>
                </c:pt>
                <c:pt idx="75">
                  <c:v>566054534.03774273</c:v>
                </c:pt>
                <c:pt idx="76">
                  <c:v>578539846.29857504</c:v>
                </c:pt>
                <c:pt idx="77">
                  <c:v>591274864.80462408</c:v>
                </c:pt>
                <c:pt idx="78">
                  <c:v>604264583.680794</c:v>
                </c:pt>
                <c:pt idx="79">
                  <c:v>617514096.93448734</c:v>
                </c:pt>
                <c:pt idx="80">
                  <c:v>631028600.45325458</c:v>
                </c:pt>
                <c:pt idx="81">
                  <c:v>644813394.04239714</c:v>
                </c:pt>
                <c:pt idx="82">
                  <c:v>658873883.5033226</c:v>
                </c:pt>
                <c:pt idx="83">
                  <c:v>673215582.75346661</c:v>
                </c:pt>
                <c:pt idx="84">
                  <c:v>687844115.98861349</c:v>
                </c:pt>
                <c:pt idx="85">
                  <c:v>702765219.88846326</c:v>
                </c:pt>
                <c:pt idx="86">
                  <c:v>717984745.86631</c:v>
                </c:pt>
                <c:pt idx="87">
                  <c:v>733508662.36371374</c:v>
                </c:pt>
                <c:pt idx="88">
                  <c:v>749343057.19106555</c:v>
                </c:pt>
                <c:pt idx="89">
                  <c:v>765494139.91496432</c:v>
                </c:pt>
                <c:pt idx="90">
                  <c:v>781968244.29334104</c:v>
                </c:pt>
                <c:pt idx="91">
                  <c:v>798771830.75928533</c:v>
                </c:pt>
                <c:pt idx="92">
                  <c:v>815911488.95454848</c:v>
                </c:pt>
                <c:pt idx="93">
                  <c:v>833393940.31371689</c:v>
                </c:pt>
                <c:pt idx="94">
                  <c:v>851226040.70006871</c:v>
                </c:pt>
                <c:pt idx="95">
                  <c:v>869414783.09414756</c:v>
                </c:pt>
                <c:pt idx="96">
                  <c:v>887967300.33610797</c:v>
                </c:pt>
                <c:pt idx="97">
                  <c:v>906890867.92290759</c:v>
                </c:pt>
                <c:pt idx="98">
                  <c:v>926192906.86144328</c:v>
                </c:pt>
                <c:pt idx="99">
                  <c:v>945880986.57874966</c:v>
                </c:pt>
              </c:numCache>
            </c:numRef>
          </c:val>
          <c:smooth val="0"/>
          <c:extLst>
            <c:ext xmlns:c16="http://schemas.microsoft.com/office/drawing/2014/chart" uri="{C3380CC4-5D6E-409C-BE32-E72D297353CC}">
              <c16:uniqueId val="{00000001-8B49-494D-801D-745E5079E65B}"/>
            </c:ext>
          </c:extLst>
        </c:ser>
        <c:ser>
          <c:idx val="2"/>
          <c:order val="2"/>
          <c:tx>
            <c:v>Debt Service Cost</c:v>
          </c:tx>
          <c:spPr>
            <a:ln w="38100" cmpd="sng">
              <a:solidFill>
                <a:schemeClr val="accent3"/>
              </a:solidFill>
            </a:ln>
          </c:spPr>
          <c:marker>
            <c:symbol val="none"/>
          </c:marker>
          <c:val>
            <c:numRef>
              <c:f>'Evol of Costs and Rev'!$B$11:$CW$11</c:f>
              <c:numCache>
                <c:formatCode>_(* #,##0_);_(* \(#,##0\);_(* "-"??_);_(@_)</c:formatCode>
                <c:ptCount val="100"/>
                <c:pt idx="0">
                  <c:v>0</c:v>
                </c:pt>
                <c:pt idx="1">
                  <c:v>6000000</c:v>
                </c:pt>
                <c:pt idx="2">
                  <c:v>12000000</c:v>
                </c:pt>
                <c:pt idx="3">
                  <c:v>18000000</c:v>
                </c:pt>
                <c:pt idx="4">
                  <c:v>24000000</c:v>
                </c:pt>
                <c:pt idx="5">
                  <c:v>30000000</c:v>
                </c:pt>
                <c:pt idx="6">
                  <c:v>36750000</c:v>
                </c:pt>
                <c:pt idx="7">
                  <c:v>43500000</c:v>
                </c:pt>
                <c:pt idx="8">
                  <c:v>50250000</c:v>
                </c:pt>
                <c:pt idx="9">
                  <c:v>57000000</c:v>
                </c:pt>
                <c:pt idx="10">
                  <c:v>63750000</c:v>
                </c:pt>
                <c:pt idx="11">
                  <c:v>70500000</c:v>
                </c:pt>
                <c:pt idx="12">
                  <c:v>77250000</c:v>
                </c:pt>
                <c:pt idx="13">
                  <c:v>84000000</c:v>
                </c:pt>
                <c:pt idx="14">
                  <c:v>90750000</c:v>
                </c:pt>
                <c:pt idx="15">
                  <c:v>97500000</c:v>
                </c:pt>
                <c:pt idx="16">
                  <c:v>104250000</c:v>
                </c:pt>
                <c:pt idx="17">
                  <c:v>111000000</c:v>
                </c:pt>
                <c:pt idx="18">
                  <c:v>117750000</c:v>
                </c:pt>
                <c:pt idx="19">
                  <c:v>124500000</c:v>
                </c:pt>
                <c:pt idx="20">
                  <c:v>131250000</c:v>
                </c:pt>
                <c:pt idx="21">
                  <c:v>138000000</c:v>
                </c:pt>
                <c:pt idx="22">
                  <c:v>144750000</c:v>
                </c:pt>
                <c:pt idx="23">
                  <c:v>151500000</c:v>
                </c:pt>
                <c:pt idx="24">
                  <c:v>158250000</c:v>
                </c:pt>
                <c:pt idx="25">
                  <c:v>165000000</c:v>
                </c:pt>
                <c:pt idx="26">
                  <c:v>171750000</c:v>
                </c:pt>
                <c:pt idx="27">
                  <c:v>178500000</c:v>
                </c:pt>
                <c:pt idx="28">
                  <c:v>185250000</c:v>
                </c:pt>
                <c:pt idx="29">
                  <c:v>192000000</c:v>
                </c:pt>
                <c:pt idx="30">
                  <c:v>198750000</c:v>
                </c:pt>
                <c:pt idx="31">
                  <c:v>204250000</c:v>
                </c:pt>
                <c:pt idx="32">
                  <c:v>209750000</c:v>
                </c:pt>
                <c:pt idx="33">
                  <c:v>215250000</c:v>
                </c:pt>
                <c:pt idx="34">
                  <c:v>220750000</c:v>
                </c:pt>
                <c:pt idx="35">
                  <c:v>226250000</c:v>
                </c:pt>
                <c:pt idx="36">
                  <c:v>231750000</c:v>
                </c:pt>
                <c:pt idx="37">
                  <c:v>237250000</c:v>
                </c:pt>
                <c:pt idx="38">
                  <c:v>242750000</c:v>
                </c:pt>
                <c:pt idx="39">
                  <c:v>248250000</c:v>
                </c:pt>
                <c:pt idx="40">
                  <c:v>253750000</c:v>
                </c:pt>
                <c:pt idx="41">
                  <c:v>259250000</c:v>
                </c:pt>
                <c:pt idx="42">
                  <c:v>264750000</c:v>
                </c:pt>
                <c:pt idx="43">
                  <c:v>270250000</c:v>
                </c:pt>
                <c:pt idx="44">
                  <c:v>275750000</c:v>
                </c:pt>
                <c:pt idx="45">
                  <c:v>281250000</c:v>
                </c:pt>
                <c:pt idx="46">
                  <c:v>286750000</c:v>
                </c:pt>
                <c:pt idx="47">
                  <c:v>292250000</c:v>
                </c:pt>
                <c:pt idx="48">
                  <c:v>297750000</c:v>
                </c:pt>
                <c:pt idx="49">
                  <c:v>303250000</c:v>
                </c:pt>
                <c:pt idx="50">
                  <c:v>308750000</c:v>
                </c:pt>
                <c:pt idx="51">
                  <c:v>308750000</c:v>
                </c:pt>
                <c:pt idx="52">
                  <c:v>308750000</c:v>
                </c:pt>
                <c:pt idx="53">
                  <c:v>308750000</c:v>
                </c:pt>
                <c:pt idx="54">
                  <c:v>308750000</c:v>
                </c:pt>
                <c:pt idx="55">
                  <c:v>308750000</c:v>
                </c:pt>
                <c:pt idx="56">
                  <c:v>308750000</c:v>
                </c:pt>
                <c:pt idx="57">
                  <c:v>308750000</c:v>
                </c:pt>
                <c:pt idx="58">
                  <c:v>308750000</c:v>
                </c:pt>
                <c:pt idx="59">
                  <c:v>308750000</c:v>
                </c:pt>
                <c:pt idx="60">
                  <c:v>308750000</c:v>
                </c:pt>
                <c:pt idx="61">
                  <c:v>308750000</c:v>
                </c:pt>
                <c:pt idx="62">
                  <c:v>308750000</c:v>
                </c:pt>
                <c:pt idx="63">
                  <c:v>308750000</c:v>
                </c:pt>
                <c:pt idx="64">
                  <c:v>308750000</c:v>
                </c:pt>
                <c:pt idx="65">
                  <c:v>308750000</c:v>
                </c:pt>
                <c:pt idx="66">
                  <c:v>308750000</c:v>
                </c:pt>
                <c:pt idx="67">
                  <c:v>308750000</c:v>
                </c:pt>
                <c:pt idx="68">
                  <c:v>308750000</c:v>
                </c:pt>
                <c:pt idx="69">
                  <c:v>308750000</c:v>
                </c:pt>
                <c:pt idx="70">
                  <c:v>308750000</c:v>
                </c:pt>
                <c:pt idx="71">
                  <c:v>308750000</c:v>
                </c:pt>
                <c:pt idx="72">
                  <c:v>308750000</c:v>
                </c:pt>
                <c:pt idx="73">
                  <c:v>308750000</c:v>
                </c:pt>
                <c:pt idx="74">
                  <c:v>308750000</c:v>
                </c:pt>
                <c:pt idx="75">
                  <c:v>308750000</c:v>
                </c:pt>
                <c:pt idx="76">
                  <c:v>308750000</c:v>
                </c:pt>
                <c:pt idx="77">
                  <c:v>308750000</c:v>
                </c:pt>
                <c:pt idx="78">
                  <c:v>308750000</c:v>
                </c:pt>
                <c:pt idx="79">
                  <c:v>308750000</c:v>
                </c:pt>
                <c:pt idx="80">
                  <c:v>308750000</c:v>
                </c:pt>
                <c:pt idx="81">
                  <c:v>308750000</c:v>
                </c:pt>
                <c:pt idx="82">
                  <c:v>308750000</c:v>
                </c:pt>
                <c:pt idx="83">
                  <c:v>308750000</c:v>
                </c:pt>
                <c:pt idx="84">
                  <c:v>308750000</c:v>
                </c:pt>
                <c:pt idx="85">
                  <c:v>308750000</c:v>
                </c:pt>
                <c:pt idx="86">
                  <c:v>308750000</c:v>
                </c:pt>
                <c:pt idx="87">
                  <c:v>308750000</c:v>
                </c:pt>
                <c:pt idx="88">
                  <c:v>308750000</c:v>
                </c:pt>
                <c:pt idx="89">
                  <c:v>308750000</c:v>
                </c:pt>
                <c:pt idx="90">
                  <c:v>308750000</c:v>
                </c:pt>
                <c:pt idx="91">
                  <c:v>308750000</c:v>
                </c:pt>
                <c:pt idx="92">
                  <c:v>308750000</c:v>
                </c:pt>
                <c:pt idx="93">
                  <c:v>308750000</c:v>
                </c:pt>
                <c:pt idx="94">
                  <c:v>308750000</c:v>
                </c:pt>
                <c:pt idx="95">
                  <c:v>308750000</c:v>
                </c:pt>
                <c:pt idx="96">
                  <c:v>308750000</c:v>
                </c:pt>
                <c:pt idx="97">
                  <c:v>308750000</c:v>
                </c:pt>
                <c:pt idx="98">
                  <c:v>308750000</c:v>
                </c:pt>
                <c:pt idx="99">
                  <c:v>308750000</c:v>
                </c:pt>
              </c:numCache>
            </c:numRef>
          </c:val>
          <c:smooth val="0"/>
          <c:extLst>
            <c:ext xmlns:c16="http://schemas.microsoft.com/office/drawing/2014/chart" uri="{C3380CC4-5D6E-409C-BE32-E72D297353CC}">
              <c16:uniqueId val="{00000002-8B49-494D-801D-745E5079E65B}"/>
            </c:ext>
          </c:extLst>
        </c:ser>
        <c:ser>
          <c:idx val="3"/>
          <c:order val="3"/>
          <c:tx>
            <c:v>Total Cost</c:v>
          </c:tx>
          <c:spPr>
            <a:ln w="38100" cmpd="sng">
              <a:solidFill>
                <a:schemeClr val="accent4"/>
              </a:solidFill>
            </a:ln>
          </c:spPr>
          <c:marker>
            <c:symbol val="none"/>
          </c:marker>
          <c:val>
            <c:numRef>
              <c:f>'Evol of Costs and Rev'!$B$12:$CW$12</c:f>
              <c:numCache>
                <c:formatCode>_(* #,##0_);_(* \(#,##0\);_(* "-"??_);_(@_)</c:formatCode>
                <c:ptCount val="100"/>
                <c:pt idx="0">
                  <c:v>83158684.291249871</c:v>
                </c:pt>
                <c:pt idx="1">
                  <c:v>91986079.557152361</c:v>
                </c:pt>
                <c:pt idx="2">
                  <c:v>100870022.7283729</c:v>
                </c:pt>
                <c:pt idx="3">
                  <c:v>109811644.76301786</c:v>
                </c:pt>
                <c:pt idx="4">
                  <c:v>118812099.23835573</c:v>
                </c:pt>
                <c:pt idx="5">
                  <c:v>127872562.80320033</c:v>
                </c:pt>
                <c:pt idx="6">
                  <c:v>137744235.63934183</c:v>
                </c:pt>
                <c:pt idx="7">
                  <c:v>147678341.93220618</c:v>
                </c:pt>
                <c:pt idx="8">
                  <c:v>157676130.3509278</c:v>
                </c:pt>
                <c:pt idx="9">
                  <c:v>167738874.53802386</c:v>
                </c:pt>
                <c:pt idx="10">
                  <c:v>177867873.60886183</c:v>
                </c:pt>
                <c:pt idx="11">
                  <c:v>188064452.66111657</c:v>
                </c:pt>
                <c:pt idx="12">
                  <c:v>198329963.2944164</c:v>
                </c:pt>
                <c:pt idx="13">
                  <c:v>208665784.14038223</c:v>
                </c:pt>
                <c:pt idx="14">
                  <c:v>219073321.40326738</c:v>
                </c:pt>
                <c:pt idx="15">
                  <c:v>229554009.41141021</c:v>
                </c:pt>
                <c:pt idx="16">
                  <c:v>240109311.1797159</c:v>
                </c:pt>
                <c:pt idx="17">
                  <c:v>250740718.98338771</c:v>
                </c:pt>
                <c:pt idx="18">
                  <c:v>261449754.94313297</c:v>
                </c:pt>
                <c:pt idx="19">
                  <c:v>272237971.62207311</c:v>
                </c:pt>
                <c:pt idx="20">
                  <c:v>283106952.63459206</c:v>
                </c:pt>
                <c:pt idx="21">
                  <c:v>294058313.2673614</c:v>
                </c:pt>
                <c:pt idx="22">
                  <c:v>305093701.11278617</c:v>
                </c:pt>
                <c:pt idx="23">
                  <c:v>316214796.71511936</c:v>
                </c:pt>
                <c:pt idx="24">
                  <c:v>327423314.22949928</c:v>
                </c:pt>
                <c:pt idx="25">
                  <c:v>338721002.09416676</c:v>
                </c:pt>
                <c:pt idx="26">
                  <c:v>350109643.71612757</c:v>
                </c:pt>
                <c:pt idx="27">
                  <c:v>361591058.17052764</c:v>
                </c:pt>
                <c:pt idx="28">
                  <c:v>373167100.91401565</c:v>
                </c:pt>
                <c:pt idx="29">
                  <c:v>384839664.51237351</c:v>
                </c:pt>
                <c:pt idx="30">
                  <c:v>396610679.38269848</c:v>
                </c:pt>
                <c:pt idx="31">
                  <c:v>407232114.55042994</c:v>
                </c:pt>
                <c:pt idx="32">
                  <c:v>417955978.42151606</c:v>
                </c:pt>
                <c:pt idx="33">
                  <c:v>428784319.57002389</c:v>
                </c:pt>
                <c:pt idx="34">
                  <c:v>439719227.54150188</c:v>
                </c:pt>
                <c:pt idx="35">
                  <c:v>450762833.67240942</c:v>
                </c:pt>
                <c:pt idx="36">
                  <c:v>461917311.92593503</c:v>
                </c:pt>
                <c:pt idx="37">
                  <c:v>473184879.74453127</c:v>
                </c:pt>
                <c:pt idx="38">
                  <c:v>484567798.9194994</c:v>
                </c:pt>
                <c:pt idx="39">
                  <c:v>496068376.4779669</c:v>
                </c:pt>
                <c:pt idx="40">
                  <c:v>507688965.58760369</c:v>
                </c:pt>
                <c:pt idx="41">
                  <c:v>519431966.4794333</c:v>
                </c:pt>
                <c:pt idx="42">
                  <c:v>531299827.38909948</c:v>
                </c:pt>
                <c:pt idx="43">
                  <c:v>543295045.51695895</c:v>
                </c:pt>
                <c:pt idx="44">
                  <c:v>555420168.00737572</c:v>
                </c:pt>
                <c:pt idx="45">
                  <c:v>567677792.9476006</c:v>
                </c:pt>
                <c:pt idx="46">
                  <c:v>580070570.38663018</c:v>
                </c:pt>
                <c:pt idx="47">
                  <c:v>592601203.37444019</c:v>
                </c:pt>
                <c:pt idx="48">
                  <c:v>605272449.02200651</c:v>
                </c:pt>
                <c:pt idx="49">
                  <c:v>618087119.58252418</c:v>
                </c:pt>
                <c:pt idx="50">
                  <c:v>631048083.55425215</c:v>
                </c:pt>
                <c:pt idx="51">
                  <c:v>638658266.80541468</c:v>
                </c:pt>
                <c:pt idx="52">
                  <c:v>646420653.72160053</c:v>
                </c:pt>
                <c:pt idx="53">
                  <c:v>654338288.37610996</c:v>
                </c:pt>
                <c:pt idx="54">
                  <c:v>662414275.72370958</c:v>
                </c:pt>
                <c:pt idx="55">
                  <c:v>670651782.81826138</c:v>
                </c:pt>
                <c:pt idx="56">
                  <c:v>679054040.05470407</c:v>
                </c:pt>
                <c:pt idx="57">
                  <c:v>687624342.43587565</c:v>
                </c:pt>
                <c:pt idx="58">
                  <c:v>696366050.86467063</c:v>
                </c:pt>
                <c:pt idx="59">
                  <c:v>705282593.46204162</c:v>
                </c:pt>
                <c:pt idx="60">
                  <c:v>714377466.91135991</c:v>
                </c:pt>
                <c:pt idx="61">
                  <c:v>723654237.82966459</c:v>
                </c:pt>
                <c:pt idx="62">
                  <c:v>733116544.16633534</c:v>
                </c:pt>
                <c:pt idx="63">
                  <c:v>742768096.62973952</c:v>
                </c:pt>
                <c:pt idx="64">
                  <c:v>752612680.14241195</c:v>
                </c:pt>
                <c:pt idx="65">
                  <c:v>762654155.32533765</c:v>
                </c:pt>
                <c:pt idx="66">
                  <c:v>772896460.01192188</c:v>
                </c:pt>
                <c:pt idx="67">
                  <c:v>783343610.79223776</c:v>
                </c:pt>
                <c:pt idx="68">
                  <c:v>793999704.58816004</c:v>
                </c:pt>
                <c:pt idx="69">
                  <c:v>804868920.26000082</c:v>
                </c:pt>
                <c:pt idx="70">
                  <c:v>815955520.24527836</c:v>
                </c:pt>
                <c:pt idx="71">
                  <c:v>827263852.23026145</c:v>
                </c:pt>
                <c:pt idx="72">
                  <c:v>838798350.85494423</c:v>
                </c:pt>
                <c:pt idx="73">
                  <c:v>850563539.45212054</c:v>
                </c:pt>
                <c:pt idx="74">
                  <c:v>862564031.82124043</c:v>
                </c:pt>
                <c:pt idx="75">
                  <c:v>874804534.03774273</c:v>
                </c:pt>
                <c:pt idx="76">
                  <c:v>887289846.29857504</c:v>
                </c:pt>
                <c:pt idx="77">
                  <c:v>900024864.80462408</c:v>
                </c:pt>
                <c:pt idx="78">
                  <c:v>913014583.680794</c:v>
                </c:pt>
                <c:pt idx="79">
                  <c:v>926264096.93448734</c:v>
                </c:pt>
                <c:pt idx="80">
                  <c:v>939778600.45325458</c:v>
                </c:pt>
                <c:pt idx="81">
                  <c:v>953563394.04239714</c:v>
                </c:pt>
                <c:pt idx="82">
                  <c:v>967623883.5033226</c:v>
                </c:pt>
                <c:pt idx="83">
                  <c:v>981965582.75346661</c:v>
                </c:pt>
                <c:pt idx="84">
                  <c:v>996594115.98861349</c:v>
                </c:pt>
                <c:pt idx="85">
                  <c:v>1011515219.8884633</c:v>
                </c:pt>
                <c:pt idx="86">
                  <c:v>1026734745.86631</c:v>
                </c:pt>
                <c:pt idx="87">
                  <c:v>1042258662.3637137</c:v>
                </c:pt>
                <c:pt idx="88">
                  <c:v>1058093057.1910655</c:v>
                </c:pt>
                <c:pt idx="89">
                  <c:v>1074244139.9149642</c:v>
                </c:pt>
                <c:pt idx="90">
                  <c:v>1090718244.2933412</c:v>
                </c:pt>
                <c:pt idx="91">
                  <c:v>1107521830.7592854</c:v>
                </c:pt>
                <c:pt idx="92">
                  <c:v>1124661488.9545484</c:v>
                </c:pt>
                <c:pt idx="93">
                  <c:v>1142143940.3137169</c:v>
                </c:pt>
                <c:pt idx="94">
                  <c:v>1159976040.7000687</c:v>
                </c:pt>
                <c:pt idx="95">
                  <c:v>1178164783.0941477</c:v>
                </c:pt>
                <c:pt idx="96">
                  <c:v>1196717300.336108</c:v>
                </c:pt>
                <c:pt idx="97">
                  <c:v>1215640867.9229076</c:v>
                </c:pt>
                <c:pt idx="98">
                  <c:v>1234942906.8614433</c:v>
                </c:pt>
                <c:pt idx="99">
                  <c:v>1254630986.5787497</c:v>
                </c:pt>
              </c:numCache>
            </c:numRef>
          </c:val>
          <c:smooth val="0"/>
          <c:extLst>
            <c:ext xmlns:c16="http://schemas.microsoft.com/office/drawing/2014/chart" uri="{C3380CC4-5D6E-409C-BE32-E72D297353CC}">
              <c16:uniqueId val="{00000003-8B49-494D-801D-745E5079E65B}"/>
            </c:ext>
          </c:extLst>
        </c:ser>
        <c:ser>
          <c:idx val="4"/>
          <c:order val="4"/>
          <c:tx>
            <c:v>Revenue 60%</c:v>
          </c:tx>
          <c:spPr>
            <a:ln w="38100" cmpd="sng">
              <a:solidFill>
                <a:schemeClr val="accent1"/>
              </a:solidFill>
              <a:prstDash val="dash"/>
            </a:ln>
          </c:spPr>
          <c:marker>
            <c:symbol val="none"/>
          </c:marker>
          <c:val>
            <c:numRef>
              <c:f>'Evol of Costs and Rev'!$B$13:$CW$13</c:f>
              <c:numCache>
                <c:formatCode>_(* #,##0_);_(* \(#,##0\);_(* "-"??_);_(@_)</c:formatCode>
                <c:ptCount val="100"/>
                <c:pt idx="0">
                  <c:v>0</c:v>
                </c:pt>
                <c:pt idx="1">
                  <c:v>0</c:v>
                </c:pt>
                <c:pt idx="2">
                  <c:v>0</c:v>
                </c:pt>
                <c:pt idx="3">
                  <c:v>0</c:v>
                </c:pt>
                <c:pt idx="4">
                  <c:v>0</c:v>
                </c:pt>
                <c:pt idx="5">
                  <c:v>0</c:v>
                </c:pt>
                <c:pt idx="6">
                  <c:v>6390916.0602578698</c:v>
                </c:pt>
                <c:pt idx="7">
                  <c:v>12942244.233983621</c:v>
                </c:pt>
                <c:pt idx="8">
                  <c:v>19658010.86575377</c:v>
                </c:pt>
                <c:pt idx="9">
                  <c:v>26542343.361366712</c:v>
                </c:pt>
                <c:pt idx="10">
                  <c:v>33599472.724478066</c:v>
                </c:pt>
                <c:pt idx="11">
                  <c:v>40833736.156905606</c:v>
                </c:pt>
                <c:pt idx="12">
                  <c:v>48249579.724201716</c:v>
                </c:pt>
                <c:pt idx="13">
                  <c:v>55851561.088131726</c:v>
                </c:pt>
                <c:pt idx="14">
                  <c:v>63644352.307737395</c:v>
                </c:pt>
                <c:pt idx="15">
                  <c:v>71632742.710707054</c:v>
                </c:pt>
                <c:pt idx="16">
                  <c:v>79821641.836817041</c:v>
                </c:pt>
                <c:pt idx="17">
                  <c:v>88216082.455253571</c:v>
                </c:pt>
                <c:pt idx="18">
                  <c:v>96821223.657669216</c:v>
                </c:pt>
                <c:pt idx="19">
                  <c:v>105642354.02887514</c:v>
                </c:pt>
                <c:pt idx="20">
                  <c:v>114684894.89711761</c:v>
                </c:pt>
                <c:pt idx="21">
                  <c:v>123954403.66593641</c:v>
                </c:pt>
                <c:pt idx="22">
                  <c:v>133456577.22965287</c:v>
                </c:pt>
                <c:pt idx="23">
                  <c:v>143197255.47458652</c:v>
                </c:pt>
                <c:pt idx="24">
                  <c:v>153182424.86815232</c:v>
                </c:pt>
                <c:pt idx="25">
                  <c:v>163367298.17569718</c:v>
                </c:pt>
                <c:pt idx="26">
                  <c:v>173755869.48602283</c:v>
                </c:pt>
                <c:pt idx="27">
                  <c:v>184352212.76991746</c:v>
                </c:pt>
                <c:pt idx="28">
                  <c:v>195160483.47779971</c:v>
                </c:pt>
                <c:pt idx="29">
                  <c:v>206184920.16931555</c:v>
                </c:pt>
                <c:pt idx="30">
                  <c:v>217429846.17552713</c:v>
                </c:pt>
                <c:pt idx="31">
                  <c:v>228899671.29434571</c:v>
                </c:pt>
                <c:pt idx="32">
                  <c:v>240598893.51987305</c:v>
                </c:pt>
                <c:pt idx="33">
                  <c:v>252532100.80633003</c:v>
                </c:pt>
                <c:pt idx="34">
                  <c:v>264703972.86726356</c:v>
                </c:pt>
                <c:pt idx="35">
                  <c:v>277119283.01073813</c:v>
                </c:pt>
                <c:pt idx="36">
                  <c:v>289782900.01123106</c:v>
                </c:pt>
                <c:pt idx="37">
                  <c:v>302699790.01896566</c:v>
                </c:pt>
                <c:pt idx="38">
                  <c:v>315875018.50743139</c:v>
                </c:pt>
                <c:pt idx="39">
                  <c:v>329313752.25985444</c:v>
                </c:pt>
                <c:pt idx="40">
                  <c:v>343021261.39539766</c:v>
                </c:pt>
                <c:pt idx="41">
                  <c:v>357002921.43588495</c:v>
                </c:pt>
                <c:pt idx="42">
                  <c:v>371264215.41385978</c:v>
                </c:pt>
                <c:pt idx="43">
                  <c:v>385810736.02280551</c:v>
                </c:pt>
                <c:pt idx="44">
                  <c:v>400648187.81036979</c:v>
                </c:pt>
                <c:pt idx="45">
                  <c:v>415782389.41545373</c:v>
                </c:pt>
                <c:pt idx="46">
                  <c:v>431219275.85004312</c:v>
                </c:pt>
                <c:pt idx="47">
                  <c:v>446964900.82667619</c:v>
                </c:pt>
                <c:pt idx="48">
                  <c:v>463025439.13246083</c:v>
                </c:pt>
                <c:pt idx="49">
                  <c:v>479407189.0505724</c:v>
                </c:pt>
                <c:pt idx="50">
                  <c:v>496116574.83018172</c:v>
                </c:pt>
                <c:pt idx="51">
                  <c:v>513160149.2057814</c:v>
                </c:pt>
                <c:pt idx="52">
                  <c:v>530544595.96689928</c:v>
                </c:pt>
                <c:pt idx="53">
                  <c:v>548276732.57920575</c:v>
                </c:pt>
                <c:pt idx="54">
                  <c:v>566363512.85804403</c:v>
                </c:pt>
                <c:pt idx="55">
                  <c:v>584812029.6954304</c:v>
                </c:pt>
                <c:pt idx="56">
                  <c:v>603629517.84159517</c:v>
                </c:pt>
                <c:pt idx="57">
                  <c:v>622823356.74215472</c:v>
                </c:pt>
                <c:pt idx="58">
                  <c:v>642401073.43202627</c:v>
                </c:pt>
                <c:pt idx="59">
                  <c:v>662370345.48722196</c:v>
                </c:pt>
                <c:pt idx="60">
                  <c:v>682739004.03567898</c:v>
                </c:pt>
                <c:pt idx="61">
                  <c:v>703515036.8283056</c:v>
                </c:pt>
                <c:pt idx="62">
                  <c:v>724706591.37144923</c:v>
                </c:pt>
                <c:pt idx="63">
                  <c:v>746321978.12201357</c:v>
                </c:pt>
                <c:pt idx="64">
                  <c:v>768369673.7464782</c:v>
                </c:pt>
                <c:pt idx="65">
                  <c:v>790858324.44509888</c:v>
                </c:pt>
                <c:pt idx="66">
                  <c:v>813796749.342592</c:v>
                </c:pt>
                <c:pt idx="67">
                  <c:v>837193943.9466331</c:v>
                </c:pt>
                <c:pt idx="68">
                  <c:v>861059083.67552507</c:v>
                </c:pt>
                <c:pt idx="69">
                  <c:v>885401527.4564203</c:v>
                </c:pt>
                <c:pt idx="70">
                  <c:v>910230821.39550734</c:v>
                </c:pt>
                <c:pt idx="71">
                  <c:v>935556702.52160156</c:v>
                </c:pt>
                <c:pt idx="72">
                  <c:v>961389102.60460758</c:v>
                </c:pt>
                <c:pt idx="73">
                  <c:v>987738152.05035138</c:v>
                </c:pt>
                <c:pt idx="74">
                  <c:v>1014614183.8733094</c:v>
                </c:pt>
                <c:pt idx="75">
                  <c:v>1042027737.7487918</c:v>
                </c:pt>
                <c:pt idx="76">
                  <c:v>1069989564.1461705</c:v>
                </c:pt>
                <c:pt idx="77">
                  <c:v>1098510628.544771</c:v>
                </c:pt>
                <c:pt idx="78">
                  <c:v>1127602115.7340832</c:v>
                </c:pt>
                <c:pt idx="79">
                  <c:v>1157275434.1999764</c:v>
                </c:pt>
                <c:pt idx="80">
                  <c:v>1187542220.5986381</c:v>
                </c:pt>
                <c:pt idx="81">
                  <c:v>1218414344.3199923</c:v>
                </c:pt>
                <c:pt idx="82">
                  <c:v>1249903912.1423874</c:v>
                </c:pt>
                <c:pt idx="83">
                  <c:v>1282023272.9803767</c:v>
                </c:pt>
                <c:pt idx="84">
                  <c:v>1314785022.7274549</c:v>
                </c:pt>
                <c:pt idx="85">
                  <c:v>1348202009.1956503</c:v>
                </c:pt>
                <c:pt idx="86">
                  <c:v>1382287337.1539087</c:v>
                </c:pt>
                <c:pt idx="87">
                  <c:v>1417054373.4672456</c:v>
                </c:pt>
                <c:pt idx="88">
                  <c:v>1452516752.3386805</c:v>
                </c:pt>
                <c:pt idx="89">
                  <c:v>1488688380.6560121</c:v>
                </c:pt>
                <c:pt idx="90">
                  <c:v>1525583443.4455278</c:v>
                </c:pt>
                <c:pt idx="91">
                  <c:v>1563216409.434788</c:v>
                </c:pt>
                <c:pt idx="92">
                  <c:v>1601602036.7266667</c:v>
                </c:pt>
                <c:pt idx="93">
                  <c:v>1640755378.5868728</c:v>
                </c:pt>
                <c:pt idx="94">
                  <c:v>1680691789.3472228</c:v>
                </c:pt>
                <c:pt idx="95">
                  <c:v>1721426930.4269781</c:v>
                </c:pt>
                <c:pt idx="96">
                  <c:v>1762976776.474611</c:v>
                </c:pt>
                <c:pt idx="97">
                  <c:v>1805357621.6324048</c:v>
                </c:pt>
                <c:pt idx="98">
                  <c:v>1848586085.9263468</c:v>
                </c:pt>
                <c:pt idx="99">
                  <c:v>1892679121.7838197</c:v>
                </c:pt>
              </c:numCache>
            </c:numRef>
          </c:val>
          <c:smooth val="0"/>
          <c:extLst>
            <c:ext xmlns:c16="http://schemas.microsoft.com/office/drawing/2014/chart" uri="{C3380CC4-5D6E-409C-BE32-E72D297353CC}">
              <c16:uniqueId val="{00000004-8B49-494D-801D-745E5079E65B}"/>
            </c:ext>
          </c:extLst>
        </c:ser>
        <c:ser>
          <c:idx val="5"/>
          <c:order val="5"/>
          <c:tx>
            <c:v>Debt Service Cost '</c:v>
          </c:tx>
          <c:spPr>
            <a:ln w="38100" cmpd="sng">
              <a:solidFill>
                <a:schemeClr val="accent3"/>
              </a:solidFill>
              <a:prstDash val="dash"/>
            </a:ln>
          </c:spPr>
          <c:marker>
            <c:symbol val="none"/>
          </c:marker>
          <c:val>
            <c:numRef>
              <c:f>'Evol of Costs and Rev'!$B$14:$CW$14</c:f>
              <c:numCache>
                <c:formatCode>_(* #,##0_);_(* \(#,##0\);_(* "-"??_);_(@_)</c:formatCode>
                <c:ptCount val="100"/>
                <c:pt idx="0">
                  <c:v>0</c:v>
                </c:pt>
                <c:pt idx="1">
                  <c:v>6000000</c:v>
                </c:pt>
                <c:pt idx="2">
                  <c:v>12000000</c:v>
                </c:pt>
                <c:pt idx="3">
                  <c:v>18000000</c:v>
                </c:pt>
                <c:pt idx="4">
                  <c:v>24000000</c:v>
                </c:pt>
                <c:pt idx="5">
                  <c:v>30000000</c:v>
                </c:pt>
                <c:pt idx="6">
                  <c:v>38000000</c:v>
                </c:pt>
                <c:pt idx="7">
                  <c:v>46000000</c:v>
                </c:pt>
                <c:pt idx="8">
                  <c:v>54000000</c:v>
                </c:pt>
                <c:pt idx="9">
                  <c:v>62000000</c:v>
                </c:pt>
                <c:pt idx="10">
                  <c:v>70000000</c:v>
                </c:pt>
                <c:pt idx="11">
                  <c:v>78000000</c:v>
                </c:pt>
                <c:pt idx="12">
                  <c:v>86000000</c:v>
                </c:pt>
                <c:pt idx="13">
                  <c:v>94000000</c:v>
                </c:pt>
                <c:pt idx="14">
                  <c:v>102000000</c:v>
                </c:pt>
                <c:pt idx="15">
                  <c:v>110000000</c:v>
                </c:pt>
                <c:pt idx="16">
                  <c:v>118000000</c:v>
                </c:pt>
                <c:pt idx="17">
                  <c:v>126000000</c:v>
                </c:pt>
                <c:pt idx="18">
                  <c:v>134000000</c:v>
                </c:pt>
                <c:pt idx="19">
                  <c:v>142000000</c:v>
                </c:pt>
                <c:pt idx="20">
                  <c:v>150000000</c:v>
                </c:pt>
                <c:pt idx="21">
                  <c:v>158000000</c:v>
                </c:pt>
                <c:pt idx="22">
                  <c:v>166000000</c:v>
                </c:pt>
                <c:pt idx="23">
                  <c:v>174000000</c:v>
                </c:pt>
                <c:pt idx="24">
                  <c:v>182000000</c:v>
                </c:pt>
                <c:pt idx="25">
                  <c:v>190000000</c:v>
                </c:pt>
                <c:pt idx="26">
                  <c:v>198000000</c:v>
                </c:pt>
                <c:pt idx="27">
                  <c:v>206000000</c:v>
                </c:pt>
                <c:pt idx="28">
                  <c:v>214000000</c:v>
                </c:pt>
                <c:pt idx="29">
                  <c:v>222000000</c:v>
                </c:pt>
                <c:pt idx="30">
                  <c:v>230000000</c:v>
                </c:pt>
                <c:pt idx="31">
                  <c:v>237500000</c:v>
                </c:pt>
                <c:pt idx="32">
                  <c:v>245000000</c:v>
                </c:pt>
                <c:pt idx="33">
                  <c:v>252500000</c:v>
                </c:pt>
                <c:pt idx="34">
                  <c:v>260000000</c:v>
                </c:pt>
                <c:pt idx="35">
                  <c:v>267500000</c:v>
                </c:pt>
                <c:pt idx="36">
                  <c:v>275000000</c:v>
                </c:pt>
                <c:pt idx="37">
                  <c:v>282500000</c:v>
                </c:pt>
                <c:pt idx="38">
                  <c:v>290000000</c:v>
                </c:pt>
                <c:pt idx="39">
                  <c:v>297500000</c:v>
                </c:pt>
                <c:pt idx="40">
                  <c:v>305000000</c:v>
                </c:pt>
                <c:pt idx="41">
                  <c:v>312500000</c:v>
                </c:pt>
                <c:pt idx="42">
                  <c:v>320000000</c:v>
                </c:pt>
                <c:pt idx="43">
                  <c:v>327500000</c:v>
                </c:pt>
                <c:pt idx="44">
                  <c:v>335000000</c:v>
                </c:pt>
                <c:pt idx="45">
                  <c:v>342500000</c:v>
                </c:pt>
                <c:pt idx="46">
                  <c:v>350000000</c:v>
                </c:pt>
                <c:pt idx="47">
                  <c:v>357500000</c:v>
                </c:pt>
                <c:pt idx="48">
                  <c:v>365000000</c:v>
                </c:pt>
                <c:pt idx="49">
                  <c:v>372500000</c:v>
                </c:pt>
                <c:pt idx="50">
                  <c:v>380000000</c:v>
                </c:pt>
                <c:pt idx="51">
                  <c:v>380000000</c:v>
                </c:pt>
                <c:pt idx="52">
                  <c:v>380000000</c:v>
                </c:pt>
                <c:pt idx="53">
                  <c:v>380000000</c:v>
                </c:pt>
                <c:pt idx="54">
                  <c:v>380000000</c:v>
                </c:pt>
                <c:pt idx="55">
                  <c:v>380000000</c:v>
                </c:pt>
                <c:pt idx="56">
                  <c:v>380000000</c:v>
                </c:pt>
                <c:pt idx="57">
                  <c:v>380000000</c:v>
                </c:pt>
                <c:pt idx="58">
                  <c:v>380000000</c:v>
                </c:pt>
                <c:pt idx="59">
                  <c:v>380000000</c:v>
                </c:pt>
                <c:pt idx="60">
                  <c:v>380000000</c:v>
                </c:pt>
                <c:pt idx="61">
                  <c:v>380000000</c:v>
                </c:pt>
                <c:pt idx="62">
                  <c:v>380000000</c:v>
                </c:pt>
                <c:pt idx="63">
                  <c:v>380000000</c:v>
                </c:pt>
                <c:pt idx="64">
                  <c:v>380000000</c:v>
                </c:pt>
                <c:pt idx="65">
                  <c:v>380000000</c:v>
                </c:pt>
                <c:pt idx="66">
                  <c:v>380000000</c:v>
                </c:pt>
                <c:pt idx="67">
                  <c:v>380000000</c:v>
                </c:pt>
                <c:pt idx="68">
                  <c:v>380000000</c:v>
                </c:pt>
                <c:pt idx="69">
                  <c:v>380000000</c:v>
                </c:pt>
                <c:pt idx="70">
                  <c:v>380000000</c:v>
                </c:pt>
                <c:pt idx="71">
                  <c:v>380000000</c:v>
                </c:pt>
                <c:pt idx="72">
                  <c:v>380000000</c:v>
                </c:pt>
                <c:pt idx="73">
                  <c:v>380000000</c:v>
                </c:pt>
                <c:pt idx="74">
                  <c:v>380000000</c:v>
                </c:pt>
                <c:pt idx="75">
                  <c:v>380000000</c:v>
                </c:pt>
                <c:pt idx="76">
                  <c:v>380000000</c:v>
                </c:pt>
                <c:pt idx="77">
                  <c:v>380000000</c:v>
                </c:pt>
                <c:pt idx="78">
                  <c:v>380000000</c:v>
                </c:pt>
                <c:pt idx="79">
                  <c:v>380000000</c:v>
                </c:pt>
                <c:pt idx="80">
                  <c:v>380000000</c:v>
                </c:pt>
                <c:pt idx="81">
                  <c:v>380000000</c:v>
                </c:pt>
                <c:pt idx="82">
                  <c:v>380000000</c:v>
                </c:pt>
                <c:pt idx="83">
                  <c:v>380000000</c:v>
                </c:pt>
                <c:pt idx="84">
                  <c:v>380000000</c:v>
                </c:pt>
                <c:pt idx="85">
                  <c:v>380000000</c:v>
                </c:pt>
                <c:pt idx="86">
                  <c:v>380000000</c:v>
                </c:pt>
                <c:pt idx="87">
                  <c:v>380000000</c:v>
                </c:pt>
                <c:pt idx="88">
                  <c:v>380000000</c:v>
                </c:pt>
                <c:pt idx="89">
                  <c:v>380000000</c:v>
                </c:pt>
                <c:pt idx="90">
                  <c:v>380000000</c:v>
                </c:pt>
                <c:pt idx="91">
                  <c:v>380000000</c:v>
                </c:pt>
                <c:pt idx="92">
                  <c:v>380000000</c:v>
                </c:pt>
                <c:pt idx="93">
                  <c:v>380000000</c:v>
                </c:pt>
                <c:pt idx="94">
                  <c:v>380000000</c:v>
                </c:pt>
                <c:pt idx="95">
                  <c:v>380000000</c:v>
                </c:pt>
                <c:pt idx="96">
                  <c:v>380000000</c:v>
                </c:pt>
                <c:pt idx="97">
                  <c:v>380000000</c:v>
                </c:pt>
                <c:pt idx="98">
                  <c:v>380000000</c:v>
                </c:pt>
                <c:pt idx="99">
                  <c:v>380000000</c:v>
                </c:pt>
              </c:numCache>
            </c:numRef>
          </c:val>
          <c:smooth val="0"/>
          <c:extLst>
            <c:ext xmlns:c16="http://schemas.microsoft.com/office/drawing/2014/chart" uri="{C3380CC4-5D6E-409C-BE32-E72D297353CC}">
              <c16:uniqueId val="{00000005-8B49-494D-801D-745E5079E65B}"/>
            </c:ext>
          </c:extLst>
        </c:ser>
        <c:ser>
          <c:idx val="6"/>
          <c:order val="6"/>
          <c:tx>
            <c:v>Total Cost '</c:v>
          </c:tx>
          <c:spPr>
            <a:ln w="38100" cmpd="sng">
              <a:solidFill>
                <a:schemeClr val="accent4"/>
              </a:solidFill>
              <a:prstDash val="dash"/>
            </a:ln>
          </c:spPr>
          <c:marker>
            <c:symbol val="none"/>
          </c:marker>
          <c:val>
            <c:numRef>
              <c:f>'Evol of Costs and Rev'!$B$15:$CW$15</c:f>
              <c:numCache>
                <c:formatCode>_(* #,##0_);_(* \(#,##0\);_(* "-"??_);_(@_)</c:formatCode>
                <c:ptCount val="100"/>
                <c:pt idx="0">
                  <c:v>83158684.291249871</c:v>
                </c:pt>
                <c:pt idx="1">
                  <c:v>91986079.557152361</c:v>
                </c:pt>
                <c:pt idx="2">
                  <c:v>100870022.7283729</c:v>
                </c:pt>
                <c:pt idx="3">
                  <c:v>109811644.76301786</c:v>
                </c:pt>
                <c:pt idx="4">
                  <c:v>118812099.23835573</c:v>
                </c:pt>
                <c:pt idx="5">
                  <c:v>127872562.80320033</c:v>
                </c:pt>
                <c:pt idx="6">
                  <c:v>138994235.63934183</c:v>
                </c:pt>
                <c:pt idx="7">
                  <c:v>150178341.93220618</c:v>
                </c:pt>
                <c:pt idx="8">
                  <c:v>161426130.3509278</c:v>
                </c:pt>
                <c:pt idx="9">
                  <c:v>172738874.53802386</c:v>
                </c:pt>
                <c:pt idx="10">
                  <c:v>184117873.60886183</c:v>
                </c:pt>
                <c:pt idx="11">
                  <c:v>195564452.66111657</c:v>
                </c:pt>
                <c:pt idx="12">
                  <c:v>207079963.2944164</c:v>
                </c:pt>
                <c:pt idx="13">
                  <c:v>218665784.14038223</c:v>
                </c:pt>
                <c:pt idx="14">
                  <c:v>230323321.40326738</c:v>
                </c:pt>
                <c:pt idx="15">
                  <c:v>242054009.41141021</c:v>
                </c:pt>
                <c:pt idx="16">
                  <c:v>253859311.1797159</c:v>
                </c:pt>
                <c:pt idx="17">
                  <c:v>265740718.98338771</c:v>
                </c:pt>
                <c:pt idx="18">
                  <c:v>277699754.943133</c:v>
                </c:pt>
                <c:pt idx="19">
                  <c:v>289737971.62207311</c:v>
                </c:pt>
                <c:pt idx="20">
                  <c:v>301856952.63459206</c:v>
                </c:pt>
                <c:pt idx="21">
                  <c:v>314058313.2673614</c:v>
                </c:pt>
                <c:pt idx="22">
                  <c:v>326343701.11278617</c:v>
                </c:pt>
                <c:pt idx="23">
                  <c:v>338714796.71511936</c:v>
                </c:pt>
                <c:pt idx="24">
                  <c:v>351173314.22949928</c:v>
                </c:pt>
                <c:pt idx="25">
                  <c:v>363721002.09416676</c:v>
                </c:pt>
                <c:pt idx="26">
                  <c:v>376359643.71612757</c:v>
                </c:pt>
                <c:pt idx="27">
                  <c:v>389091058.17052764</c:v>
                </c:pt>
                <c:pt idx="28">
                  <c:v>401917100.91401565</c:v>
                </c:pt>
                <c:pt idx="29">
                  <c:v>414839664.51237351</c:v>
                </c:pt>
                <c:pt idx="30">
                  <c:v>427860679.38269848</c:v>
                </c:pt>
                <c:pt idx="31">
                  <c:v>440482114.55042994</c:v>
                </c:pt>
                <c:pt idx="32">
                  <c:v>453205978.42151606</c:v>
                </c:pt>
                <c:pt idx="33">
                  <c:v>466034319.57002389</c:v>
                </c:pt>
                <c:pt idx="34">
                  <c:v>478969227.54150188</c:v>
                </c:pt>
                <c:pt idx="35">
                  <c:v>492012833.67240942</c:v>
                </c:pt>
                <c:pt idx="36">
                  <c:v>505167311.92593503</c:v>
                </c:pt>
                <c:pt idx="37">
                  <c:v>518434879.74453127</c:v>
                </c:pt>
                <c:pt idx="38">
                  <c:v>531817798.9194994</c:v>
                </c:pt>
                <c:pt idx="39">
                  <c:v>545318376.4779669</c:v>
                </c:pt>
                <c:pt idx="40">
                  <c:v>558938965.58760369</c:v>
                </c:pt>
                <c:pt idx="41">
                  <c:v>572681966.4794333</c:v>
                </c:pt>
                <c:pt idx="42">
                  <c:v>586549827.38909948</c:v>
                </c:pt>
                <c:pt idx="43">
                  <c:v>600545045.51695895</c:v>
                </c:pt>
                <c:pt idx="44">
                  <c:v>614670168.00737572</c:v>
                </c:pt>
                <c:pt idx="45">
                  <c:v>628927792.9476006</c:v>
                </c:pt>
                <c:pt idx="46">
                  <c:v>643320570.38663018</c:v>
                </c:pt>
                <c:pt idx="47">
                  <c:v>657851203.37444019</c:v>
                </c:pt>
                <c:pt idx="48">
                  <c:v>672522449.02200651</c:v>
                </c:pt>
                <c:pt idx="49">
                  <c:v>687337119.58252418</c:v>
                </c:pt>
                <c:pt idx="50">
                  <c:v>702298083.55425215</c:v>
                </c:pt>
                <c:pt idx="51">
                  <c:v>709908266.80541468</c:v>
                </c:pt>
                <c:pt idx="52">
                  <c:v>717670653.72160053</c:v>
                </c:pt>
                <c:pt idx="53">
                  <c:v>725588288.37610996</c:v>
                </c:pt>
                <c:pt idx="54">
                  <c:v>733664275.72370958</c:v>
                </c:pt>
                <c:pt idx="55">
                  <c:v>741901782.81826138</c:v>
                </c:pt>
                <c:pt idx="56">
                  <c:v>750304040.05470407</c:v>
                </c:pt>
                <c:pt idx="57">
                  <c:v>758874342.43587565</c:v>
                </c:pt>
                <c:pt idx="58">
                  <c:v>767616050.86467063</c:v>
                </c:pt>
                <c:pt idx="59">
                  <c:v>776532593.46204162</c:v>
                </c:pt>
                <c:pt idx="60">
                  <c:v>785627466.91135991</c:v>
                </c:pt>
                <c:pt idx="61">
                  <c:v>794904237.82966459</c:v>
                </c:pt>
                <c:pt idx="62">
                  <c:v>804366544.16633534</c:v>
                </c:pt>
                <c:pt idx="63">
                  <c:v>814018096.62973952</c:v>
                </c:pt>
                <c:pt idx="64">
                  <c:v>823862680.14241195</c:v>
                </c:pt>
                <c:pt idx="65">
                  <c:v>833904155.32533765</c:v>
                </c:pt>
                <c:pt idx="66">
                  <c:v>844146460.01192188</c:v>
                </c:pt>
                <c:pt idx="67">
                  <c:v>854593610.79223776</c:v>
                </c:pt>
                <c:pt idx="68">
                  <c:v>865249704.58816004</c:v>
                </c:pt>
                <c:pt idx="69">
                  <c:v>876118920.26000082</c:v>
                </c:pt>
                <c:pt idx="70">
                  <c:v>887205520.24527836</c:v>
                </c:pt>
                <c:pt idx="71">
                  <c:v>898513852.23026145</c:v>
                </c:pt>
                <c:pt idx="72">
                  <c:v>910048350.85494423</c:v>
                </c:pt>
                <c:pt idx="73">
                  <c:v>921813539.45212054</c:v>
                </c:pt>
                <c:pt idx="74">
                  <c:v>933814031.82124043</c:v>
                </c:pt>
                <c:pt idx="75">
                  <c:v>946054534.03774273</c:v>
                </c:pt>
                <c:pt idx="76">
                  <c:v>958539846.29857504</c:v>
                </c:pt>
                <c:pt idx="77">
                  <c:v>971274864.80462408</c:v>
                </c:pt>
                <c:pt idx="78">
                  <c:v>984264583.680794</c:v>
                </c:pt>
                <c:pt idx="79">
                  <c:v>997514096.93448734</c:v>
                </c:pt>
                <c:pt idx="80">
                  <c:v>1011028600.4532546</c:v>
                </c:pt>
                <c:pt idx="81">
                  <c:v>1024813394.0423971</c:v>
                </c:pt>
                <c:pt idx="82">
                  <c:v>1038873883.5033226</c:v>
                </c:pt>
                <c:pt idx="83">
                  <c:v>1053215582.7534666</c:v>
                </c:pt>
                <c:pt idx="84">
                  <c:v>1067844115.9886135</c:v>
                </c:pt>
                <c:pt idx="85">
                  <c:v>1082765219.8884633</c:v>
                </c:pt>
                <c:pt idx="86">
                  <c:v>1097984745.8663101</c:v>
                </c:pt>
                <c:pt idx="87">
                  <c:v>1113508662.3637137</c:v>
                </c:pt>
                <c:pt idx="88">
                  <c:v>1129343057.1910655</c:v>
                </c:pt>
                <c:pt idx="89">
                  <c:v>1145494139.9149642</c:v>
                </c:pt>
                <c:pt idx="90">
                  <c:v>1161968244.2933412</c:v>
                </c:pt>
                <c:pt idx="91">
                  <c:v>1178771830.7592854</c:v>
                </c:pt>
                <c:pt idx="92">
                  <c:v>1195911488.9545484</c:v>
                </c:pt>
                <c:pt idx="93">
                  <c:v>1213393940.3137169</c:v>
                </c:pt>
                <c:pt idx="94">
                  <c:v>1231226040.7000687</c:v>
                </c:pt>
                <c:pt idx="95">
                  <c:v>1249414783.0941477</c:v>
                </c:pt>
                <c:pt idx="96">
                  <c:v>1267967300.336108</c:v>
                </c:pt>
                <c:pt idx="97">
                  <c:v>1286890867.9229076</c:v>
                </c:pt>
                <c:pt idx="98">
                  <c:v>1306192906.8614433</c:v>
                </c:pt>
                <c:pt idx="99">
                  <c:v>1325880986.5787497</c:v>
                </c:pt>
              </c:numCache>
            </c:numRef>
          </c:val>
          <c:smooth val="0"/>
          <c:extLst>
            <c:ext xmlns:c16="http://schemas.microsoft.com/office/drawing/2014/chart" uri="{C3380CC4-5D6E-409C-BE32-E72D297353CC}">
              <c16:uniqueId val="{00000006-8B49-494D-801D-745E5079E65B}"/>
            </c:ext>
          </c:extLst>
        </c:ser>
        <c:dLbls>
          <c:showLegendKey val="0"/>
          <c:showVal val="0"/>
          <c:showCatName val="0"/>
          <c:showSerName val="0"/>
          <c:showPercent val="0"/>
          <c:showBubbleSize val="0"/>
        </c:dLbls>
        <c:smooth val="0"/>
        <c:axId val="455852589"/>
        <c:axId val="567234454"/>
      </c:lineChart>
      <c:catAx>
        <c:axId val="45585258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567234454"/>
        <c:crosses val="autoZero"/>
        <c:auto val="1"/>
        <c:lblAlgn val="ctr"/>
        <c:lblOffset val="100"/>
        <c:noMultiLvlLbl val="1"/>
      </c:catAx>
      <c:valAx>
        <c:axId val="56723445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_(* #,##0_);_(* \(#,##0\);_(* &quot;-&quot;??_);_(@_)" sourceLinked="1"/>
        <c:majorTickMark val="none"/>
        <c:minorTickMark val="none"/>
        <c:tickLblPos val="nextTo"/>
        <c:spPr>
          <a:ln/>
        </c:spPr>
        <c:txPr>
          <a:bodyPr/>
          <a:lstStyle/>
          <a:p>
            <a:pPr lvl="0">
              <a:defRPr sz="900" b="0" i="0">
                <a:solidFill>
                  <a:srgbClr val="000000"/>
                </a:solidFill>
                <a:latin typeface="+mn-lt"/>
              </a:defRPr>
            </a:pPr>
            <a:endParaRPr lang="en-US"/>
          </a:p>
        </c:txPr>
        <c:crossAx val="455852589"/>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6</xdr:col>
      <xdr:colOff>676275</xdr:colOff>
      <xdr:row>85</xdr:row>
      <xdr:rowOff>104775</xdr:rowOff>
    </xdr:from>
    <xdr:ext cx="5715000" cy="3533775"/>
    <xdr:graphicFrame macro="">
      <xdr:nvGraphicFramePr>
        <xdr:cNvPr id="702152468" name="Chart 1" title="Chart">
          <a:extLst>
            <a:ext uri="{FF2B5EF4-FFF2-40B4-BE49-F238E27FC236}">
              <a16:creationId xmlns:a16="http://schemas.microsoft.com/office/drawing/2014/main" id="{00000000-0008-0000-0000-000014FFD9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13</xdr:col>
      <xdr:colOff>0</xdr:colOff>
      <xdr:row>1</xdr:row>
      <xdr:rowOff>0</xdr:rowOff>
    </xdr:from>
    <xdr:ext cx="4895850" cy="2647950"/>
    <xdr:graphicFrame macro="">
      <xdr:nvGraphicFramePr>
        <xdr:cNvPr id="38649985" name="Chart 2">
          <a:extLst>
            <a:ext uri="{FF2B5EF4-FFF2-40B4-BE49-F238E27FC236}">
              <a16:creationId xmlns:a16="http://schemas.microsoft.com/office/drawing/2014/main" id="{00000000-0008-0000-0100-000081C04D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13</xdr:col>
      <xdr:colOff>0</xdr:colOff>
      <xdr:row>18</xdr:row>
      <xdr:rowOff>0</xdr:rowOff>
    </xdr:from>
    <xdr:ext cx="4895850" cy="2647950"/>
    <xdr:graphicFrame macro="">
      <xdr:nvGraphicFramePr>
        <xdr:cNvPr id="44334639" name="Chart 3">
          <a:extLst>
            <a:ext uri="{FF2B5EF4-FFF2-40B4-BE49-F238E27FC236}">
              <a16:creationId xmlns:a16="http://schemas.microsoft.com/office/drawing/2014/main" id="{00000000-0008-0000-0100-00002F7EA4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13</xdr:col>
      <xdr:colOff>0</xdr:colOff>
      <xdr:row>43</xdr:row>
      <xdr:rowOff>0</xdr:rowOff>
    </xdr:from>
    <xdr:ext cx="4895850" cy="2647950"/>
    <xdr:graphicFrame macro="">
      <xdr:nvGraphicFramePr>
        <xdr:cNvPr id="1546795503" name="Chart 4">
          <a:extLst>
            <a:ext uri="{FF2B5EF4-FFF2-40B4-BE49-F238E27FC236}">
              <a16:creationId xmlns:a16="http://schemas.microsoft.com/office/drawing/2014/main" id="{00000000-0008-0000-0100-0000EF3932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13</xdr:col>
      <xdr:colOff>0</xdr:colOff>
      <xdr:row>62</xdr:row>
      <xdr:rowOff>0</xdr:rowOff>
    </xdr:from>
    <xdr:ext cx="6724650" cy="2647950"/>
    <xdr:graphicFrame macro="">
      <xdr:nvGraphicFramePr>
        <xdr:cNvPr id="548405675" name="Chart 5">
          <a:extLst>
            <a:ext uri="{FF2B5EF4-FFF2-40B4-BE49-F238E27FC236}">
              <a16:creationId xmlns:a16="http://schemas.microsoft.com/office/drawing/2014/main" id="{00000000-0008-0000-0100-0000AB01B0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13</xdr:col>
      <xdr:colOff>0</xdr:colOff>
      <xdr:row>105</xdr:row>
      <xdr:rowOff>0</xdr:rowOff>
    </xdr:from>
    <xdr:ext cx="4895850" cy="2647950"/>
    <xdr:graphicFrame macro="">
      <xdr:nvGraphicFramePr>
        <xdr:cNvPr id="1891654919" name="Chart 6">
          <a:extLst>
            <a:ext uri="{FF2B5EF4-FFF2-40B4-BE49-F238E27FC236}">
              <a16:creationId xmlns:a16="http://schemas.microsoft.com/office/drawing/2014/main" id="{00000000-0008-0000-0100-0000075DC0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13</xdr:col>
      <xdr:colOff>0</xdr:colOff>
      <xdr:row>124</xdr:row>
      <xdr:rowOff>0</xdr:rowOff>
    </xdr:from>
    <xdr:ext cx="4895850" cy="2647950"/>
    <xdr:graphicFrame macro="">
      <xdr:nvGraphicFramePr>
        <xdr:cNvPr id="1141062370" name="Chart 7">
          <a:extLst>
            <a:ext uri="{FF2B5EF4-FFF2-40B4-BE49-F238E27FC236}">
              <a16:creationId xmlns:a16="http://schemas.microsoft.com/office/drawing/2014/main" id="{00000000-0008-0000-0100-0000E23A03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28</xdr:row>
      <xdr:rowOff>0</xdr:rowOff>
    </xdr:from>
    <xdr:ext cx="8210550" cy="4429125"/>
    <xdr:graphicFrame macro="">
      <xdr:nvGraphicFramePr>
        <xdr:cNvPr id="720768688" name="Chart 8">
          <a:extLst>
            <a:ext uri="{FF2B5EF4-FFF2-40B4-BE49-F238E27FC236}">
              <a16:creationId xmlns:a16="http://schemas.microsoft.com/office/drawing/2014/main" id="{00000000-0008-0000-0300-0000B00EF6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11</xdr:col>
      <xdr:colOff>0</xdr:colOff>
      <xdr:row>28</xdr:row>
      <xdr:rowOff>0</xdr:rowOff>
    </xdr:from>
    <xdr:ext cx="7915275" cy="4448175"/>
    <xdr:graphicFrame macro="">
      <xdr:nvGraphicFramePr>
        <xdr:cNvPr id="1094904646" name="Chart 9">
          <a:extLst>
            <a:ext uri="{FF2B5EF4-FFF2-40B4-BE49-F238E27FC236}">
              <a16:creationId xmlns:a16="http://schemas.microsoft.com/office/drawing/2014/main" id="{00000000-0008-0000-0300-000046EB42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xdr:col>
      <xdr:colOff>0</xdr:colOff>
      <xdr:row>57</xdr:row>
      <xdr:rowOff>0</xdr:rowOff>
    </xdr:from>
    <xdr:ext cx="8210550" cy="4429125"/>
    <xdr:graphicFrame macro="">
      <xdr:nvGraphicFramePr>
        <xdr:cNvPr id="2006106400" name="Chart 10">
          <a:extLst>
            <a:ext uri="{FF2B5EF4-FFF2-40B4-BE49-F238E27FC236}">
              <a16:creationId xmlns:a16="http://schemas.microsoft.com/office/drawing/2014/main" id="{00000000-0008-0000-0300-000020C192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hyperlink" Target="http://www.pcwwa.org/wp-content/uploads/2018/05/2018-Watermain-Breaks-Study.pdf" TargetMode="External"/><Relationship Id="rId13" Type="http://schemas.openxmlformats.org/officeDocument/2006/relationships/hyperlink" Target="https://www.epa.gov/sites/production/files/2015-04/documents/epa816f13002.pdf" TargetMode="External"/><Relationship Id="rId18" Type="http://schemas.openxmlformats.org/officeDocument/2006/relationships/hyperlink" Target="https://www1.nyc.gov/assets/operations/downloads/pdf/pmmr2020/dep.pdf" TargetMode="External"/><Relationship Id="rId3" Type="http://schemas.openxmlformats.org/officeDocument/2006/relationships/hyperlink" Target="https://www.nytimes.com/interactive/2016/08/18/nyregion/new-york-101-streets-repair-and-maintenance.html" TargetMode="External"/><Relationship Id="rId21" Type="http://schemas.openxmlformats.org/officeDocument/2006/relationships/comments" Target="../comments3.xml"/><Relationship Id="rId7" Type="http://schemas.openxmlformats.org/officeDocument/2006/relationships/hyperlink" Target="http://www.city-data.com/zips/10038.html" TargetMode="External"/><Relationship Id="rId12" Type="http://schemas.openxmlformats.org/officeDocument/2006/relationships/hyperlink" Target="https://www1.nyc.gov/assets/operations/downloads/pdf/pmmr2020/dep.pdf" TargetMode="External"/><Relationship Id="rId17" Type="http://schemas.openxmlformats.org/officeDocument/2006/relationships/hyperlink" Target="https://injuryfacts.nsc.org/work/costs/work-injury-costs/" TargetMode="External"/><Relationship Id="rId2" Type="http://schemas.openxmlformats.org/officeDocument/2006/relationships/hyperlink" Target="https://www.coned.com/en/accounts-billing/your-bill/about-con-edisons-rates" TargetMode="External"/><Relationship Id="rId16" Type="http://schemas.openxmlformats.org/officeDocument/2006/relationships/hyperlink" Target="https://www.osc.state.ny.us/retire/members/death_benefits.php" TargetMode="External"/><Relationship Id="rId20" Type="http://schemas.openxmlformats.org/officeDocument/2006/relationships/vmlDrawing" Target="../drawings/vmlDrawing3.vml"/><Relationship Id="rId1" Type="http://schemas.openxmlformats.org/officeDocument/2006/relationships/hyperlink" Target="https://www1.nyc.gov/assets/operations/downloads/pdf/mmr2019/2019_mmr.pdf" TargetMode="External"/><Relationship Id="rId6" Type="http://schemas.openxmlformats.org/officeDocument/2006/relationships/hyperlink" Target="https://www.cga-dirt.com/annual/2018/DIRT_Report_2018_Final.pdf" TargetMode="External"/><Relationship Id="rId11" Type="http://schemas.openxmlformats.org/officeDocument/2006/relationships/hyperlink" Target="https://injuryfacts.nsc.org/work/costs/work-injury-costs/" TargetMode="External"/><Relationship Id="rId5" Type="http://schemas.openxmlformats.org/officeDocument/2006/relationships/hyperlink" Target="https://www.nytimes.com/interactive/2016/08/18/nyregion/new-york-101-streets-repair-and-maintenance.html" TargetMode="External"/><Relationship Id="rId15" Type="http://schemas.openxmlformats.org/officeDocument/2006/relationships/hyperlink" Target="https://www.cga-dirt.com/annual/2018/DIRT_Report_2018_Final.pdf" TargetMode="External"/><Relationship Id="rId10" Type="http://schemas.openxmlformats.org/officeDocument/2006/relationships/hyperlink" Target="https://www.osc.state.ny.us/retire/members/death_benefits.php" TargetMode="External"/><Relationship Id="rId19" Type="http://schemas.openxmlformats.org/officeDocument/2006/relationships/hyperlink" Target="https://www.epa.gov/sites/production/files/2015-04/documents/epa816f13002.pdf" TargetMode="External"/><Relationship Id="rId4" Type="http://schemas.openxmlformats.org/officeDocument/2006/relationships/hyperlink" Target="https://thecity.nyc/2020/02/its-manhole-explosion-season-on-new-york-city-streets.html" TargetMode="External"/><Relationship Id="rId9" Type="http://schemas.openxmlformats.org/officeDocument/2006/relationships/hyperlink" Target="https://www.cga-dirt.com/annual/2018/DIRT_Report_2018_Final.pdf" TargetMode="External"/><Relationship Id="rId14" Type="http://schemas.openxmlformats.org/officeDocument/2006/relationships/hyperlink" Target="http://www.pcwwa.org/wp-content/uploads/2018/05/2018-Watermain-Breaks-Study.pd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nytimes.com/interactive/2016/08/18/nyregion/new-york-101-streets-repair-and-maintenance.html" TargetMode="External"/><Relationship Id="rId13" Type="http://schemas.openxmlformats.org/officeDocument/2006/relationships/hyperlink" Target="https://www.cga-dirt.com/annual/2018/DIRT_Report_2018_Final.pdf" TargetMode="External"/><Relationship Id="rId3" Type="http://schemas.openxmlformats.org/officeDocument/2006/relationships/hyperlink" Target="https://www1.nyc.gov/assets/operations/downloads/pdf/mmr2019/2019_mmr.pdf" TargetMode="External"/><Relationship Id="rId7" Type="http://schemas.openxmlformats.org/officeDocument/2006/relationships/hyperlink" Target="https://www.coned.com/en/accounts-billing/your-bill/about-con-edisons-rates" TargetMode="External"/><Relationship Id="rId12" Type="http://schemas.openxmlformats.org/officeDocument/2006/relationships/hyperlink" Target="https://www1.nyc.gov/assets/operations/downloads/pdf/mmr2019/2019_mmr.pdf" TargetMode="External"/><Relationship Id="rId17" Type="http://schemas.openxmlformats.org/officeDocument/2006/relationships/comments" Target="../comments4.xml"/><Relationship Id="rId2" Type="http://schemas.openxmlformats.org/officeDocument/2006/relationships/hyperlink" Target="https://www1.nyc.gov/assets/operations/downloads/pdf/mmr2019/2019_mmr.pdf" TargetMode="External"/><Relationship Id="rId16" Type="http://schemas.openxmlformats.org/officeDocument/2006/relationships/vmlDrawing" Target="../drawings/vmlDrawing4.vml"/><Relationship Id="rId1" Type="http://schemas.openxmlformats.org/officeDocument/2006/relationships/hyperlink" Target="https://www.informs.org/ORMS-Today/Public-Articles/June-Volume-41-Number-3/POTHOLE-ANALYTICS" TargetMode="External"/><Relationship Id="rId6" Type="http://schemas.openxmlformats.org/officeDocument/2006/relationships/hyperlink" Target="https://injuryfacts.nsc.org/work/costs/work-injury-costs/" TargetMode="External"/><Relationship Id="rId11" Type="http://schemas.openxmlformats.org/officeDocument/2006/relationships/hyperlink" Target="http://www.city-data.com/zips/10038.html" TargetMode="External"/><Relationship Id="rId5" Type="http://schemas.openxmlformats.org/officeDocument/2006/relationships/hyperlink" Target="https://www.osc.state.ny.us/retire/members/death_benefits.php" TargetMode="External"/><Relationship Id="rId15" Type="http://schemas.openxmlformats.org/officeDocument/2006/relationships/hyperlink" Target="https://injuryfacts.nsc.org/work/costs/work-injury-costs/" TargetMode="External"/><Relationship Id="rId10" Type="http://schemas.openxmlformats.org/officeDocument/2006/relationships/hyperlink" Target="https://www.cga-dirt.com/annual/2018/DIRT_Report_2018_Final.pdf" TargetMode="External"/><Relationship Id="rId4" Type="http://schemas.openxmlformats.org/officeDocument/2006/relationships/hyperlink" Target="https://www.cga-dirt.com/annual/2018/DIRT_Report_2018_Final.pdf" TargetMode="External"/><Relationship Id="rId9" Type="http://schemas.openxmlformats.org/officeDocument/2006/relationships/hyperlink" Target="https://www.nytimes.com/interactive/2016/08/18/nyregion/new-york-101-streets-repair-and-maintenance.html" TargetMode="External"/><Relationship Id="rId14" Type="http://schemas.openxmlformats.org/officeDocument/2006/relationships/hyperlink" Target="https://www.osc.state.ny.us/retire/members/death_benefits.php" TargetMode="Externa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8" Type="http://schemas.openxmlformats.org/officeDocument/2006/relationships/hyperlink" Target="https://ops.fhwa.dot.gov/wz/resources/publications/fhwahop12005/sec2.htm" TargetMode="External"/><Relationship Id="rId13" Type="http://schemas.openxmlformats.org/officeDocument/2006/relationships/hyperlink" Target="https://www.careerexplorer.com/careers/construction-worker/salary/new-york/" TargetMode="External"/><Relationship Id="rId3" Type="http://schemas.openxmlformats.org/officeDocument/2006/relationships/hyperlink" Target="https://data.ny.gov/Transportation/Daily-Vehicle-Miles-of-Travel-Beginning-1985/fsr4-j7q5" TargetMode="External"/><Relationship Id="rId7" Type="http://schemas.openxmlformats.org/officeDocument/2006/relationships/hyperlink" Target="https://ops.fhwa.dot.gov/wz/resources/publications/fhwahop12005/sec2.htm" TargetMode="External"/><Relationship Id="rId12" Type="http://schemas.openxmlformats.org/officeDocument/2006/relationships/hyperlink" Target="https://www.in2013dollars.com/us/inflation/2007?amount=1.25" TargetMode="External"/><Relationship Id="rId2" Type="http://schemas.openxmlformats.org/officeDocument/2006/relationships/hyperlink" Target="https://www.nytimes.com/2020/02/12/nyregion/nyc-water-mains.html" TargetMode="External"/><Relationship Id="rId16" Type="http://schemas.openxmlformats.org/officeDocument/2006/relationships/comments" Target="../comments6.xml"/><Relationship Id="rId1" Type="http://schemas.openxmlformats.org/officeDocument/2006/relationships/hyperlink" Target="http://www.bostonplans.org/getattachment/dd24634f-8430-49ae-93cc-776922f4beb9" TargetMode="External"/><Relationship Id="rId6" Type="http://schemas.openxmlformats.org/officeDocument/2006/relationships/hyperlink" Target="https://gis.dot.ny.gov/html5viewer/?viewer=tdv" TargetMode="External"/><Relationship Id="rId11" Type="http://schemas.openxmlformats.org/officeDocument/2006/relationships/hyperlink" Target="https://www.vtpi.org/tca/tca0502.pdf" TargetMode="External"/><Relationship Id="rId5" Type="http://schemas.openxmlformats.org/officeDocument/2006/relationships/hyperlink" Target="http://www.nyc.gov/html/dot/downloads/pdf/mobility-report-2018-screen-optimized.pdf" TargetMode="External"/><Relationship Id="rId15" Type="http://schemas.openxmlformats.org/officeDocument/2006/relationships/vmlDrawing" Target="../drawings/vmlDrawing6.vml"/><Relationship Id="rId10" Type="http://schemas.openxmlformats.org/officeDocument/2006/relationships/hyperlink" Target="https://www.vtpi.org/tca/tca0502.pdf" TargetMode="External"/><Relationship Id="rId4" Type="http://schemas.openxmlformats.org/officeDocument/2006/relationships/hyperlink" Target="https://www.riskmanagementmonitor.com/potholes-cost-nyc-27-6-million-in-settlements-per-year/" TargetMode="External"/><Relationship Id="rId9" Type="http://schemas.openxmlformats.org/officeDocument/2006/relationships/hyperlink" Target="https://www.census.gov/library/stories/2019/09/us-median-household-income-up-in-2018-from-2017.html" TargetMode="External"/><Relationship Id="rId14" Type="http://schemas.openxmlformats.org/officeDocument/2006/relationships/hyperlink" Target="http://www.csgnetwork.com/asphaltmixcalc.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CY313"/>
  <sheetViews>
    <sheetView tabSelected="1" topLeftCell="A72" zoomScale="125" workbookViewId="0">
      <selection activeCell="B89" sqref="B89"/>
    </sheetView>
  </sheetViews>
  <sheetFormatPr defaultColWidth="12.7109375" defaultRowHeight="15" customHeight="1" outlineLevelRow="2" x14ac:dyDescent="0.2"/>
  <cols>
    <col min="1" max="1" width="41.42578125" customWidth="1"/>
    <col min="2" max="3" width="23.42578125" customWidth="1"/>
    <col min="4" max="4" width="17.42578125" customWidth="1"/>
    <col min="5" max="5" width="18.42578125" customWidth="1"/>
    <col min="6" max="7" width="14.42578125" customWidth="1"/>
    <col min="8" max="8" width="21.42578125" customWidth="1"/>
    <col min="9" max="9" width="14.42578125" customWidth="1"/>
    <col min="10" max="11" width="15.42578125" customWidth="1"/>
    <col min="12" max="103" width="14.42578125" customWidth="1"/>
  </cols>
  <sheetData>
    <row r="1" spans="1:103" ht="15" customHeight="1" x14ac:dyDescent="0.25">
      <c r="A1" s="1" t="s">
        <v>0</v>
      </c>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row>
    <row r="2" spans="1:103" ht="12.75" x14ac:dyDescent="0.2">
      <c r="A2" s="3" t="s">
        <v>1</v>
      </c>
      <c r="B2" s="4"/>
      <c r="C2" s="4"/>
      <c r="D2" s="5">
        <f>'Sensitivity Analysis'!B5</f>
        <v>0.04</v>
      </c>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row>
    <row r="3" spans="1:103" ht="12.75" x14ac:dyDescent="0.2">
      <c r="A3" s="3" t="s">
        <v>2</v>
      </c>
      <c r="B3" s="4"/>
      <c r="C3" s="4"/>
      <c r="D3" s="5">
        <f>'Sensitivity Analysis'!B6</f>
        <v>0.33</v>
      </c>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row>
    <row r="4" spans="1:103" ht="12.75" x14ac:dyDescent="0.2">
      <c r="A4" s="3" t="s">
        <v>3</v>
      </c>
      <c r="B4" s="4"/>
      <c r="C4" s="4"/>
      <c r="D4" s="5">
        <f>'Sensitivity Analysis'!B7</f>
        <v>1</v>
      </c>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row>
    <row r="5" spans="1:103" ht="12.75" x14ac:dyDescent="0.2">
      <c r="A5" s="3" t="s">
        <v>4</v>
      </c>
      <c r="B5" s="4"/>
      <c r="C5" s="4"/>
      <c r="D5" s="5">
        <f>'Sensitivity Analysis'!B8</f>
        <v>0.2</v>
      </c>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row>
    <row r="6" spans="1:103" ht="12.75" x14ac:dyDescent="0.2">
      <c r="A6" s="3" t="s">
        <v>5</v>
      </c>
      <c r="B6" s="4"/>
      <c r="C6" s="4"/>
      <c r="D6" s="5">
        <f>'Sensitivity Analysis'!B9</f>
        <v>0.02</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row>
    <row r="7" spans="1:103" ht="12.75" x14ac:dyDescent="0.2">
      <c r="A7" s="3" t="s">
        <v>6</v>
      </c>
      <c r="B7" s="4"/>
      <c r="C7" s="4"/>
      <c r="D7" s="5">
        <f>'Sensitivity Analysis'!B10</f>
        <v>0.8</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row>
    <row r="8" spans="1:103" ht="12.75" x14ac:dyDescent="0.2">
      <c r="A8" s="3" t="s">
        <v>7</v>
      </c>
      <c r="B8" s="4"/>
      <c r="C8" s="4"/>
      <c r="D8" s="6">
        <f>'Sensitivity Analysis'!B11</f>
        <v>800</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row>
    <row r="9" spans="1:103" ht="12.75" x14ac:dyDescent="0.2">
      <c r="A9" s="3" t="s">
        <v>8</v>
      </c>
      <c r="B9" s="4"/>
      <c r="C9" s="4"/>
      <c r="D9" s="6">
        <f>'Sensitivity Analysis'!B12</f>
        <v>25</v>
      </c>
      <c r="E9" s="4"/>
      <c r="F9" s="7"/>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row>
    <row r="10" spans="1:103" ht="12.75" x14ac:dyDescent="0.2">
      <c r="A10" s="3" t="s">
        <v>9</v>
      </c>
      <c r="B10" s="4"/>
      <c r="C10" s="4"/>
      <c r="D10" s="6">
        <f>'Sensitivity Analysis'!B13</f>
        <v>20</v>
      </c>
      <c r="E10" s="4"/>
      <c r="F10" s="7"/>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row>
    <row r="11" spans="1:103" ht="12.75" x14ac:dyDescent="0.2">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row>
    <row r="12" spans="1:103" ht="15" customHeight="1" x14ac:dyDescent="0.25">
      <c r="A12" s="1" t="s">
        <v>10</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row>
    <row r="13" spans="1:103" ht="12.75" outlineLevel="1" x14ac:dyDescent="0.2">
      <c r="A13" s="8" t="s">
        <v>11</v>
      </c>
      <c r="B13" s="8"/>
      <c r="C13" s="8">
        <v>0</v>
      </c>
      <c r="D13" s="8">
        <f t="shared" ref="D13:CY13" si="0">C13+1</f>
        <v>1</v>
      </c>
      <c r="E13" s="9">
        <f t="shared" si="0"/>
        <v>2</v>
      </c>
      <c r="F13" s="8">
        <f t="shared" si="0"/>
        <v>3</v>
      </c>
      <c r="G13" s="8">
        <f t="shared" si="0"/>
        <v>4</v>
      </c>
      <c r="H13" s="8">
        <f t="shared" si="0"/>
        <v>5</v>
      </c>
      <c r="I13" s="8">
        <f t="shared" si="0"/>
        <v>6</v>
      </c>
      <c r="J13" s="8">
        <f t="shared" si="0"/>
        <v>7</v>
      </c>
      <c r="K13" s="8">
        <f t="shared" si="0"/>
        <v>8</v>
      </c>
      <c r="L13" s="8">
        <f t="shared" si="0"/>
        <v>9</v>
      </c>
      <c r="M13" s="8">
        <f t="shared" si="0"/>
        <v>10</v>
      </c>
      <c r="N13" s="8">
        <f t="shared" si="0"/>
        <v>11</v>
      </c>
      <c r="O13" s="8">
        <f t="shared" si="0"/>
        <v>12</v>
      </c>
      <c r="P13" s="8">
        <f t="shared" si="0"/>
        <v>13</v>
      </c>
      <c r="Q13" s="8">
        <f t="shared" si="0"/>
        <v>14</v>
      </c>
      <c r="R13" s="8">
        <f t="shared" si="0"/>
        <v>15</v>
      </c>
      <c r="S13" s="8">
        <f t="shared" si="0"/>
        <v>16</v>
      </c>
      <c r="T13" s="8">
        <f t="shared" si="0"/>
        <v>17</v>
      </c>
      <c r="U13" s="8">
        <f t="shared" si="0"/>
        <v>18</v>
      </c>
      <c r="V13" s="8">
        <f t="shared" si="0"/>
        <v>19</v>
      </c>
      <c r="W13" s="8">
        <f t="shared" si="0"/>
        <v>20</v>
      </c>
      <c r="X13" s="8">
        <f t="shared" si="0"/>
        <v>21</v>
      </c>
      <c r="Y13" s="8">
        <f t="shared" si="0"/>
        <v>22</v>
      </c>
      <c r="Z13" s="8">
        <f t="shared" si="0"/>
        <v>23</v>
      </c>
      <c r="AA13" s="8">
        <f t="shared" si="0"/>
        <v>24</v>
      </c>
      <c r="AB13" s="8">
        <f t="shared" si="0"/>
        <v>25</v>
      </c>
      <c r="AC13" s="8">
        <f t="shared" si="0"/>
        <v>26</v>
      </c>
      <c r="AD13" s="8">
        <f t="shared" si="0"/>
        <v>27</v>
      </c>
      <c r="AE13" s="8">
        <f t="shared" si="0"/>
        <v>28</v>
      </c>
      <c r="AF13" s="8">
        <f t="shared" si="0"/>
        <v>29</v>
      </c>
      <c r="AG13" s="8">
        <f t="shared" si="0"/>
        <v>30</v>
      </c>
      <c r="AH13" s="8">
        <f t="shared" si="0"/>
        <v>31</v>
      </c>
      <c r="AI13" s="8">
        <f t="shared" si="0"/>
        <v>32</v>
      </c>
      <c r="AJ13" s="8">
        <f t="shared" si="0"/>
        <v>33</v>
      </c>
      <c r="AK13" s="8">
        <f t="shared" si="0"/>
        <v>34</v>
      </c>
      <c r="AL13" s="8">
        <f t="shared" si="0"/>
        <v>35</v>
      </c>
      <c r="AM13" s="8">
        <f t="shared" si="0"/>
        <v>36</v>
      </c>
      <c r="AN13" s="8">
        <f t="shared" si="0"/>
        <v>37</v>
      </c>
      <c r="AO13" s="8">
        <f t="shared" si="0"/>
        <v>38</v>
      </c>
      <c r="AP13" s="8">
        <f t="shared" si="0"/>
        <v>39</v>
      </c>
      <c r="AQ13" s="8">
        <f t="shared" si="0"/>
        <v>40</v>
      </c>
      <c r="AR13" s="8">
        <f t="shared" si="0"/>
        <v>41</v>
      </c>
      <c r="AS13" s="8">
        <f t="shared" si="0"/>
        <v>42</v>
      </c>
      <c r="AT13" s="8">
        <f t="shared" si="0"/>
        <v>43</v>
      </c>
      <c r="AU13" s="8">
        <f t="shared" si="0"/>
        <v>44</v>
      </c>
      <c r="AV13" s="8">
        <f t="shared" si="0"/>
        <v>45</v>
      </c>
      <c r="AW13" s="8">
        <f t="shared" si="0"/>
        <v>46</v>
      </c>
      <c r="AX13" s="8">
        <f t="shared" si="0"/>
        <v>47</v>
      </c>
      <c r="AY13" s="8">
        <f t="shared" si="0"/>
        <v>48</v>
      </c>
      <c r="AZ13" s="8">
        <f t="shared" si="0"/>
        <v>49</v>
      </c>
      <c r="BA13" s="8">
        <f t="shared" si="0"/>
        <v>50</v>
      </c>
      <c r="BB13" s="8">
        <f t="shared" si="0"/>
        <v>51</v>
      </c>
      <c r="BC13" s="8">
        <f t="shared" si="0"/>
        <v>52</v>
      </c>
      <c r="BD13" s="8">
        <f t="shared" si="0"/>
        <v>53</v>
      </c>
      <c r="BE13" s="8">
        <f t="shared" si="0"/>
        <v>54</v>
      </c>
      <c r="BF13" s="8">
        <f t="shared" si="0"/>
        <v>55</v>
      </c>
      <c r="BG13" s="8">
        <f t="shared" si="0"/>
        <v>56</v>
      </c>
      <c r="BH13" s="8">
        <f t="shared" si="0"/>
        <v>57</v>
      </c>
      <c r="BI13" s="8">
        <f t="shared" si="0"/>
        <v>58</v>
      </c>
      <c r="BJ13" s="8">
        <f t="shared" si="0"/>
        <v>59</v>
      </c>
      <c r="BK13" s="8">
        <f t="shared" si="0"/>
        <v>60</v>
      </c>
      <c r="BL13" s="8">
        <f t="shared" si="0"/>
        <v>61</v>
      </c>
      <c r="BM13" s="8">
        <f t="shared" si="0"/>
        <v>62</v>
      </c>
      <c r="BN13" s="8">
        <f t="shared" si="0"/>
        <v>63</v>
      </c>
      <c r="BO13" s="8">
        <f t="shared" si="0"/>
        <v>64</v>
      </c>
      <c r="BP13" s="8">
        <f t="shared" si="0"/>
        <v>65</v>
      </c>
      <c r="BQ13" s="8">
        <f t="shared" si="0"/>
        <v>66</v>
      </c>
      <c r="BR13" s="8">
        <f t="shared" si="0"/>
        <v>67</v>
      </c>
      <c r="BS13" s="8">
        <f t="shared" si="0"/>
        <v>68</v>
      </c>
      <c r="BT13" s="8">
        <f t="shared" si="0"/>
        <v>69</v>
      </c>
      <c r="BU13" s="8">
        <f t="shared" si="0"/>
        <v>70</v>
      </c>
      <c r="BV13" s="8">
        <f t="shared" si="0"/>
        <v>71</v>
      </c>
      <c r="BW13" s="8">
        <f t="shared" si="0"/>
        <v>72</v>
      </c>
      <c r="BX13" s="8">
        <f t="shared" si="0"/>
        <v>73</v>
      </c>
      <c r="BY13" s="8">
        <f t="shared" si="0"/>
        <v>74</v>
      </c>
      <c r="BZ13" s="8">
        <f t="shared" si="0"/>
        <v>75</v>
      </c>
      <c r="CA13" s="8">
        <f t="shared" si="0"/>
        <v>76</v>
      </c>
      <c r="CB13" s="8">
        <f t="shared" si="0"/>
        <v>77</v>
      </c>
      <c r="CC13" s="8">
        <f t="shared" si="0"/>
        <v>78</v>
      </c>
      <c r="CD13" s="8">
        <f t="shared" si="0"/>
        <v>79</v>
      </c>
      <c r="CE13" s="8">
        <f t="shared" si="0"/>
        <v>80</v>
      </c>
      <c r="CF13" s="8">
        <f t="shared" si="0"/>
        <v>81</v>
      </c>
      <c r="CG13" s="8">
        <f t="shared" si="0"/>
        <v>82</v>
      </c>
      <c r="CH13" s="8">
        <f t="shared" si="0"/>
        <v>83</v>
      </c>
      <c r="CI13" s="8">
        <f t="shared" si="0"/>
        <v>84</v>
      </c>
      <c r="CJ13" s="8">
        <f t="shared" si="0"/>
        <v>85</v>
      </c>
      <c r="CK13" s="8">
        <f t="shared" si="0"/>
        <v>86</v>
      </c>
      <c r="CL13" s="8">
        <f t="shared" si="0"/>
        <v>87</v>
      </c>
      <c r="CM13" s="8">
        <f t="shared" si="0"/>
        <v>88</v>
      </c>
      <c r="CN13" s="8">
        <f t="shared" si="0"/>
        <v>89</v>
      </c>
      <c r="CO13" s="8">
        <f t="shared" si="0"/>
        <v>90</v>
      </c>
      <c r="CP13" s="8">
        <f t="shared" si="0"/>
        <v>91</v>
      </c>
      <c r="CQ13" s="8">
        <f t="shared" si="0"/>
        <v>92</v>
      </c>
      <c r="CR13" s="8">
        <f t="shared" si="0"/>
        <v>93</v>
      </c>
      <c r="CS13" s="8">
        <f t="shared" si="0"/>
        <v>94</v>
      </c>
      <c r="CT13" s="8">
        <f t="shared" si="0"/>
        <v>95</v>
      </c>
      <c r="CU13" s="8">
        <f t="shared" si="0"/>
        <v>96</v>
      </c>
      <c r="CV13" s="8">
        <f t="shared" si="0"/>
        <v>97</v>
      </c>
      <c r="CW13" s="8">
        <f t="shared" si="0"/>
        <v>98</v>
      </c>
      <c r="CX13" s="8">
        <f t="shared" si="0"/>
        <v>99</v>
      </c>
      <c r="CY13" s="8">
        <f t="shared" si="0"/>
        <v>100</v>
      </c>
    </row>
    <row r="14" spans="1:103" ht="12.75" outlineLevel="1" x14ac:dyDescent="0.2">
      <c r="A14" s="10" t="s">
        <v>12</v>
      </c>
      <c r="B14" s="10"/>
      <c r="C14" s="11">
        <v>2023</v>
      </c>
      <c r="D14" s="11">
        <f t="shared" ref="D14:CY14" si="1">$C$14+D13</f>
        <v>2024</v>
      </c>
      <c r="E14" s="11">
        <f t="shared" si="1"/>
        <v>2025</v>
      </c>
      <c r="F14" s="11">
        <f t="shared" si="1"/>
        <v>2026</v>
      </c>
      <c r="G14" s="11">
        <f t="shared" si="1"/>
        <v>2027</v>
      </c>
      <c r="H14" s="11">
        <f t="shared" si="1"/>
        <v>2028</v>
      </c>
      <c r="I14" s="11">
        <f t="shared" si="1"/>
        <v>2029</v>
      </c>
      <c r="J14" s="11">
        <f t="shared" si="1"/>
        <v>2030</v>
      </c>
      <c r="K14" s="11">
        <f t="shared" si="1"/>
        <v>2031</v>
      </c>
      <c r="L14" s="11">
        <f t="shared" si="1"/>
        <v>2032</v>
      </c>
      <c r="M14" s="11">
        <f t="shared" si="1"/>
        <v>2033</v>
      </c>
      <c r="N14" s="11">
        <f t="shared" si="1"/>
        <v>2034</v>
      </c>
      <c r="O14" s="11">
        <f t="shared" si="1"/>
        <v>2035</v>
      </c>
      <c r="P14" s="11">
        <f t="shared" si="1"/>
        <v>2036</v>
      </c>
      <c r="Q14" s="11">
        <f t="shared" si="1"/>
        <v>2037</v>
      </c>
      <c r="R14" s="11">
        <f t="shared" si="1"/>
        <v>2038</v>
      </c>
      <c r="S14" s="11">
        <f t="shared" si="1"/>
        <v>2039</v>
      </c>
      <c r="T14" s="11">
        <f t="shared" si="1"/>
        <v>2040</v>
      </c>
      <c r="U14" s="11">
        <f t="shared" si="1"/>
        <v>2041</v>
      </c>
      <c r="V14" s="11">
        <f t="shared" si="1"/>
        <v>2042</v>
      </c>
      <c r="W14" s="11">
        <f t="shared" si="1"/>
        <v>2043</v>
      </c>
      <c r="X14" s="11">
        <f t="shared" si="1"/>
        <v>2044</v>
      </c>
      <c r="Y14" s="11">
        <f t="shared" si="1"/>
        <v>2045</v>
      </c>
      <c r="Z14" s="11">
        <f t="shared" si="1"/>
        <v>2046</v>
      </c>
      <c r="AA14" s="11">
        <f t="shared" si="1"/>
        <v>2047</v>
      </c>
      <c r="AB14" s="11">
        <f t="shared" si="1"/>
        <v>2048</v>
      </c>
      <c r="AC14" s="11">
        <f t="shared" si="1"/>
        <v>2049</v>
      </c>
      <c r="AD14" s="11">
        <f t="shared" si="1"/>
        <v>2050</v>
      </c>
      <c r="AE14" s="11">
        <f t="shared" si="1"/>
        <v>2051</v>
      </c>
      <c r="AF14" s="11">
        <f t="shared" si="1"/>
        <v>2052</v>
      </c>
      <c r="AG14" s="11">
        <f t="shared" si="1"/>
        <v>2053</v>
      </c>
      <c r="AH14" s="11">
        <f t="shared" si="1"/>
        <v>2054</v>
      </c>
      <c r="AI14" s="11">
        <f t="shared" si="1"/>
        <v>2055</v>
      </c>
      <c r="AJ14" s="11">
        <f t="shared" si="1"/>
        <v>2056</v>
      </c>
      <c r="AK14" s="11">
        <f t="shared" si="1"/>
        <v>2057</v>
      </c>
      <c r="AL14" s="11">
        <f t="shared" si="1"/>
        <v>2058</v>
      </c>
      <c r="AM14" s="11">
        <f t="shared" si="1"/>
        <v>2059</v>
      </c>
      <c r="AN14" s="11">
        <f t="shared" si="1"/>
        <v>2060</v>
      </c>
      <c r="AO14" s="11">
        <f t="shared" si="1"/>
        <v>2061</v>
      </c>
      <c r="AP14" s="11">
        <f t="shared" si="1"/>
        <v>2062</v>
      </c>
      <c r="AQ14" s="11">
        <f t="shared" si="1"/>
        <v>2063</v>
      </c>
      <c r="AR14" s="11">
        <f t="shared" si="1"/>
        <v>2064</v>
      </c>
      <c r="AS14" s="11">
        <f t="shared" si="1"/>
        <v>2065</v>
      </c>
      <c r="AT14" s="11">
        <f t="shared" si="1"/>
        <v>2066</v>
      </c>
      <c r="AU14" s="11">
        <f t="shared" si="1"/>
        <v>2067</v>
      </c>
      <c r="AV14" s="11">
        <f t="shared" si="1"/>
        <v>2068</v>
      </c>
      <c r="AW14" s="11">
        <f t="shared" si="1"/>
        <v>2069</v>
      </c>
      <c r="AX14" s="11">
        <f t="shared" si="1"/>
        <v>2070</v>
      </c>
      <c r="AY14" s="11">
        <f t="shared" si="1"/>
        <v>2071</v>
      </c>
      <c r="AZ14" s="11">
        <f t="shared" si="1"/>
        <v>2072</v>
      </c>
      <c r="BA14" s="11">
        <f t="shared" si="1"/>
        <v>2073</v>
      </c>
      <c r="BB14" s="11">
        <f t="shared" si="1"/>
        <v>2074</v>
      </c>
      <c r="BC14" s="11">
        <f t="shared" si="1"/>
        <v>2075</v>
      </c>
      <c r="BD14" s="11">
        <f t="shared" si="1"/>
        <v>2076</v>
      </c>
      <c r="BE14" s="11">
        <f t="shared" si="1"/>
        <v>2077</v>
      </c>
      <c r="BF14" s="11">
        <f t="shared" si="1"/>
        <v>2078</v>
      </c>
      <c r="BG14" s="11">
        <f t="shared" si="1"/>
        <v>2079</v>
      </c>
      <c r="BH14" s="11">
        <f t="shared" si="1"/>
        <v>2080</v>
      </c>
      <c r="BI14" s="11">
        <f t="shared" si="1"/>
        <v>2081</v>
      </c>
      <c r="BJ14" s="11">
        <f t="shared" si="1"/>
        <v>2082</v>
      </c>
      <c r="BK14" s="11">
        <f t="shared" si="1"/>
        <v>2083</v>
      </c>
      <c r="BL14" s="11">
        <f t="shared" si="1"/>
        <v>2084</v>
      </c>
      <c r="BM14" s="11">
        <f t="shared" si="1"/>
        <v>2085</v>
      </c>
      <c r="BN14" s="11">
        <f t="shared" si="1"/>
        <v>2086</v>
      </c>
      <c r="BO14" s="11">
        <f t="shared" si="1"/>
        <v>2087</v>
      </c>
      <c r="BP14" s="11">
        <f t="shared" si="1"/>
        <v>2088</v>
      </c>
      <c r="BQ14" s="11">
        <f t="shared" si="1"/>
        <v>2089</v>
      </c>
      <c r="BR14" s="11">
        <f t="shared" si="1"/>
        <v>2090</v>
      </c>
      <c r="BS14" s="11">
        <f t="shared" si="1"/>
        <v>2091</v>
      </c>
      <c r="BT14" s="11">
        <f t="shared" si="1"/>
        <v>2092</v>
      </c>
      <c r="BU14" s="11">
        <f t="shared" si="1"/>
        <v>2093</v>
      </c>
      <c r="BV14" s="11">
        <f t="shared" si="1"/>
        <v>2094</v>
      </c>
      <c r="BW14" s="11">
        <f t="shared" si="1"/>
        <v>2095</v>
      </c>
      <c r="BX14" s="11">
        <f t="shared" si="1"/>
        <v>2096</v>
      </c>
      <c r="BY14" s="11">
        <f t="shared" si="1"/>
        <v>2097</v>
      </c>
      <c r="BZ14" s="11">
        <f t="shared" si="1"/>
        <v>2098</v>
      </c>
      <c r="CA14" s="11">
        <f t="shared" si="1"/>
        <v>2099</v>
      </c>
      <c r="CB14" s="11">
        <f t="shared" si="1"/>
        <v>2100</v>
      </c>
      <c r="CC14" s="11">
        <f t="shared" si="1"/>
        <v>2101</v>
      </c>
      <c r="CD14" s="11">
        <f t="shared" si="1"/>
        <v>2102</v>
      </c>
      <c r="CE14" s="11">
        <f t="shared" si="1"/>
        <v>2103</v>
      </c>
      <c r="CF14" s="11">
        <f t="shared" si="1"/>
        <v>2104</v>
      </c>
      <c r="CG14" s="11">
        <f t="shared" si="1"/>
        <v>2105</v>
      </c>
      <c r="CH14" s="11">
        <f t="shared" si="1"/>
        <v>2106</v>
      </c>
      <c r="CI14" s="11">
        <f t="shared" si="1"/>
        <v>2107</v>
      </c>
      <c r="CJ14" s="11">
        <f t="shared" si="1"/>
        <v>2108</v>
      </c>
      <c r="CK14" s="11">
        <f t="shared" si="1"/>
        <v>2109</v>
      </c>
      <c r="CL14" s="11">
        <f t="shared" si="1"/>
        <v>2110</v>
      </c>
      <c r="CM14" s="11">
        <f t="shared" si="1"/>
        <v>2111</v>
      </c>
      <c r="CN14" s="11">
        <f t="shared" si="1"/>
        <v>2112</v>
      </c>
      <c r="CO14" s="11">
        <f t="shared" si="1"/>
        <v>2113</v>
      </c>
      <c r="CP14" s="11">
        <f t="shared" si="1"/>
        <v>2114</v>
      </c>
      <c r="CQ14" s="11">
        <f t="shared" si="1"/>
        <v>2115</v>
      </c>
      <c r="CR14" s="11">
        <f t="shared" si="1"/>
        <v>2116</v>
      </c>
      <c r="CS14" s="11">
        <f t="shared" si="1"/>
        <v>2117</v>
      </c>
      <c r="CT14" s="11">
        <f t="shared" si="1"/>
        <v>2118</v>
      </c>
      <c r="CU14" s="11">
        <f t="shared" si="1"/>
        <v>2119</v>
      </c>
      <c r="CV14" s="11">
        <f t="shared" si="1"/>
        <v>2120</v>
      </c>
      <c r="CW14" s="11">
        <f t="shared" si="1"/>
        <v>2121</v>
      </c>
      <c r="CX14" s="11">
        <f t="shared" si="1"/>
        <v>2122</v>
      </c>
      <c r="CY14" s="11">
        <f t="shared" si="1"/>
        <v>2123</v>
      </c>
    </row>
    <row r="15" spans="1:103" ht="12.75" outlineLevel="1" x14ac:dyDescent="0.2">
      <c r="A15" s="12"/>
      <c r="B15" s="13"/>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row>
    <row r="16" spans="1:103" ht="15" customHeight="1" outlineLevel="1" x14ac:dyDescent="0.25">
      <c r="A16" s="14" t="s">
        <v>13</v>
      </c>
      <c r="B16" s="15" t="s">
        <v>14</v>
      </c>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row>
    <row r="17" spans="1:103" ht="12.75" outlineLevel="2" x14ac:dyDescent="0.2">
      <c r="A17" s="4" t="s">
        <v>15</v>
      </c>
      <c r="B17" s="17">
        <f t="array" ref="B17">-NPV($D$2,D17:CY17)-C17</f>
        <v>-530866.72886234534</v>
      </c>
      <c r="C17" s="18">
        <f>'Cost (Counterfactual)'!I77</f>
        <v>53657.398398389858</v>
      </c>
      <c r="D17" s="18">
        <f>'Cost (Counterfactual)'!J77</f>
        <v>8736.7915458011248</v>
      </c>
      <c r="E17" s="18">
        <f>'Cost (Counterfactual)'!K77</f>
        <v>8881.5132220149626</v>
      </c>
      <c r="F17" s="18">
        <f>'Cost (Counterfactual)'!L77</f>
        <v>9029.1255565712036</v>
      </c>
      <c r="G17" s="18">
        <f>'Cost (Counterfactual)'!M77</f>
        <v>9179.6919794110454</v>
      </c>
      <c r="H17" s="18">
        <f>'Cost (Counterfactual)'!N77</f>
        <v>9333.2772453701746</v>
      </c>
      <c r="I17" s="18">
        <f>'Cost (Counterfactual)'!O77</f>
        <v>9489.9474591303333</v>
      </c>
      <c r="J17" s="18">
        <f>'Cost (Counterfactual)'!P77</f>
        <v>9649.7701006394564</v>
      </c>
      <c r="K17" s="18">
        <f>'Cost (Counterfactual)'!Q77</f>
        <v>9812.81405101163</v>
      </c>
      <c r="L17" s="18">
        <f>'Cost (Counterfactual)'!R77</f>
        <v>9979.1496189177378</v>
      </c>
      <c r="M17" s="18">
        <f>'Cost (Counterfactual)'!S77</f>
        <v>10148.848567478488</v>
      </c>
      <c r="N17" s="18">
        <f>'Cost (Counterfactual)'!T77</f>
        <v>10321.984141671346</v>
      </c>
      <c r="O17" s="18">
        <f>'Cost (Counterfactual)'!U77</f>
        <v>10498.631096263471</v>
      </c>
      <c r="P17" s="18">
        <f>'Cost (Counterfactual)'!V77</f>
        <v>68972.014509107277</v>
      </c>
      <c r="Q17" s="18">
        <f>'Cost (Counterfactual)'!W77</f>
        <v>10862.765886041863</v>
      </c>
      <c r="R17" s="18">
        <f>'Cost (Counterfactual)'!X77</f>
        <v>11050.411038721328</v>
      </c>
      <c r="S17" s="18">
        <f>'Cost (Counterfactual)'!Y77</f>
        <v>11241.882266536406</v>
      </c>
      <c r="T17" s="18">
        <f>'Cost (Counterfactual)'!Z77</f>
        <v>11437.262311490102</v>
      </c>
      <c r="U17" s="18">
        <f>'Cost (Counterfactual)'!AA77</f>
        <v>11636.635604732917</v>
      </c>
      <c r="V17" s="18">
        <f>'Cost (Counterfactual)'!AB77</f>
        <v>11840.088298541436</v>
      </c>
      <c r="W17" s="18">
        <f>'Cost (Counterfactual)'!AC77</f>
        <v>12047.708298930776</v>
      </c>
      <c r="X17" s="18">
        <f>'Cost (Counterfactual)'!AD77</f>
        <v>12259.585298915845</v>
      </c>
      <c r="Y17" s="18">
        <f>'Cost (Counterfactual)'!AE77</f>
        <v>12475.810812436679</v>
      </c>
      <c r="Z17" s="18">
        <f>'Cost (Counterfactual)'!AF77</f>
        <v>12696.478208963727</v>
      </c>
      <c r="AA17" s="18">
        <f>'Cost (Counterfactual)'!AG77</f>
        <v>12921.682748799063</v>
      </c>
      <c r="AB17" s="18">
        <f>'Cost (Counterfactual)'!AH77</f>
        <v>13151.521619089977</v>
      </c>
      <c r="AC17" s="18">
        <f>'Cost (Counterfactual)'!AI77</f>
        <v>88786.964935353943</v>
      </c>
      <c r="AD17" s="18">
        <f>'Cost (Counterfactual)'!AJ77</f>
        <v>13610.624068536246</v>
      </c>
      <c r="AE17" s="18">
        <f>'Cost (Counterfactual)'!AK77</f>
        <v>13847.804349649547</v>
      </c>
      <c r="AF17" s="18">
        <f>'Cost (Counterfactual)'!AL77</f>
        <v>14090.197964090976</v>
      </c>
      <c r="AG17" s="18">
        <f>'Cost (Counterfactual)'!AM77</f>
        <v>14337.902880203961</v>
      </c>
      <c r="AH17" s="18">
        <f>'Cost (Counterfactual)'!AN77</f>
        <v>14591.019110149573</v>
      </c>
      <c r="AI17" s="18">
        <f>'Cost (Counterfactual)'!AO77</f>
        <v>14849.64874965054</v>
      </c>
      <c r="AJ17" s="18">
        <f>'Cost (Counterfactual)'!AP77</f>
        <v>15113.896018545302</v>
      </c>
      <c r="AK17" s="18">
        <f>'Cost (Counterfactual)'!AQ77</f>
        <v>15383.86730216815</v>
      </c>
      <c r="AL17" s="18">
        <f>'Cost (Counterfactual)'!AR77</f>
        <v>15659.671193571692</v>
      </c>
      <c r="AM17" s="18">
        <f>'Cost (Counterfactual)'!AS77</f>
        <v>15941.418536608448</v>
      </c>
      <c r="AN17" s="18">
        <f>'Cost (Counterfactual)'!AT77</f>
        <v>16229.222469888316</v>
      </c>
      <c r="AO17" s="18">
        <f>'Cost (Counterfactual)'!AU77</f>
        <v>16523.198471629563</v>
      </c>
      <c r="AP17" s="18">
        <f>'Cost (Counterfactual)'!AV77</f>
        <v>114372.27552467969</v>
      </c>
      <c r="AQ17" s="18">
        <f>'Cost (Counterfactual)'!AW77</f>
        <v>17130.140566911203</v>
      </c>
      <c r="AR17" s="18">
        <f>'Cost (Counterfactual)'!AX77</f>
        <v>17443.34973145054</v>
      </c>
      <c r="AS17" s="18">
        <f>'Cost (Counterfactual)'!AY77</f>
        <v>17763.217202692191</v>
      </c>
      <c r="AT17" s="18">
        <f>'Cost (Counterfactual)'!AZ77</f>
        <v>18089.87086218386</v>
      </c>
      <c r="AU17" s="18">
        <f>'Cost (Counterfactual)'!BA77</f>
        <v>18423.441219962388</v>
      </c>
      <c r="AV17" s="18">
        <f>'Cost (Counterfactual)'!BB77</f>
        <v>18764.061466173385</v>
      </c>
      <c r="AW17" s="18">
        <f>'Cost (Counterfactual)'!BC77</f>
        <v>19111.867523736062</v>
      </c>
      <c r="AX17" s="18">
        <f>'Cost (Counterfactual)'!BD77</f>
        <v>19466.998102073885</v>
      </c>
      <c r="AY17" s="18">
        <f>'Cost (Counterfactual)'!BE77</f>
        <v>19829.594751932345</v>
      </c>
      <c r="AZ17" s="18">
        <f>'Cost (Counterfactual)'!BF77</f>
        <v>20199.801921305145</v>
      </c>
      <c r="BA17" s="18">
        <f>'Cost (Counterfactual)'!BG77</f>
        <v>20577.767012491124</v>
      </c>
      <c r="BB17" s="18">
        <f>'Cost (Counterfactual)'!BH77</f>
        <v>20963.640440304196</v>
      </c>
      <c r="BC17" s="18">
        <f>'Cost (Counterfactual)'!BI77</f>
        <v>147547.36454821777</v>
      </c>
      <c r="BD17" s="18">
        <f>'Cost (Counterfactual)'!BJ77</f>
        <v>21759.729385157094</v>
      </c>
      <c r="BE17" s="18">
        <f>'Cost (Counterfactual)'!BK77</f>
        <v>22170.261334893235</v>
      </c>
      <c r="BF17" s="18">
        <f>'Cost (Counterfactual)'!BL77</f>
        <v>22589.334611513154</v>
      </c>
      <c r="BG17" s="18">
        <f>'Cost (Counterfactual)'!BM77</f>
        <v>23017.115607540651</v>
      </c>
      <c r="BH17" s="18">
        <f>'Cost (Counterfactual)'!BN77</f>
        <v>23453.774102803214</v>
      </c>
      <c r="BI17" s="18">
        <f>'Cost (Counterfactual)'!BO77</f>
        <v>23899.483331381027</v>
      </c>
      <c r="BJ17" s="18">
        <f>'Cost (Counterfactual)'!BP77</f>
        <v>24354.42004990545</v>
      </c>
      <c r="BK17" s="18">
        <f>'Cost (Counterfactual)'!BQ77</f>
        <v>24818.764607234185</v>
      </c>
      <c r="BL17" s="18">
        <f>'Cost (Counterfactual)'!BR77</f>
        <v>25292.701015530205</v>
      </c>
      <c r="BM17" s="18">
        <f>'Cost (Counterfactual)'!BS77</f>
        <v>25776.417022772595</v>
      </c>
      <c r="BN17" s="18">
        <f>'Cost (Counterfactual)'!BT77</f>
        <v>26270.104186727749</v>
      </c>
      <c r="BO17" s="18">
        <f>'Cost (Counterfactual)'!BU77</f>
        <v>26773.957950409953</v>
      </c>
      <c r="BP17" s="18">
        <f>'Cost (Counterfactual)'!BV77</f>
        <v>190528.12527972847</v>
      </c>
      <c r="BQ17" s="18">
        <f>'Cost (Counterfactual)'!BW77</f>
        <v>27812.966938679328</v>
      </c>
      <c r="BR17" s="18">
        <f>'Cost (Counterfactual)'!BX77</f>
        <v>28348.533176128887</v>
      </c>
      <c r="BS17" s="18">
        <f>'Cost (Counterfactual)'!BY77</f>
        <v>28895.088200860209</v>
      </c>
      <c r="BT17" s="18">
        <f>'Cost (Counterfactual)'!BZ77</f>
        <v>29452.848068274856</v>
      </c>
      <c r="BU17" s="18">
        <f>'Cost (Counterfactual)'!CA77</f>
        <v>30022.033204766478</v>
      </c>
      <c r="BV17" s="18">
        <f>'Cost (Counterfactual)'!CB77</f>
        <v>30602.868494471786</v>
      </c>
      <c r="BW17" s="18">
        <f>'Cost (Counterfactual)'!CC77</f>
        <v>31195.583367765565</v>
      </c>
      <c r="BX17" s="18">
        <f>'Cost (Counterfactual)'!CD77</f>
        <v>31800.411891534295</v>
      </c>
      <c r="BY17" s="18">
        <f>'Cost (Counterfactual)'!CE77</f>
        <v>32417.592861264151</v>
      </c>
      <c r="BZ17" s="18">
        <f>'Cost (Counterfactual)'!CF77</f>
        <v>33047.369894979223</v>
      </c>
      <c r="CA17" s="18">
        <f>'Cost (Counterfactual)'!CG77</f>
        <v>33689.991529067134</v>
      </c>
      <c r="CB17" s="18">
        <f>'Cost (Counterfactual)'!CH77</f>
        <v>34345.711316029352</v>
      </c>
      <c r="CC17" s="18">
        <f>'Cost (Counterfactual)'!CI77</f>
        <v>246183.06644360448</v>
      </c>
      <c r="CD17" s="18">
        <f>'Cost (Counterfactual)'!CJ77</f>
        <v>35697.485239437265</v>
      </c>
      <c r="CE17" s="18">
        <f>'Cost (Counterfactual)'!CK77</f>
        <v>36394.072468931226</v>
      </c>
      <c r="CF17" s="18">
        <f>'Cost (Counterfactual)'!CL77</f>
        <v>37104.824246996206</v>
      </c>
      <c r="CG17" s="18">
        <f>'Cost (Counterfactual)'!CM77</f>
        <v>37830.020743061774</v>
      </c>
      <c r="CH17" s="18">
        <f>'Cost (Counterfactual)'!CN77</f>
        <v>38569.947771801097</v>
      </c>
      <c r="CI17" s="18">
        <f>'Cost (Counterfactual)'!CO77</f>
        <v>39324.896905474714</v>
      </c>
      <c r="CJ17" s="18">
        <f>'Cost (Counterfactual)'!CP77</f>
        <v>40095.165588528478</v>
      </c>
      <c r="CK17" s="18">
        <f>'Cost (Counterfactual)'!CQ77</f>
        <v>40881.057254491083</v>
      </c>
      <c r="CL17" s="18">
        <f>'Cost (Counterfactual)'!CR77</f>
        <v>41682.881445216706</v>
      </c>
      <c r="CM17" s="18">
        <f>'Cost (Counterfactual)'!CS77</f>
        <v>42500.953932519937</v>
      </c>
      <c r="CN17" s="18">
        <f>'Cost (Counterfactual)'!CT77</f>
        <v>43335.596842250263</v>
      </c>
      <c r="CO17" s="18">
        <f>'Cost (Counterfactual)'!CU77</f>
        <v>44187.138780855268</v>
      </c>
      <c r="CP17" s="18">
        <f>'Cost (Counterfactual)'!CV77</f>
        <v>318224.60019870388</v>
      </c>
      <c r="CQ17" s="18">
        <f>'Cost (Counterfactual)'!CW77</f>
        <v>45942.26735066728</v>
      </c>
      <c r="CR17" s="18">
        <f>'Cost (Counterfactual)'!CX77</f>
        <v>46846.544772668225</v>
      </c>
      <c r="CS17" s="18">
        <f>'Cost (Counterfactual)'!CY77</f>
        <v>47769.103076486652</v>
      </c>
      <c r="CT17" s="18">
        <f>'Cost (Counterfactual)'!CZ77</f>
        <v>48710.305260639907</v>
      </c>
      <c r="CU17" s="18">
        <f>'Cost (Counterfactual)'!DA77</f>
        <v>49670.52161873415</v>
      </c>
      <c r="CV17" s="18">
        <f>'Cost (Counterfactual)'!DB77</f>
        <v>50650.129884895032</v>
      </c>
      <c r="CW17" s="18">
        <f>'Cost (Counterfactual)'!DC77</f>
        <v>51649.515382113597</v>
      </c>
      <c r="CX17" s="18">
        <f>'Cost (Counterfactual)'!DD77</f>
        <v>52669.071173565353</v>
      </c>
      <c r="CY17" s="18">
        <f>'Cost (Counterfactual)'!DE77</f>
        <v>53709.198216961566</v>
      </c>
    </row>
    <row r="18" spans="1:103" ht="12.75" outlineLevel="2" x14ac:dyDescent="0.2">
      <c r="A18" s="4" t="s">
        <v>16</v>
      </c>
      <c r="B18" s="19">
        <f t="array" ref="B18">-NPV(D$2,D18:CY18)-C18</f>
        <v>-444751956.75981504</v>
      </c>
      <c r="C18" s="18">
        <f>'Cost (Counterfactual)'!I154</f>
        <v>9072067.5836961865</v>
      </c>
      <c r="D18" s="18">
        <f>'Cost (Counterfactual)'!J154</f>
        <v>9299011.0520684738</v>
      </c>
      <c r="E18" s="18">
        <f>'Cost (Counterfactual)'!K154</f>
        <v>9531640.2535718326</v>
      </c>
      <c r="F18" s="18">
        <f>'Cost (Counterfactual)'!L154</f>
        <v>9770097.752990542</v>
      </c>
      <c r="G18" s="18">
        <f>'Cost (Counterfactual)'!M154</f>
        <v>10014529.699353492</v>
      </c>
      <c r="H18" s="18">
        <f>'Cost (Counterfactual)'!N154</f>
        <v>10265085.917230913</v>
      </c>
      <c r="I18" s="18">
        <f>'Cost (Counterfactual)'!O154</f>
        <v>10521920.000516867</v>
      </c>
      <c r="J18" s="18">
        <f>'Cost (Counterfactual)'!P154</f>
        <v>10785189.408786723</v>
      </c>
      <c r="K18" s="18">
        <f>'Cost (Counterfactual)'!Q154</f>
        <v>11055055.566325039</v>
      </c>
      <c r="L18" s="18">
        <f>'Cost (Counterfactual)'!R154</f>
        <v>11331683.963925764</v>
      </c>
      <c r="M18" s="18">
        <f>'Cost (Counterfactual)'!S154</f>
        <v>11615244.263574094</v>
      </c>
      <c r="N18" s="18">
        <f>'Cost (Counterfactual)'!T154</f>
        <v>11905910.406127563</v>
      </c>
      <c r="O18" s="18">
        <f>'Cost (Counterfactual)'!U154</f>
        <v>12203860.722123161</v>
      </c>
      <c r="P18" s="18">
        <f>'Cost (Counterfactual)'!V154</f>
        <v>12509278.045847405</v>
      </c>
      <c r="Q18" s="18">
        <f>'Cost (Counterfactual)'!W154</f>
        <v>12822349.832818078</v>
      </c>
      <c r="R18" s="18">
        <f>'Cost (Counterfactual)'!X154</f>
        <v>13143268.280838987</v>
      </c>
      <c r="S18" s="18">
        <f>'Cost (Counterfactual)'!Y154</f>
        <v>13472230.454803815</v>
      </c>
      <c r="T18" s="18">
        <f>'Cost (Counterfactual)'!Z154</f>
        <v>13809438.415441368</v>
      </c>
      <c r="U18" s="18">
        <f>'Cost (Counterfactual)'!AA154</f>
        <v>14155099.352212869</v>
      </c>
      <c r="V18" s="18">
        <f>'Cost (Counterfactual)'!AB154</f>
        <v>14509425.720592795</v>
      </c>
      <c r="W18" s="18">
        <f>'Cost (Counterfactual)'!AC154</f>
        <v>14872635.383987881</v>
      </c>
      <c r="X18" s="18">
        <f>'Cost (Counterfactual)'!AD154</f>
        <v>15244951.760575445</v>
      </c>
      <c r="Y18" s="18">
        <f>'Cost (Counterfactual)'!AE154</f>
        <v>15626603.975371916</v>
      </c>
      <c r="Z18" s="18">
        <f>'Cost (Counterfactual)'!AF154</f>
        <v>16017827.017875949</v>
      </c>
      <c r="AA18" s="18">
        <f>'Cost (Counterfactual)'!AG154</f>
        <v>16418861.90566883</v>
      </c>
      <c r="AB18" s="18">
        <f>'Cost (Counterfactual)'!AH154</f>
        <v>16829794.531812094</v>
      </c>
      <c r="AC18" s="18">
        <f>'Cost (Counterfactual)'!AI154</f>
        <v>17166059.05871078</v>
      </c>
      <c r="AD18" s="18">
        <f>'Cost (Counterfactual)'!AJ154</f>
        <v>17509048.90245283</v>
      </c>
      <c r="AE18" s="18">
        <f>'Cost (Counterfactual)'!AK154</f>
        <v>17858898.569901217</v>
      </c>
      <c r="AF18" s="18">
        <f>'Cost (Counterfactual)'!AL154</f>
        <v>18215745.25806668</v>
      </c>
      <c r="AG18" s="18">
        <f>'Cost (Counterfactual)'!AM154</f>
        <v>18579728.90791095</v>
      </c>
      <c r="AH18" s="18">
        <f>'Cost (Counterfactual)'!AN154</f>
        <v>18950992.259225905</v>
      </c>
      <c r="AI18" s="18">
        <f>'Cost (Counterfactual)'!AO154</f>
        <v>19329680.906610433</v>
      </c>
      <c r="AJ18" s="18">
        <f>'Cost (Counterfactual)'!AP154</f>
        <v>19715943.356566783</v>
      </c>
      <c r="AK18" s="18">
        <f>'Cost (Counterfactual)'!AQ154</f>
        <v>20109931.085738882</v>
      </c>
      <c r="AL18" s="18">
        <f>'Cost (Counterfactual)'!AR154</f>
        <v>20511798.600315377</v>
      </c>
      <c r="AM18" s="18">
        <f>'Cost (Counterfactual)'!AS154</f>
        <v>20921703.496620771</v>
      </c>
      <c r="AN18" s="18">
        <f>'Cost (Counterfactual)'!AT154</f>
        <v>21339806.522918396</v>
      </c>
      <c r="AO18" s="18">
        <f>'Cost (Counterfactual)'!AU154</f>
        <v>21766271.642449416</v>
      </c>
      <c r="AP18" s="18">
        <f>'Cost (Counterfactual)'!AV154</f>
        <v>22201266.097732633</v>
      </c>
      <c r="AQ18" s="18">
        <f>'Cost (Counterfactual)'!AW154</f>
        <v>22644960.476150356</v>
      </c>
      <c r="AR18" s="18">
        <f>'Cost (Counterfactual)'!AX154</f>
        <v>23097528.776845824</v>
      </c>
      <c r="AS18" s="18">
        <f>'Cost (Counterfactual)'!AY154</f>
        <v>23559148.478958786</v>
      </c>
      <c r="AT18" s="18">
        <f>'Cost (Counterfactual)'!AZ154</f>
        <v>24030000.611225665</v>
      </c>
      <c r="AU18" s="18">
        <f>'Cost (Counterfactual)'!BA154</f>
        <v>24510269.82297178</v>
      </c>
      <c r="AV18" s="18">
        <f>'Cost (Counterfactual)'!BB154</f>
        <v>25000144.456523381</v>
      </c>
      <c r="AW18" s="18">
        <f>'Cost (Counterfactual)'!BC154</f>
        <v>25499816.621068001</v>
      </c>
      <c r="AX18" s="18">
        <f>'Cost (Counterfactual)'!BD154</f>
        <v>26009482.267991927</v>
      </c>
      <c r="AY18" s="18">
        <f>'Cost (Counterfactual)'!BE154</f>
        <v>26529341.267724525</v>
      </c>
      <c r="AZ18" s="18">
        <f>'Cost (Counterfactual)'!BF154</f>
        <v>27059597.488119368</v>
      </c>
      <c r="BA18" s="18">
        <f>'Cost (Counterfactual)'!BG154</f>
        <v>27600458.874403052</v>
      </c>
      <c r="BB18" s="18">
        <f>'Cost (Counterfactual)'!BH154</f>
        <v>28152137.530722968</v>
      </c>
      <c r="BC18" s="18">
        <f>'Cost (Counterfactual)'!BI154</f>
        <v>28714849.803326067</v>
      </c>
      <c r="BD18" s="18">
        <f>'Cost (Counterfactual)'!BJ154</f>
        <v>29288816.365401123</v>
      </c>
      <c r="BE18" s="18">
        <f>'Cost (Counterfactual)'!BK154</f>
        <v>29874262.303618003</v>
      </c>
      <c r="BF18" s="18">
        <f>'Cost (Counterfactual)'!BL154</f>
        <v>30471417.206397522</v>
      </c>
      <c r="BG18" s="18">
        <f>'Cost (Counterfactual)'!BM154</f>
        <v>31080515.253946923</v>
      </c>
      <c r="BH18" s="18">
        <f>'Cost (Counterfactual)'!BN154</f>
        <v>31701795.31009588</v>
      </c>
      <c r="BI18" s="18">
        <f>'Cost (Counterfactual)'!BO154</f>
        <v>32335501.015969351</v>
      </c>
      <c r="BJ18" s="18">
        <f>'Cost (Counterfactual)'!BP154</f>
        <v>32981880.885533854</v>
      </c>
      <c r="BK18" s="18">
        <f>'Cost (Counterfactual)'!BQ154</f>
        <v>33641188.403054707</v>
      </c>
      <c r="BL18" s="18">
        <f>'Cost (Counterfactual)'!BR154</f>
        <v>34313682.122502297</v>
      </c>
      <c r="BM18" s="18">
        <f>'Cost (Counterfactual)'!BS154</f>
        <v>34999625.768946715</v>
      </c>
      <c r="BN18" s="18">
        <f>'Cost (Counterfactual)'!BT154</f>
        <v>35699288.341980033</v>
      </c>
      <c r="BO18" s="18">
        <f>'Cost (Counterfactual)'!BU154</f>
        <v>36412944.221207261</v>
      </c>
      <c r="BP18" s="18">
        <f>'Cost (Counterfactual)'!BV154</f>
        <v>37140873.273846924</v>
      </c>
      <c r="BQ18" s="18">
        <f>'Cost (Counterfactual)'!BW154</f>
        <v>37883360.964483812</v>
      </c>
      <c r="BR18" s="18">
        <f>'Cost (Counterfactual)'!BX154</f>
        <v>38640698.467016794</v>
      </c>
      <c r="BS18" s="18">
        <f>'Cost (Counterfactual)'!BY154</f>
        <v>39413182.778845415</v>
      </c>
      <c r="BT18" s="18">
        <f>'Cost (Counterfactual)'!BZ154</f>
        <v>40201116.837340534</v>
      </c>
      <c r="BU18" s="18">
        <f>'Cost (Counterfactual)'!CA154</f>
        <v>41004809.638644055</v>
      </c>
      <c r="BV18" s="18">
        <f>'Cost (Counterfactual)'!CB154</f>
        <v>41824576.358844906</v>
      </c>
      <c r="BW18" s="18">
        <f>'Cost (Counterfactual)'!CC154</f>
        <v>42660738.477578476</v>
      </c>
      <c r="BX18" s="18">
        <f>'Cost (Counterfactual)'!CD154</f>
        <v>43513623.904097989</v>
      </c>
      <c r="BY18" s="18">
        <f>'Cost (Counterfactual)'!CE154</f>
        <v>44383567.105867386</v>
      </c>
      <c r="BZ18" s="18">
        <f>'Cost (Counterfactual)'!CF154</f>
        <v>45270909.239726044</v>
      </c>
      <c r="CA18" s="18">
        <f>'Cost (Counterfactual)'!CG154</f>
        <v>46175998.285676874</v>
      </c>
      <c r="CB18" s="18">
        <f>'Cost (Counterfactual)'!CH154</f>
        <v>47099189.18334996</v>
      </c>
      <c r="CC18" s="18">
        <f>'Cost (Counterfactual)'!CI154</f>
        <v>48040843.971195847</v>
      </c>
      <c r="CD18" s="18">
        <f>'Cost (Counterfactual)'!CJ154</f>
        <v>49001331.928462349</v>
      </c>
      <c r="CE18" s="18">
        <f>'Cost (Counterfactual)'!CK154</f>
        <v>49981029.720011197</v>
      </c>
      <c r="CF18" s="18">
        <f>'Cost (Counterfactual)'!CL154</f>
        <v>50980321.544030733</v>
      </c>
      <c r="CG18" s="18">
        <f>'Cost (Counterfactual)'!CM154</f>
        <v>51999599.282703176</v>
      </c>
      <c r="CH18" s="18">
        <f>'Cost (Counterfactual)'!CN154</f>
        <v>53039262.655885063</v>
      </c>
      <c r="CI18" s="18">
        <f>'Cost (Counterfactual)'!CO154</f>
        <v>54099719.377861269</v>
      </c>
      <c r="CJ18" s="18">
        <f>'Cost (Counterfactual)'!CP154</f>
        <v>55181385.317234315</v>
      </c>
      <c r="CK18" s="18">
        <f>'Cost (Counterfactual)'!CQ154</f>
        <v>56284684.660011277</v>
      </c>
      <c r="CL18" s="18">
        <f>'Cost (Counterfactual)'!CR154</f>
        <v>57410050.075952545</v>
      </c>
      <c r="CM18" s="18">
        <f>'Cost (Counterfactual)'!CS154</f>
        <v>58557922.888247609</v>
      </c>
      <c r="CN18" s="18">
        <f>'Cost (Counterfactual)'!CT154</f>
        <v>59728753.246584244</v>
      </c>
      <c r="CO18" s="18">
        <f>'Cost (Counterfactual)'!CU154</f>
        <v>60923000.303679168</v>
      </c>
      <c r="CP18" s="18">
        <f>'Cost (Counterfactual)'!CV154</f>
        <v>62141132.395339385</v>
      </c>
      <c r="CQ18" s="18">
        <f>'Cost (Counterfactual)'!CW154</f>
        <v>63383627.2241247</v>
      </c>
      <c r="CR18" s="18">
        <f>'Cost (Counterfactual)'!CX154</f>
        <v>64650972.046683408</v>
      </c>
      <c r="CS18" s="18">
        <f>'Cost (Counterfactual)'!CY154</f>
        <v>65943663.864834964</v>
      </c>
      <c r="CT18" s="18">
        <f>'Cost (Counterfactual)'!CZ154</f>
        <v>67262209.620474026</v>
      </c>
      <c r="CU18" s="18">
        <f>'Cost (Counterfactual)'!DA154</f>
        <v>68607126.394372866</v>
      </c>
      <c r="CV18" s="18">
        <f>'Cost (Counterfactual)'!DB154</f>
        <v>69978941.608959615</v>
      </c>
      <c r="CW18" s="18">
        <f>'Cost (Counterfactual)'!DC154</f>
        <v>71378193.235152215</v>
      </c>
      <c r="CX18" s="18">
        <f>'Cost (Counterfactual)'!DD154</f>
        <v>72805430.003329098</v>
      </c>
      <c r="CY18" s="18">
        <f>'Cost (Counterfactual)'!DE154</f>
        <v>74261211.618519098</v>
      </c>
    </row>
    <row r="19" spans="1:103" ht="15" customHeight="1" outlineLevel="1" x14ac:dyDescent="0.25">
      <c r="A19" s="14" t="s">
        <v>17</v>
      </c>
      <c r="B19" s="20">
        <f>SUM(B17:B18)</f>
        <v>-445282823.48867738</v>
      </c>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row>
    <row r="20" spans="1:103" ht="12.75" outlineLevel="1"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row>
    <row r="21" spans="1:103" ht="15" customHeight="1" outlineLevel="1" x14ac:dyDescent="0.25">
      <c r="A21" s="14" t="s">
        <v>18</v>
      </c>
      <c r="B21" s="15" t="s">
        <v>14</v>
      </c>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row>
    <row r="22" spans="1:103" ht="15.75" customHeight="1" outlineLevel="2" x14ac:dyDescent="0.2">
      <c r="A22" s="4" t="s">
        <v>19</v>
      </c>
      <c r="B22" s="21">
        <f t="shared" ref="B22:B23" si="2">-NPV(D$2,D22:CY22)-C22</f>
        <v>-170280.68411385347</v>
      </c>
      <c r="C22" s="18">
        <f>'Cost (Model)'!I68</f>
        <v>46329.937348970263</v>
      </c>
      <c r="D22" s="18">
        <f>'Cost (Model)'!J68</f>
        <v>1261.5465424431445</v>
      </c>
      <c r="E22" s="18">
        <f>'Cost (Model)'!K68</f>
        <v>0</v>
      </c>
      <c r="F22" s="18">
        <f>'Cost (Model)'!L68</f>
        <v>0</v>
      </c>
      <c r="G22" s="18">
        <f>'Cost (Model)'!M68</f>
        <v>0</v>
      </c>
      <c r="H22" s="18">
        <f>'Cost (Model)'!N68</f>
        <v>0</v>
      </c>
      <c r="I22" s="18">
        <f>'Cost (Model)'!O68</f>
        <v>0</v>
      </c>
      <c r="J22" s="18">
        <f>'Cost (Model)'!P68</f>
        <v>0</v>
      </c>
      <c r="K22" s="18">
        <f>'Cost (Model)'!Q68</f>
        <v>0</v>
      </c>
      <c r="L22" s="18">
        <f>'Cost (Model)'!R68</f>
        <v>0</v>
      </c>
      <c r="M22" s="18">
        <f>'Cost (Model)'!S68</f>
        <v>0</v>
      </c>
      <c r="N22" s="18">
        <f>'Cost (Model)'!T68</f>
        <v>0</v>
      </c>
      <c r="O22" s="18">
        <f>'Cost (Model)'!U68</f>
        <v>0</v>
      </c>
      <c r="P22" s="18">
        <f>'Cost (Model)'!V68</f>
        <v>0</v>
      </c>
      <c r="Q22" s="18">
        <f>'Cost (Model)'!W68</f>
        <v>59459.011760520683</v>
      </c>
      <c r="R22" s="18">
        <f>'Cost (Model)'!X68</f>
        <v>0</v>
      </c>
      <c r="S22" s="18">
        <f>'Cost (Model)'!Y68</f>
        <v>0</v>
      </c>
      <c r="T22" s="18">
        <f>'Cost (Model)'!Z68</f>
        <v>0</v>
      </c>
      <c r="U22" s="18">
        <f>'Cost (Model)'!AA68</f>
        <v>0</v>
      </c>
      <c r="V22" s="18">
        <f>'Cost (Model)'!AB68</f>
        <v>0</v>
      </c>
      <c r="W22" s="18">
        <f>'Cost (Model)'!AC68</f>
        <v>0</v>
      </c>
      <c r="X22" s="18">
        <f>'Cost (Model)'!AD68</f>
        <v>0</v>
      </c>
      <c r="Y22" s="18">
        <f>'Cost (Model)'!AE68</f>
        <v>0</v>
      </c>
      <c r="Z22" s="18">
        <f>'Cost (Model)'!AF68</f>
        <v>0</v>
      </c>
      <c r="AA22" s="18">
        <f>'Cost (Model)'!AG68</f>
        <v>0</v>
      </c>
      <c r="AB22" s="18">
        <f>'Cost (Model)'!AH68</f>
        <v>0</v>
      </c>
      <c r="AC22" s="18">
        <f>'Cost (Model)'!AI68</f>
        <v>0</v>
      </c>
      <c r="AD22" s="18">
        <f>'Cost (Model)'!AJ68</f>
        <v>0</v>
      </c>
      <c r="AE22" s="18">
        <f>'Cost (Model)'!AK68</f>
        <v>78454.903290712595</v>
      </c>
      <c r="AF22" s="18">
        <f>'Cost (Model)'!AL68</f>
        <v>0</v>
      </c>
      <c r="AG22" s="18">
        <f>'Cost (Model)'!AM68</f>
        <v>0</v>
      </c>
      <c r="AH22" s="18">
        <f>'Cost (Model)'!AN68</f>
        <v>0</v>
      </c>
      <c r="AI22" s="18">
        <f>'Cost (Model)'!AO68</f>
        <v>0</v>
      </c>
      <c r="AJ22" s="18">
        <f>'Cost (Model)'!AP68</f>
        <v>0</v>
      </c>
      <c r="AK22" s="18">
        <f>'Cost (Model)'!AQ68</f>
        <v>0</v>
      </c>
      <c r="AL22" s="18">
        <f>'Cost (Model)'!AR68</f>
        <v>0</v>
      </c>
      <c r="AM22" s="18">
        <f>'Cost (Model)'!AS68</f>
        <v>0</v>
      </c>
      <c r="AN22" s="18">
        <f>'Cost (Model)'!AT68</f>
        <v>0</v>
      </c>
      <c r="AO22" s="18">
        <f>'Cost (Model)'!AU68</f>
        <v>0</v>
      </c>
      <c r="AP22" s="18">
        <f>'Cost (Model)'!AV68</f>
        <v>0</v>
      </c>
      <c r="AQ22" s="18">
        <f>'Cost (Model)'!AW68</f>
        <v>0</v>
      </c>
      <c r="AR22" s="18">
        <f>'Cost (Model)'!AX68</f>
        <v>0</v>
      </c>
      <c r="AS22" s="18">
        <f>'Cost (Model)'!AY68</f>
        <v>103519.5787502467</v>
      </c>
      <c r="AT22" s="18">
        <f>'Cost (Model)'!AZ68</f>
        <v>0</v>
      </c>
      <c r="AU22" s="18">
        <f>'Cost (Model)'!BA68</f>
        <v>0</v>
      </c>
      <c r="AV22" s="18">
        <f>'Cost (Model)'!BB68</f>
        <v>0</v>
      </c>
      <c r="AW22" s="18">
        <f>'Cost (Model)'!BC68</f>
        <v>0</v>
      </c>
      <c r="AX22" s="18">
        <f>'Cost (Model)'!BD68</f>
        <v>0</v>
      </c>
      <c r="AY22" s="18">
        <f>'Cost (Model)'!BE68</f>
        <v>0</v>
      </c>
      <c r="AZ22" s="18">
        <f>'Cost (Model)'!BF68</f>
        <v>0</v>
      </c>
      <c r="BA22" s="18">
        <f>'Cost (Model)'!BG68</f>
        <v>0</v>
      </c>
      <c r="BB22" s="18">
        <f>'Cost (Model)'!BH68</f>
        <v>0</v>
      </c>
      <c r="BC22" s="18">
        <f>'Cost (Model)'!BI68</f>
        <v>0</v>
      </c>
      <c r="BD22" s="18">
        <f>'Cost (Model)'!BJ68</f>
        <v>0</v>
      </c>
      <c r="BE22" s="18">
        <f>'Cost (Model)'!BK68</f>
        <v>0</v>
      </c>
      <c r="BF22" s="18">
        <f>'Cost (Model)'!BL68</f>
        <v>0</v>
      </c>
      <c r="BG22" s="18">
        <f>'Cost (Model)'!BM68</f>
        <v>136591.88572216505</v>
      </c>
      <c r="BH22" s="18">
        <f>'Cost (Model)'!BN68</f>
        <v>0</v>
      </c>
      <c r="BI22" s="18">
        <f>'Cost (Model)'!BO68</f>
        <v>0</v>
      </c>
      <c r="BJ22" s="18">
        <f>'Cost (Model)'!BP68</f>
        <v>0</v>
      </c>
      <c r="BK22" s="18">
        <f>'Cost (Model)'!BQ68</f>
        <v>0</v>
      </c>
      <c r="BL22" s="18">
        <f>'Cost (Model)'!BR68</f>
        <v>0</v>
      </c>
      <c r="BM22" s="18">
        <f>'Cost (Model)'!BS68</f>
        <v>0</v>
      </c>
      <c r="BN22" s="18">
        <f>'Cost (Model)'!BT68</f>
        <v>0</v>
      </c>
      <c r="BO22" s="18">
        <f>'Cost (Model)'!BU68</f>
        <v>0</v>
      </c>
      <c r="BP22" s="18">
        <f>'Cost (Model)'!BV68</f>
        <v>0</v>
      </c>
      <c r="BQ22" s="18">
        <f>'Cost (Model)'!BW68</f>
        <v>0</v>
      </c>
      <c r="BR22" s="18">
        <f>'Cost (Model)'!BX68</f>
        <v>0</v>
      </c>
      <c r="BS22" s="18">
        <f>'Cost (Model)'!BY68</f>
        <v>0</v>
      </c>
      <c r="BT22" s="18">
        <f>'Cost (Model)'!BZ68</f>
        <v>0</v>
      </c>
      <c r="BU22" s="18">
        <f>'Cost (Model)'!CA68</f>
        <v>180230.09241710757</v>
      </c>
      <c r="BV22" s="18">
        <f>'Cost (Model)'!CB68</f>
        <v>0</v>
      </c>
      <c r="BW22" s="18">
        <f>'Cost (Model)'!CC68</f>
        <v>0</v>
      </c>
      <c r="BX22" s="18">
        <f>'Cost (Model)'!CD68</f>
        <v>0</v>
      </c>
      <c r="BY22" s="18">
        <f>'Cost (Model)'!CE68</f>
        <v>0</v>
      </c>
      <c r="BZ22" s="18">
        <f>'Cost (Model)'!CF68</f>
        <v>0</v>
      </c>
      <c r="CA22" s="18">
        <f>'Cost (Model)'!CG68</f>
        <v>0</v>
      </c>
      <c r="CB22" s="18">
        <f>'Cost (Model)'!CH68</f>
        <v>0</v>
      </c>
      <c r="CC22" s="18">
        <f>'Cost (Model)'!CI68</f>
        <v>0</v>
      </c>
      <c r="CD22" s="18">
        <f>'Cost (Model)'!CJ68</f>
        <v>0</v>
      </c>
      <c r="CE22" s="18">
        <f>'Cost (Model)'!CK68</f>
        <v>0</v>
      </c>
      <c r="CF22" s="18">
        <f>'Cost (Model)'!CL68</f>
        <v>0</v>
      </c>
      <c r="CG22" s="18">
        <f>'Cost (Model)'!CM68</f>
        <v>0</v>
      </c>
      <c r="CH22" s="18">
        <f>'Cost (Model)'!CN68</f>
        <v>0</v>
      </c>
      <c r="CI22" s="18">
        <f>'Cost (Model)'!CO68</f>
        <v>237809.7794092322</v>
      </c>
      <c r="CJ22" s="18">
        <f>'Cost (Model)'!CP68</f>
        <v>0</v>
      </c>
      <c r="CK22" s="18">
        <f>'Cost (Model)'!CQ68</f>
        <v>0</v>
      </c>
      <c r="CL22" s="18">
        <f>'Cost (Model)'!CR68</f>
        <v>0</v>
      </c>
      <c r="CM22" s="18">
        <f>'Cost (Model)'!CS68</f>
        <v>0</v>
      </c>
      <c r="CN22" s="18">
        <f>'Cost (Model)'!CT68</f>
        <v>0</v>
      </c>
      <c r="CO22" s="18">
        <f>'Cost (Model)'!CU68</f>
        <v>0</v>
      </c>
      <c r="CP22" s="18">
        <f>'Cost (Model)'!CV68</f>
        <v>0</v>
      </c>
      <c r="CQ22" s="18">
        <f>'Cost (Model)'!CW68</f>
        <v>0</v>
      </c>
      <c r="CR22" s="18">
        <f>'Cost (Model)'!CX68</f>
        <v>0</v>
      </c>
      <c r="CS22" s="18">
        <f>'Cost (Model)'!CY68</f>
        <v>0</v>
      </c>
      <c r="CT22" s="18">
        <f>'Cost (Model)'!CZ68</f>
        <v>0</v>
      </c>
      <c r="CU22" s="18">
        <f>'Cost (Model)'!DA68</f>
        <v>0</v>
      </c>
      <c r="CV22" s="18">
        <f>'Cost (Model)'!DB68</f>
        <v>0</v>
      </c>
      <c r="CW22" s="18">
        <f>'Cost (Model)'!DC68</f>
        <v>313784.95357914816</v>
      </c>
      <c r="CX22" s="18">
        <f>'Cost (Model)'!DD68</f>
        <v>0</v>
      </c>
      <c r="CY22" s="18">
        <f>'Cost (Model)'!DE68</f>
        <v>0</v>
      </c>
    </row>
    <row r="23" spans="1:103" ht="15.75" customHeight="1" outlineLevel="2" x14ac:dyDescent="0.2">
      <c r="A23" s="4" t="s">
        <v>20</v>
      </c>
      <c r="B23" s="21">
        <f t="shared" si="2"/>
        <v>-21846952.601947539</v>
      </c>
      <c r="C23" s="18">
        <f>'Cost (Model)'!I145</f>
        <v>9066614.6916555073</v>
      </c>
      <c r="D23" s="18">
        <f>'Cost (Model)'!J145</f>
        <v>9275390.963573169</v>
      </c>
      <c r="E23" s="18">
        <f>'Cost (Model)'!K145</f>
        <v>97736.933753193473</v>
      </c>
      <c r="F23" s="18">
        <f>'Cost (Model)'!L145</f>
        <v>99520.316006900917</v>
      </c>
      <c r="G23" s="18">
        <f>'Cost (Model)'!M145</f>
        <v>101339.3659056825</v>
      </c>
      <c r="H23" s="18">
        <f>'Cost (Model)'!N145</f>
        <v>103194.79680243974</v>
      </c>
      <c r="I23" s="18">
        <f>'Cost (Model)'!O145</f>
        <v>105087.33631713211</v>
      </c>
      <c r="J23" s="18">
        <f>'Cost (Model)'!P145</f>
        <v>107017.72662211831</v>
      </c>
      <c r="K23" s="18">
        <f>'Cost (Model)'!Q145</f>
        <v>108986.72473320429</v>
      </c>
      <c r="L23" s="18">
        <f>'Cost (Model)'!R145</f>
        <v>110995.10280651193</v>
      </c>
      <c r="M23" s="18">
        <f>'Cost (Model)'!S145</f>
        <v>113043.64844128575</v>
      </c>
      <c r="N23" s="18">
        <f>'Cost (Model)'!T145</f>
        <v>115133.16498875504</v>
      </c>
      <c r="O23" s="18">
        <f>'Cost (Model)'!U145</f>
        <v>117264.47186717374</v>
      </c>
      <c r="P23" s="18">
        <f>'Cost (Model)'!V145</f>
        <v>119438.40488316077</v>
      </c>
      <c r="Q23" s="18">
        <f>'Cost (Model)'!W145</f>
        <v>121655.81655946758</v>
      </c>
      <c r="R23" s="18">
        <f>'Cost (Model)'!X145</f>
        <v>123917.57646930047</v>
      </c>
      <c r="S23" s="18">
        <f>'Cost (Model)'!Y145</f>
        <v>126224.57157733008</v>
      </c>
      <c r="T23" s="18">
        <f>'Cost (Model)'!Z145</f>
        <v>128577.70658752028</v>
      </c>
      <c r="U23" s="18">
        <f>'Cost (Model)'!AA145</f>
        <v>130977.90429791425</v>
      </c>
      <c r="V23" s="18">
        <f>'Cost (Model)'!AB145</f>
        <v>133426.1059625161</v>
      </c>
      <c r="W23" s="18">
        <f>'Cost (Model)'!AC145</f>
        <v>135923.27166041004</v>
      </c>
      <c r="X23" s="18">
        <f>'Cost (Model)'!AD145</f>
        <v>138470.38067226182</v>
      </c>
      <c r="Y23" s="18">
        <f>'Cost (Model)'!AE145</f>
        <v>141068.4318643506</v>
      </c>
      <c r="Z23" s="18">
        <f>'Cost (Model)'!AF145</f>
        <v>143718.44408028119</v>
      </c>
      <c r="AA23" s="18">
        <f>'Cost (Model)'!AG145</f>
        <v>146421.45654053037</v>
      </c>
      <c r="AB23" s="18">
        <f>'Cost (Model)'!AH145</f>
        <v>149178.52924998457</v>
      </c>
      <c r="AC23" s="18">
        <f>'Cost (Model)'!AI145</f>
        <v>151990.74341362785</v>
      </c>
      <c r="AD23" s="18">
        <f>'Cost (Model)'!AJ145</f>
        <v>154859.20186054395</v>
      </c>
      <c r="AE23" s="18">
        <f>'Cost (Model)'!AK145</f>
        <v>157785.02947639846</v>
      </c>
      <c r="AF23" s="18">
        <f>'Cost (Model)'!AL145</f>
        <v>160769.37364457001</v>
      </c>
      <c r="AG23" s="18">
        <f>'Cost (Model)'!AM145</f>
        <v>163813.40469610496</v>
      </c>
      <c r="AH23" s="18">
        <f>'Cost (Model)'!AN145</f>
        <v>166918.31636867064</v>
      </c>
      <c r="AI23" s="18">
        <f>'Cost (Model)'!AO145</f>
        <v>170085.32627468766</v>
      </c>
      <c r="AJ23" s="18">
        <f>'Cost (Model)'!AP145</f>
        <v>173315.67637882495</v>
      </c>
      <c r="AK23" s="18">
        <f>'Cost (Model)'!AQ145</f>
        <v>176610.63348504502</v>
      </c>
      <c r="AL23" s="18">
        <f>'Cost (Model)'!AR145</f>
        <v>179971.48973338952</v>
      </c>
      <c r="AM23" s="18">
        <f>'Cost (Model)'!AS145</f>
        <v>183399.56310670087</v>
      </c>
      <c r="AN23" s="18">
        <f>'Cost (Model)'!AT145</f>
        <v>186896.19794747847</v>
      </c>
      <c r="AO23" s="18">
        <f>'Cost (Model)'!AU145</f>
        <v>190462.76548507164</v>
      </c>
      <c r="AP23" s="18">
        <f>'Cost (Model)'!AV145</f>
        <v>194100.6643734166</v>
      </c>
      <c r="AQ23" s="18">
        <f>'Cost (Model)'!AW145</f>
        <v>197811.32123952854</v>
      </c>
      <c r="AR23" s="18">
        <f>'Cost (Model)'!AX145</f>
        <v>201596.1912429627</v>
      </c>
      <c r="AS23" s="18">
        <f>'Cost (Model)'!AY145</f>
        <v>205456.75864646555</v>
      </c>
      <c r="AT23" s="18">
        <f>'Cost (Model)'!AZ145</f>
        <v>209394.5373980384</v>
      </c>
      <c r="AU23" s="18">
        <f>'Cost (Model)'!BA145</f>
        <v>213411.0717246428</v>
      </c>
      <c r="AV23" s="18">
        <f>'Cost (Model)'!BB145</f>
        <v>217507.93673777918</v>
      </c>
      <c r="AW23" s="18">
        <f>'Cost (Model)'!BC145</f>
        <v>221686.73905117839</v>
      </c>
      <c r="AX23" s="18">
        <f>'Cost (Model)'!BD145</f>
        <v>225949.11741084547</v>
      </c>
      <c r="AY23" s="18">
        <f>'Cost (Model)'!BE145</f>
        <v>230296.74333770599</v>
      </c>
      <c r="AZ23" s="18">
        <f>'Cost (Model)'!BF145</f>
        <v>234731.32178310369</v>
      </c>
      <c r="BA23" s="18">
        <f>'Cost (Model)'!BG145</f>
        <v>239254.59179740938</v>
      </c>
      <c r="BB23" s="18">
        <f>'Cost (Model)'!BH145</f>
        <v>243868.32721200108</v>
      </c>
      <c r="BC23" s="18">
        <f>'Cost (Model)'!BI145</f>
        <v>248574.33733488474</v>
      </c>
      <c r="BD23" s="18">
        <f>'Cost (Model)'!BJ145</f>
        <v>253374.46766022599</v>
      </c>
      <c r="BE23" s="18">
        <f>'Cost (Model)'!BK145</f>
        <v>258270.60059207407</v>
      </c>
      <c r="BF23" s="18">
        <f>'Cost (Model)'!BL145</f>
        <v>263264.65618255909</v>
      </c>
      <c r="BG23" s="18">
        <f>'Cost (Model)'!BM145</f>
        <v>268358.59288485389</v>
      </c>
      <c r="BH23" s="18">
        <f>'Cost (Model)'!BN145</f>
        <v>273554.40832119447</v>
      </c>
      <c r="BI23" s="18">
        <f>'Cost (Model)'!BO145</f>
        <v>278854.14006626204</v>
      </c>
      <c r="BJ23" s="18">
        <f>'Cost (Model)'!BP145</f>
        <v>284259.86644623079</v>
      </c>
      <c r="BK23" s="18">
        <f>'Cost (Model)'!BQ145</f>
        <v>289773.70735379914</v>
      </c>
      <c r="BL23" s="18">
        <f>'Cost (Model)'!BR145</f>
        <v>295397.82507951854</v>
      </c>
      <c r="BM23" s="18">
        <f>'Cost (Model)'!BS145</f>
        <v>301134.4251597526</v>
      </c>
      <c r="BN23" s="18">
        <f>'Cost (Model)'!BT145</f>
        <v>306985.75724159105</v>
      </c>
      <c r="BO23" s="18">
        <f>'Cost (Model)'!BU145</f>
        <v>312954.11596506659</v>
      </c>
      <c r="BP23" s="18">
        <f>'Cost (Model)'!BV145</f>
        <v>319041.84186301153</v>
      </c>
      <c r="BQ23" s="18">
        <f>'Cost (Model)'!BW145</f>
        <v>325251.32227891526</v>
      </c>
      <c r="BR23" s="18">
        <f>'Cost (Model)'!BX145</f>
        <v>331584.99230313714</v>
      </c>
      <c r="BS23" s="18">
        <f>'Cost (Model)'!BY145</f>
        <v>338045.33572784357</v>
      </c>
      <c r="BT23" s="18">
        <f>'Cost (Model)'!BZ145</f>
        <v>344634.88602104393</v>
      </c>
      <c r="BU23" s="18">
        <f>'Cost (Model)'!CA145</f>
        <v>351356.22732010839</v>
      </c>
      <c r="BV23" s="18">
        <f>'Cost (Model)'!CB145</f>
        <v>358211.99544515408</v>
      </c>
      <c r="BW23" s="18">
        <f>'Cost (Model)'!CC145</f>
        <v>365204.87893270084</v>
      </c>
      <c r="BX23" s="18">
        <f>'Cost (Model)'!CD145</f>
        <v>372337.62008999835</v>
      </c>
      <c r="BY23" s="18">
        <f>'Cost (Model)'!CE145</f>
        <v>379613.01607044198</v>
      </c>
      <c r="BZ23" s="18">
        <f>'Cost (Model)'!CF145</f>
        <v>387033.91997049429</v>
      </c>
      <c r="CA23" s="18">
        <f>'Cost (Model)'!CG145</f>
        <v>394603.24194854777</v>
      </c>
      <c r="CB23" s="18">
        <f>'Cost (Model)'!CH145</f>
        <v>402323.95036616235</v>
      </c>
      <c r="CC23" s="18">
        <f>'Cost (Model)'!CI145</f>
        <v>410199.07295212924</v>
      </c>
      <c r="CD23" s="18">
        <f>'Cost (Model)'!CJ145</f>
        <v>418231.69798981526</v>
      </c>
      <c r="CE23" s="18">
        <f>'Cost (Model)'!CK145</f>
        <v>426424.97552825522</v>
      </c>
      <c r="CF23" s="18">
        <f>'Cost (Model)'!CL145</f>
        <v>434782.11861746392</v>
      </c>
      <c r="CG23" s="18">
        <f>'Cost (Model)'!CM145</f>
        <v>443306.40456845664</v>
      </c>
      <c r="CH23" s="18">
        <f>'Cost (Model)'!CN145</f>
        <v>452001.17623846949</v>
      </c>
      <c r="CI23" s="18">
        <f>'Cost (Model)'!CO145</f>
        <v>460869.8433418824</v>
      </c>
      <c r="CJ23" s="18">
        <f>'Cost (Model)'!CP145</f>
        <v>469915.88378736365</v>
      </c>
      <c r="CK23" s="18">
        <f>'Cost (Model)'!CQ145</f>
        <v>479142.84504175454</v>
      </c>
      <c r="CL23" s="18">
        <f>'Cost (Model)'!CR145</f>
        <v>488554.34552123304</v>
      </c>
      <c r="CM23" s="18">
        <f>'Cost (Model)'!CS145</f>
        <v>498154.0760103013</v>
      </c>
      <c r="CN23" s="18">
        <f>'Cost (Model)'!CT145</f>
        <v>507945.80110915098</v>
      </c>
      <c r="CO23" s="18">
        <f>'Cost (Model)'!CU145</f>
        <v>517933.36070997757</v>
      </c>
      <c r="CP23" s="18">
        <f>'Cost (Model)'!CV145</f>
        <v>528120.67150282068</v>
      </c>
      <c r="CQ23" s="18">
        <f>'Cost (Model)'!CW145</f>
        <v>538511.72851152078</v>
      </c>
      <c r="CR23" s="18">
        <f>'Cost (Model)'!CX145</f>
        <v>549110.6066603947</v>
      </c>
      <c r="CS23" s="18">
        <f>'Cost (Model)'!CY145</f>
        <v>559921.4623722462</v>
      </c>
      <c r="CT23" s="18">
        <f>'Cost (Model)'!CZ145</f>
        <v>570948.53519833449</v>
      </c>
      <c r="CU23" s="18">
        <f>'Cost (Model)'!DA145</f>
        <v>582196.14948094485</v>
      </c>
      <c r="CV23" s="18">
        <f>'Cost (Model)'!DB145</f>
        <v>593668.71604920749</v>
      </c>
      <c r="CW23" s="18">
        <f>'Cost (Model)'!DC145</f>
        <v>605370.73394883506</v>
      </c>
      <c r="CX23" s="18">
        <f>'Cost (Model)'!DD145</f>
        <v>617306.79220645537</v>
      </c>
      <c r="CY23" s="18">
        <f>'Cost (Model)'!DE145</f>
        <v>629481.57162922807</v>
      </c>
    </row>
    <row r="24" spans="1:103" ht="15.75" customHeight="1" outlineLevel="2" x14ac:dyDescent="0.2">
      <c r="A24" s="22" t="s">
        <v>21</v>
      </c>
      <c r="B24" s="23">
        <f>SUM(B22:B23)</f>
        <v>-22017233.286061391</v>
      </c>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row>
    <row r="25" spans="1:103" ht="15.75" customHeight="1" outlineLevel="2" x14ac:dyDescent="0.2">
      <c r="A25" s="24" t="s">
        <v>22</v>
      </c>
      <c r="B25" s="25">
        <f t="array" ref="B25">-NPV(D$2,D25:CY25)+-C25</f>
        <v>-13326712.226161838</v>
      </c>
      <c r="C25" s="18">
        <f>'Utilidor Construction &amp; Mainten'!I4</f>
        <v>0</v>
      </c>
      <c r="D25" s="18">
        <f>'Utilidor Construction &amp; Mainten'!J4</f>
        <v>13859780.715208312</v>
      </c>
      <c r="E25" s="18">
        <f>'Utilidor Construction &amp; Mainten'!K4</f>
        <v>0</v>
      </c>
      <c r="F25" s="18">
        <f>'Utilidor Construction &amp; Mainten'!L4</f>
        <v>0</v>
      </c>
      <c r="G25" s="18">
        <f>'Utilidor Construction &amp; Mainten'!M4</f>
        <v>0</v>
      </c>
      <c r="H25" s="18">
        <f>'Utilidor Construction &amp; Mainten'!N4</f>
        <v>0</v>
      </c>
      <c r="I25" s="18">
        <f>'Utilidor Construction &amp; Mainten'!O4</f>
        <v>0</v>
      </c>
      <c r="J25" s="18">
        <f>'Utilidor Construction &amp; Mainten'!P4</f>
        <v>0</v>
      </c>
      <c r="K25" s="18">
        <f>'Utilidor Construction &amp; Mainten'!Q4</f>
        <v>0</v>
      </c>
      <c r="L25" s="18">
        <f>'Utilidor Construction &amp; Mainten'!R4</f>
        <v>0</v>
      </c>
      <c r="M25" s="18">
        <f>'Utilidor Construction &amp; Mainten'!S4</f>
        <v>0</v>
      </c>
      <c r="N25" s="18">
        <f>'Utilidor Construction &amp; Mainten'!T4</f>
        <v>0</v>
      </c>
      <c r="O25" s="18">
        <f>'Utilidor Construction &amp; Mainten'!U4</f>
        <v>0</v>
      </c>
      <c r="P25" s="18">
        <f>'Utilidor Construction &amp; Mainten'!V4</f>
        <v>0</v>
      </c>
      <c r="Q25" s="18">
        <f>'Utilidor Construction &amp; Mainten'!W4</f>
        <v>0</v>
      </c>
      <c r="R25" s="18">
        <f>'Utilidor Construction &amp; Mainten'!X4</f>
        <v>0</v>
      </c>
      <c r="S25" s="18">
        <f>'Utilidor Construction &amp; Mainten'!Y4</f>
        <v>0</v>
      </c>
      <c r="T25" s="18">
        <f>'Utilidor Construction &amp; Mainten'!Z4</f>
        <v>0</v>
      </c>
      <c r="U25" s="18">
        <f>'Utilidor Construction &amp; Mainten'!AA4</f>
        <v>0</v>
      </c>
      <c r="V25" s="18">
        <f>'Utilidor Construction &amp; Mainten'!AB4</f>
        <v>0</v>
      </c>
      <c r="W25" s="18">
        <f>'Utilidor Construction &amp; Mainten'!AC4</f>
        <v>0</v>
      </c>
      <c r="X25" s="18">
        <f>'Utilidor Construction &amp; Mainten'!AD4</f>
        <v>0</v>
      </c>
      <c r="Y25" s="18">
        <f>'Utilidor Construction &amp; Mainten'!AE4</f>
        <v>0</v>
      </c>
      <c r="Z25" s="18">
        <f>'Utilidor Construction &amp; Mainten'!AF4</f>
        <v>0</v>
      </c>
      <c r="AA25" s="18">
        <f>'Utilidor Construction &amp; Mainten'!AG4</f>
        <v>0</v>
      </c>
      <c r="AB25" s="18">
        <f>'Utilidor Construction &amp; Mainten'!AH4</f>
        <v>0</v>
      </c>
      <c r="AC25" s="18">
        <f>'Utilidor Construction &amp; Mainten'!AI4</f>
        <v>0</v>
      </c>
      <c r="AD25" s="18">
        <f>'Utilidor Construction &amp; Mainten'!AJ4</f>
        <v>0</v>
      </c>
      <c r="AE25" s="18">
        <f>'Utilidor Construction &amp; Mainten'!AK4</f>
        <v>0</v>
      </c>
      <c r="AF25" s="18">
        <f>'Utilidor Construction &amp; Mainten'!AL4</f>
        <v>0</v>
      </c>
      <c r="AG25" s="18">
        <f>'Utilidor Construction &amp; Mainten'!AM4</f>
        <v>0</v>
      </c>
      <c r="AH25" s="18">
        <f>'Utilidor Construction &amp; Mainten'!AN4</f>
        <v>0</v>
      </c>
      <c r="AI25" s="18">
        <f>'Utilidor Construction &amp; Mainten'!AO4</f>
        <v>0</v>
      </c>
      <c r="AJ25" s="18">
        <f>'Utilidor Construction &amp; Mainten'!AP4</f>
        <v>0</v>
      </c>
      <c r="AK25" s="18">
        <f>'Utilidor Construction &amp; Mainten'!AQ4</f>
        <v>0</v>
      </c>
      <c r="AL25" s="18">
        <f>'Utilidor Construction &amp; Mainten'!AR4</f>
        <v>0</v>
      </c>
      <c r="AM25" s="18">
        <f>'Utilidor Construction &amp; Mainten'!AS4</f>
        <v>0</v>
      </c>
      <c r="AN25" s="18">
        <f>'Utilidor Construction &amp; Mainten'!AT4</f>
        <v>0</v>
      </c>
      <c r="AO25" s="18">
        <f>'Utilidor Construction &amp; Mainten'!AU4</f>
        <v>0</v>
      </c>
      <c r="AP25" s="18">
        <f>'Utilidor Construction &amp; Mainten'!AV4</f>
        <v>0</v>
      </c>
      <c r="AQ25" s="18">
        <f>'Utilidor Construction &amp; Mainten'!AW4</f>
        <v>0</v>
      </c>
      <c r="AR25" s="18">
        <f>'Utilidor Construction &amp; Mainten'!AX4</f>
        <v>0</v>
      </c>
      <c r="AS25" s="18">
        <f>'Utilidor Construction &amp; Mainten'!AY4</f>
        <v>0</v>
      </c>
      <c r="AT25" s="18">
        <f>'Utilidor Construction &amp; Mainten'!AZ4</f>
        <v>0</v>
      </c>
      <c r="AU25" s="18">
        <f>'Utilidor Construction &amp; Mainten'!BA4</f>
        <v>0</v>
      </c>
      <c r="AV25" s="18">
        <f>'Utilidor Construction &amp; Mainten'!BB4</f>
        <v>0</v>
      </c>
      <c r="AW25" s="18">
        <f>'Utilidor Construction &amp; Mainten'!BC4</f>
        <v>0</v>
      </c>
      <c r="AX25" s="18">
        <f>'Utilidor Construction &amp; Mainten'!BD4</f>
        <v>0</v>
      </c>
      <c r="AY25" s="18">
        <f>'Utilidor Construction &amp; Mainten'!BE4</f>
        <v>0</v>
      </c>
      <c r="AZ25" s="18">
        <f>'Utilidor Construction &amp; Mainten'!BF4</f>
        <v>0</v>
      </c>
      <c r="BA25" s="18">
        <f>'Utilidor Construction &amp; Mainten'!BG4</f>
        <v>0</v>
      </c>
      <c r="BB25" s="18">
        <f>'Utilidor Construction &amp; Mainten'!BH4</f>
        <v>0</v>
      </c>
      <c r="BC25" s="18">
        <f>'Utilidor Construction &amp; Mainten'!BI4</f>
        <v>0</v>
      </c>
      <c r="BD25" s="18">
        <f>'Utilidor Construction &amp; Mainten'!BJ4</f>
        <v>0</v>
      </c>
      <c r="BE25" s="18">
        <f>'Utilidor Construction &amp; Mainten'!BK4</f>
        <v>0</v>
      </c>
      <c r="BF25" s="18">
        <f>'Utilidor Construction &amp; Mainten'!BL4</f>
        <v>0</v>
      </c>
      <c r="BG25" s="18">
        <f>'Utilidor Construction &amp; Mainten'!BM4</f>
        <v>0</v>
      </c>
      <c r="BH25" s="18">
        <f>'Utilidor Construction &amp; Mainten'!BN4</f>
        <v>0</v>
      </c>
      <c r="BI25" s="18">
        <f>'Utilidor Construction &amp; Mainten'!BO4</f>
        <v>0</v>
      </c>
      <c r="BJ25" s="18">
        <f>'Utilidor Construction &amp; Mainten'!BP4</f>
        <v>0</v>
      </c>
      <c r="BK25" s="18">
        <f>'Utilidor Construction &amp; Mainten'!BQ4</f>
        <v>0</v>
      </c>
      <c r="BL25" s="18">
        <f>'Utilidor Construction &amp; Mainten'!BR4</f>
        <v>0</v>
      </c>
      <c r="BM25" s="18">
        <f>'Utilidor Construction &amp; Mainten'!BS4</f>
        <v>0</v>
      </c>
      <c r="BN25" s="18">
        <f>'Utilidor Construction &amp; Mainten'!BT4</f>
        <v>0</v>
      </c>
      <c r="BO25" s="18">
        <f>'Utilidor Construction &amp; Mainten'!BU4</f>
        <v>0</v>
      </c>
      <c r="BP25" s="18">
        <f>'Utilidor Construction &amp; Mainten'!BV4</f>
        <v>0</v>
      </c>
      <c r="BQ25" s="18">
        <f>'Utilidor Construction &amp; Mainten'!BW4</f>
        <v>0</v>
      </c>
      <c r="BR25" s="18">
        <f>'Utilidor Construction &amp; Mainten'!BX4</f>
        <v>0</v>
      </c>
      <c r="BS25" s="18">
        <f>'Utilidor Construction &amp; Mainten'!BY4</f>
        <v>0</v>
      </c>
      <c r="BT25" s="18">
        <f>'Utilidor Construction &amp; Mainten'!BZ4</f>
        <v>0</v>
      </c>
      <c r="BU25" s="18">
        <f>'Utilidor Construction &amp; Mainten'!CA4</f>
        <v>0</v>
      </c>
      <c r="BV25" s="18">
        <f>'Utilidor Construction &amp; Mainten'!CB4</f>
        <v>0</v>
      </c>
      <c r="BW25" s="18">
        <f>'Utilidor Construction &amp; Mainten'!CC4</f>
        <v>0</v>
      </c>
      <c r="BX25" s="18">
        <f>'Utilidor Construction &amp; Mainten'!CD4</f>
        <v>0</v>
      </c>
      <c r="BY25" s="18">
        <f>'Utilidor Construction &amp; Mainten'!CE4</f>
        <v>0</v>
      </c>
      <c r="BZ25" s="18">
        <f>'Utilidor Construction &amp; Mainten'!CF4</f>
        <v>0</v>
      </c>
      <c r="CA25" s="18">
        <f>'Utilidor Construction &amp; Mainten'!CG4</f>
        <v>0</v>
      </c>
      <c r="CB25" s="18">
        <f>'Utilidor Construction &amp; Mainten'!CH4</f>
        <v>0</v>
      </c>
      <c r="CC25" s="18">
        <f>'Utilidor Construction &amp; Mainten'!CI4</f>
        <v>0</v>
      </c>
      <c r="CD25" s="18">
        <f>'Utilidor Construction &amp; Mainten'!CJ4</f>
        <v>0</v>
      </c>
      <c r="CE25" s="18">
        <f>'Utilidor Construction &amp; Mainten'!CK4</f>
        <v>0</v>
      </c>
      <c r="CF25" s="18">
        <f>'Utilidor Construction &amp; Mainten'!CL4</f>
        <v>0</v>
      </c>
      <c r="CG25" s="18">
        <f>'Utilidor Construction &amp; Mainten'!CM4</f>
        <v>0</v>
      </c>
      <c r="CH25" s="18">
        <f>'Utilidor Construction &amp; Mainten'!CN4</f>
        <v>0</v>
      </c>
      <c r="CI25" s="18">
        <f>'Utilidor Construction &amp; Mainten'!CO4</f>
        <v>0</v>
      </c>
      <c r="CJ25" s="18">
        <f>'Utilidor Construction &amp; Mainten'!CP4</f>
        <v>0</v>
      </c>
      <c r="CK25" s="18">
        <f>'Utilidor Construction &amp; Mainten'!CQ4</f>
        <v>0</v>
      </c>
      <c r="CL25" s="18">
        <f>'Utilidor Construction &amp; Mainten'!CR4</f>
        <v>0</v>
      </c>
      <c r="CM25" s="18">
        <f>'Utilidor Construction &amp; Mainten'!CS4</f>
        <v>0</v>
      </c>
      <c r="CN25" s="18">
        <f>'Utilidor Construction &amp; Mainten'!CT4</f>
        <v>0</v>
      </c>
      <c r="CO25" s="18">
        <f>'Utilidor Construction &amp; Mainten'!CU4</f>
        <v>0</v>
      </c>
      <c r="CP25" s="18">
        <f>'Utilidor Construction &amp; Mainten'!CV4</f>
        <v>0</v>
      </c>
      <c r="CQ25" s="18">
        <f>'Utilidor Construction &amp; Mainten'!CW4</f>
        <v>0</v>
      </c>
      <c r="CR25" s="18">
        <f>'Utilidor Construction &amp; Mainten'!CX4</f>
        <v>0</v>
      </c>
      <c r="CS25" s="18">
        <f>'Utilidor Construction &amp; Mainten'!CY4</f>
        <v>0</v>
      </c>
      <c r="CT25" s="18">
        <f>'Utilidor Construction &amp; Mainten'!CZ4</f>
        <v>0</v>
      </c>
      <c r="CU25" s="18">
        <f>'Utilidor Construction &amp; Mainten'!DA4</f>
        <v>0</v>
      </c>
      <c r="CV25" s="18">
        <f>'Utilidor Construction &amp; Mainten'!DB4</f>
        <v>0</v>
      </c>
      <c r="CW25" s="18">
        <f>'Utilidor Construction &amp; Mainten'!DC4</f>
        <v>0</v>
      </c>
      <c r="CX25" s="18">
        <f>'Utilidor Construction &amp; Mainten'!DD4</f>
        <v>0</v>
      </c>
      <c r="CY25" s="18">
        <f>'Utilidor Construction &amp; Mainten'!DE4</f>
        <v>0</v>
      </c>
    </row>
    <row r="26" spans="1:103" ht="15.75" customHeight="1" outlineLevel="2" x14ac:dyDescent="0.2">
      <c r="A26" s="24" t="s">
        <v>23</v>
      </c>
      <c r="B26" s="25">
        <f t="shared" ref="B26:B31" si="3">-NPV(D$2,D26:CY26)-C26</f>
        <v>0</v>
      </c>
      <c r="C26" s="18">
        <f>'Utilidor Construction &amp; Mainten'!I5</f>
        <v>0</v>
      </c>
      <c r="D26" s="18">
        <f>'Utilidor Construction &amp; Mainten'!J5</f>
        <v>0</v>
      </c>
      <c r="E26" s="18">
        <f>'Utilidor Construction &amp; Mainten'!K5</f>
        <v>0</v>
      </c>
      <c r="F26" s="18">
        <f>'Utilidor Construction &amp; Mainten'!L5</f>
        <v>0</v>
      </c>
      <c r="G26" s="18">
        <f>'Utilidor Construction &amp; Mainten'!M5</f>
        <v>0</v>
      </c>
      <c r="H26" s="18">
        <f>'Utilidor Construction &amp; Mainten'!N5</f>
        <v>0</v>
      </c>
      <c r="I26" s="18">
        <f>'Utilidor Construction &amp; Mainten'!O5</f>
        <v>0</v>
      </c>
      <c r="J26" s="18">
        <f>'Utilidor Construction &amp; Mainten'!P5</f>
        <v>0</v>
      </c>
      <c r="K26" s="18">
        <f>'Utilidor Construction &amp; Mainten'!Q5</f>
        <v>0</v>
      </c>
      <c r="L26" s="18">
        <f>'Utilidor Construction &amp; Mainten'!R5</f>
        <v>0</v>
      </c>
      <c r="M26" s="18">
        <f>'Utilidor Construction &amp; Mainten'!S5</f>
        <v>0</v>
      </c>
      <c r="N26" s="18">
        <f>'Utilidor Construction &amp; Mainten'!T5</f>
        <v>0</v>
      </c>
      <c r="O26" s="18">
        <f>'Utilidor Construction &amp; Mainten'!U5</f>
        <v>0</v>
      </c>
      <c r="P26" s="18">
        <f>'Utilidor Construction &amp; Mainten'!V5</f>
        <v>0</v>
      </c>
      <c r="Q26" s="18">
        <f>'Utilidor Construction &amp; Mainten'!W5</f>
        <v>0</v>
      </c>
      <c r="R26" s="18">
        <f>'Utilidor Construction &amp; Mainten'!X5</f>
        <v>0</v>
      </c>
      <c r="S26" s="18">
        <f>'Utilidor Construction &amp; Mainten'!Y5</f>
        <v>0</v>
      </c>
      <c r="T26" s="18">
        <f>'Utilidor Construction &amp; Mainten'!Z5</f>
        <v>0</v>
      </c>
      <c r="U26" s="18">
        <f>'Utilidor Construction &amp; Mainten'!AA5</f>
        <v>0</v>
      </c>
      <c r="V26" s="18">
        <f>'Utilidor Construction &amp; Mainten'!AB5</f>
        <v>0</v>
      </c>
      <c r="W26" s="18">
        <f>'Utilidor Construction &amp; Mainten'!AC5</f>
        <v>0</v>
      </c>
      <c r="X26" s="18">
        <f>'Utilidor Construction &amp; Mainten'!AD5</f>
        <v>0</v>
      </c>
      <c r="Y26" s="18">
        <f>'Utilidor Construction &amp; Mainten'!AE5</f>
        <v>0</v>
      </c>
      <c r="Z26" s="18">
        <f>'Utilidor Construction &amp; Mainten'!AF5</f>
        <v>0</v>
      </c>
      <c r="AA26" s="18">
        <f>'Utilidor Construction &amp; Mainten'!AG5</f>
        <v>0</v>
      </c>
      <c r="AB26" s="18">
        <f>'Utilidor Construction &amp; Mainten'!AH5</f>
        <v>0</v>
      </c>
      <c r="AC26" s="18">
        <f>'Utilidor Construction &amp; Mainten'!AI5</f>
        <v>0</v>
      </c>
      <c r="AD26" s="18">
        <f>'Utilidor Construction &amp; Mainten'!AJ5</f>
        <v>0</v>
      </c>
      <c r="AE26" s="18">
        <f>'Utilidor Construction &amp; Mainten'!AK5</f>
        <v>0</v>
      </c>
      <c r="AF26" s="18">
        <f>'Utilidor Construction &amp; Mainten'!AL5</f>
        <v>0</v>
      </c>
      <c r="AG26" s="18">
        <f>'Utilidor Construction &amp; Mainten'!AM5</f>
        <v>0</v>
      </c>
      <c r="AH26" s="18">
        <f>'Utilidor Construction &amp; Mainten'!AN5</f>
        <v>0</v>
      </c>
      <c r="AI26" s="18">
        <f>'Utilidor Construction &amp; Mainten'!AO5</f>
        <v>0</v>
      </c>
      <c r="AJ26" s="18">
        <f>'Utilidor Construction &amp; Mainten'!AP5</f>
        <v>0</v>
      </c>
      <c r="AK26" s="18">
        <f>'Utilidor Construction &amp; Mainten'!AQ5</f>
        <v>0</v>
      </c>
      <c r="AL26" s="18">
        <f>'Utilidor Construction &amp; Mainten'!AR5</f>
        <v>0</v>
      </c>
      <c r="AM26" s="18">
        <f>'Utilidor Construction &amp; Mainten'!AS5</f>
        <v>0</v>
      </c>
      <c r="AN26" s="18">
        <f>'Utilidor Construction &amp; Mainten'!AT5</f>
        <v>0</v>
      </c>
      <c r="AO26" s="18">
        <f>'Utilidor Construction &amp; Mainten'!AU5</f>
        <v>0</v>
      </c>
      <c r="AP26" s="18">
        <f>'Utilidor Construction &amp; Mainten'!AV5</f>
        <v>0</v>
      </c>
      <c r="AQ26" s="18">
        <f>'Utilidor Construction &amp; Mainten'!AW5</f>
        <v>0</v>
      </c>
      <c r="AR26" s="18">
        <f>'Utilidor Construction &amp; Mainten'!AX5</f>
        <v>0</v>
      </c>
      <c r="AS26" s="18">
        <f>'Utilidor Construction &amp; Mainten'!AY5</f>
        <v>0</v>
      </c>
      <c r="AT26" s="18">
        <f>'Utilidor Construction &amp; Mainten'!AZ5</f>
        <v>0</v>
      </c>
      <c r="AU26" s="18">
        <f>'Utilidor Construction &amp; Mainten'!BA5</f>
        <v>0</v>
      </c>
      <c r="AV26" s="18">
        <f>'Utilidor Construction &amp; Mainten'!BB5</f>
        <v>0</v>
      </c>
      <c r="AW26" s="18">
        <f>'Utilidor Construction &amp; Mainten'!BC5</f>
        <v>0</v>
      </c>
      <c r="AX26" s="18">
        <f>'Utilidor Construction &amp; Mainten'!BD5</f>
        <v>0</v>
      </c>
      <c r="AY26" s="18">
        <f>'Utilidor Construction &amp; Mainten'!BE5</f>
        <v>0</v>
      </c>
      <c r="AZ26" s="18">
        <f>'Utilidor Construction &amp; Mainten'!BF5</f>
        <v>0</v>
      </c>
      <c r="BA26" s="18">
        <f>'Utilidor Construction &amp; Mainten'!BG5</f>
        <v>0</v>
      </c>
      <c r="BB26" s="18">
        <f>'Utilidor Construction &amp; Mainten'!BH5</f>
        <v>0</v>
      </c>
      <c r="BC26" s="18">
        <f>'Utilidor Construction &amp; Mainten'!BI5</f>
        <v>0</v>
      </c>
      <c r="BD26" s="18">
        <f>'Utilidor Construction &amp; Mainten'!BJ5</f>
        <v>0</v>
      </c>
      <c r="BE26" s="18">
        <f>'Utilidor Construction &amp; Mainten'!BK5</f>
        <v>0</v>
      </c>
      <c r="BF26" s="18">
        <f>'Utilidor Construction &amp; Mainten'!BL5</f>
        <v>0</v>
      </c>
      <c r="BG26" s="18">
        <f>'Utilidor Construction &amp; Mainten'!BM5</f>
        <v>0</v>
      </c>
      <c r="BH26" s="18">
        <f>'Utilidor Construction &amp; Mainten'!BN5</f>
        <v>0</v>
      </c>
      <c r="BI26" s="18">
        <f>'Utilidor Construction &amp; Mainten'!BO5</f>
        <v>0</v>
      </c>
      <c r="BJ26" s="18">
        <f>'Utilidor Construction &amp; Mainten'!BP5</f>
        <v>0</v>
      </c>
      <c r="BK26" s="18">
        <f>'Utilidor Construction &amp; Mainten'!BQ5</f>
        <v>0</v>
      </c>
      <c r="BL26" s="18">
        <f>'Utilidor Construction &amp; Mainten'!BR5</f>
        <v>0</v>
      </c>
      <c r="BM26" s="18">
        <f>'Utilidor Construction &amp; Mainten'!BS5</f>
        <v>0</v>
      </c>
      <c r="BN26" s="18">
        <f>'Utilidor Construction &amp; Mainten'!BT5</f>
        <v>0</v>
      </c>
      <c r="BO26" s="18">
        <f>'Utilidor Construction &amp; Mainten'!BU5</f>
        <v>0</v>
      </c>
      <c r="BP26" s="18">
        <f>'Utilidor Construction &amp; Mainten'!BV5</f>
        <v>0</v>
      </c>
      <c r="BQ26" s="18">
        <f>'Utilidor Construction &amp; Mainten'!BW5</f>
        <v>0</v>
      </c>
      <c r="BR26" s="18">
        <f>'Utilidor Construction &amp; Mainten'!BX5</f>
        <v>0</v>
      </c>
      <c r="BS26" s="18">
        <f>'Utilidor Construction &amp; Mainten'!BY5</f>
        <v>0</v>
      </c>
      <c r="BT26" s="18">
        <f>'Utilidor Construction &amp; Mainten'!BZ5</f>
        <v>0</v>
      </c>
      <c r="BU26" s="18">
        <f>'Utilidor Construction &amp; Mainten'!CA5</f>
        <v>0</v>
      </c>
      <c r="BV26" s="18">
        <f>'Utilidor Construction &amp; Mainten'!CB5</f>
        <v>0</v>
      </c>
      <c r="BW26" s="18">
        <f>'Utilidor Construction &amp; Mainten'!CC5</f>
        <v>0</v>
      </c>
      <c r="BX26" s="18">
        <f>'Utilidor Construction &amp; Mainten'!CD5</f>
        <v>0</v>
      </c>
      <c r="BY26" s="18">
        <f>'Utilidor Construction &amp; Mainten'!CE5</f>
        <v>0</v>
      </c>
      <c r="BZ26" s="18">
        <f>'Utilidor Construction &amp; Mainten'!CF5</f>
        <v>0</v>
      </c>
      <c r="CA26" s="18">
        <f>'Utilidor Construction &amp; Mainten'!CG5</f>
        <v>0</v>
      </c>
      <c r="CB26" s="18">
        <f>'Utilidor Construction &amp; Mainten'!CH5</f>
        <v>0</v>
      </c>
      <c r="CC26" s="18">
        <f>'Utilidor Construction &amp; Mainten'!CI5</f>
        <v>0</v>
      </c>
      <c r="CD26" s="18">
        <f>'Utilidor Construction &amp; Mainten'!CJ5</f>
        <v>0</v>
      </c>
      <c r="CE26" s="18">
        <f>'Utilidor Construction &amp; Mainten'!CK5</f>
        <v>0</v>
      </c>
      <c r="CF26" s="18">
        <f>'Utilidor Construction &amp; Mainten'!CL5</f>
        <v>0</v>
      </c>
      <c r="CG26" s="18">
        <f>'Utilidor Construction &amp; Mainten'!CM5</f>
        <v>0</v>
      </c>
      <c r="CH26" s="18">
        <f>'Utilidor Construction &amp; Mainten'!CN5</f>
        <v>0</v>
      </c>
      <c r="CI26" s="18">
        <f>'Utilidor Construction &amp; Mainten'!CO5</f>
        <v>0</v>
      </c>
      <c r="CJ26" s="18">
        <f>'Utilidor Construction &amp; Mainten'!CP5</f>
        <v>0</v>
      </c>
      <c r="CK26" s="18">
        <f>'Utilidor Construction &amp; Mainten'!CQ5</f>
        <v>0</v>
      </c>
      <c r="CL26" s="18">
        <f>'Utilidor Construction &amp; Mainten'!CR5</f>
        <v>0</v>
      </c>
      <c r="CM26" s="18">
        <f>'Utilidor Construction &amp; Mainten'!CS5</f>
        <v>0</v>
      </c>
      <c r="CN26" s="18">
        <f>'Utilidor Construction &amp; Mainten'!CT5</f>
        <v>0</v>
      </c>
      <c r="CO26" s="18">
        <f>'Utilidor Construction &amp; Mainten'!CU5</f>
        <v>0</v>
      </c>
      <c r="CP26" s="18">
        <f>'Utilidor Construction &amp; Mainten'!CV5</f>
        <v>0</v>
      </c>
      <c r="CQ26" s="18">
        <f>'Utilidor Construction &amp; Mainten'!CW5</f>
        <v>0</v>
      </c>
      <c r="CR26" s="18">
        <f>'Utilidor Construction &amp; Mainten'!CX5</f>
        <v>0</v>
      </c>
      <c r="CS26" s="18">
        <f>'Utilidor Construction &amp; Mainten'!CY5</f>
        <v>0</v>
      </c>
      <c r="CT26" s="18">
        <f>'Utilidor Construction &amp; Mainten'!CZ5</f>
        <v>0</v>
      </c>
      <c r="CU26" s="18">
        <f>'Utilidor Construction &amp; Mainten'!DA5</f>
        <v>0</v>
      </c>
      <c r="CV26" s="18">
        <f>'Utilidor Construction &amp; Mainten'!DB5</f>
        <v>0</v>
      </c>
      <c r="CW26" s="18">
        <f>'Utilidor Construction &amp; Mainten'!DC5</f>
        <v>0</v>
      </c>
      <c r="CX26" s="18">
        <f>'Utilidor Construction &amp; Mainten'!DD5</f>
        <v>0</v>
      </c>
      <c r="CY26" s="18">
        <f>'Utilidor Construction &amp; Mainten'!DE5</f>
        <v>0</v>
      </c>
    </row>
    <row r="27" spans="1:103" ht="15.75" customHeight="1" outlineLevel="2" x14ac:dyDescent="0.2">
      <c r="A27" s="24" t="s">
        <v>24</v>
      </c>
      <c r="B27" s="25">
        <f t="shared" si="3"/>
        <v>-29318766.89755604</v>
      </c>
      <c r="C27" s="18">
        <f>'Utilidor Construction &amp; Mainten'!I6</f>
        <v>0</v>
      </c>
      <c r="D27" s="18">
        <f>'Utilidor Construction &amp; Mainten'!J6</f>
        <v>30491517.573458284</v>
      </c>
      <c r="E27" s="18">
        <f>'Utilidor Construction &amp; Mainten'!K6</f>
        <v>0</v>
      </c>
      <c r="F27" s="18">
        <f>'Utilidor Construction &amp; Mainten'!L6</f>
        <v>0</v>
      </c>
      <c r="G27" s="18">
        <f>'Utilidor Construction &amp; Mainten'!M6</f>
        <v>0</v>
      </c>
      <c r="H27" s="18">
        <f>'Utilidor Construction &amp; Mainten'!N6</f>
        <v>0</v>
      </c>
      <c r="I27" s="18">
        <f>'Utilidor Construction &amp; Mainten'!O6</f>
        <v>0</v>
      </c>
      <c r="J27" s="18">
        <f>'Utilidor Construction &amp; Mainten'!P6</f>
        <v>0</v>
      </c>
      <c r="K27" s="18">
        <f>'Utilidor Construction &amp; Mainten'!Q6</f>
        <v>0</v>
      </c>
      <c r="L27" s="18">
        <f>'Utilidor Construction &amp; Mainten'!R6</f>
        <v>0</v>
      </c>
      <c r="M27" s="18">
        <f>'Utilidor Construction &amp; Mainten'!S6</f>
        <v>0</v>
      </c>
      <c r="N27" s="18">
        <f>'Utilidor Construction &amp; Mainten'!T6</f>
        <v>0</v>
      </c>
      <c r="O27" s="18">
        <f>'Utilidor Construction &amp; Mainten'!U6</f>
        <v>0</v>
      </c>
      <c r="P27" s="18">
        <f>'Utilidor Construction &amp; Mainten'!V6</f>
        <v>0</v>
      </c>
      <c r="Q27" s="18">
        <f>'Utilidor Construction &amp; Mainten'!W6</f>
        <v>0</v>
      </c>
      <c r="R27" s="18">
        <f>'Utilidor Construction &amp; Mainten'!X6</f>
        <v>0</v>
      </c>
      <c r="S27" s="18">
        <f>'Utilidor Construction &amp; Mainten'!Y6</f>
        <v>0</v>
      </c>
      <c r="T27" s="18">
        <f>'Utilidor Construction &amp; Mainten'!Z6</f>
        <v>0</v>
      </c>
      <c r="U27" s="18">
        <f>'Utilidor Construction &amp; Mainten'!AA6</f>
        <v>0</v>
      </c>
      <c r="V27" s="18">
        <f>'Utilidor Construction &amp; Mainten'!AB6</f>
        <v>0</v>
      </c>
      <c r="W27" s="18">
        <f>'Utilidor Construction &amp; Mainten'!AC6</f>
        <v>0</v>
      </c>
      <c r="X27" s="18">
        <f>'Utilidor Construction &amp; Mainten'!AD6</f>
        <v>0</v>
      </c>
      <c r="Y27" s="18">
        <f>'Utilidor Construction &amp; Mainten'!AE6</f>
        <v>0</v>
      </c>
      <c r="Z27" s="18">
        <f>'Utilidor Construction &amp; Mainten'!AF6</f>
        <v>0</v>
      </c>
      <c r="AA27" s="18">
        <f>'Utilidor Construction &amp; Mainten'!AG6</f>
        <v>0</v>
      </c>
      <c r="AB27" s="18">
        <f>'Utilidor Construction &amp; Mainten'!AH6</f>
        <v>0</v>
      </c>
      <c r="AC27" s="18">
        <f>'Utilidor Construction &amp; Mainten'!AI6</f>
        <v>0</v>
      </c>
      <c r="AD27" s="18">
        <f>'Utilidor Construction &amp; Mainten'!AJ6</f>
        <v>0</v>
      </c>
      <c r="AE27" s="18">
        <f>'Utilidor Construction &amp; Mainten'!AK6</f>
        <v>0</v>
      </c>
      <c r="AF27" s="18">
        <f>'Utilidor Construction &amp; Mainten'!AL6</f>
        <v>0</v>
      </c>
      <c r="AG27" s="18">
        <f>'Utilidor Construction &amp; Mainten'!AM6</f>
        <v>0</v>
      </c>
      <c r="AH27" s="18">
        <f>'Utilidor Construction &amp; Mainten'!AN6</f>
        <v>0</v>
      </c>
      <c r="AI27" s="18">
        <f>'Utilidor Construction &amp; Mainten'!AO6</f>
        <v>0</v>
      </c>
      <c r="AJ27" s="18">
        <f>'Utilidor Construction &amp; Mainten'!AP6</f>
        <v>0</v>
      </c>
      <c r="AK27" s="18">
        <f>'Utilidor Construction &amp; Mainten'!AQ6</f>
        <v>0</v>
      </c>
      <c r="AL27" s="18">
        <f>'Utilidor Construction &amp; Mainten'!AR6</f>
        <v>0</v>
      </c>
      <c r="AM27" s="18">
        <f>'Utilidor Construction &amp; Mainten'!AS6</f>
        <v>0</v>
      </c>
      <c r="AN27" s="18">
        <f>'Utilidor Construction &amp; Mainten'!AT6</f>
        <v>0</v>
      </c>
      <c r="AO27" s="18">
        <f>'Utilidor Construction &amp; Mainten'!AU6</f>
        <v>0</v>
      </c>
      <c r="AP27" s="18">
        <f>'Utilidor Construction &amp; Mainten'!AV6</f>
        <v>0</v>
      </c>
      <c r="AQ27" s="18">
        <f>'Utilidor Construction &amp; Mainten'!AW6</f>
        <v>0</v>
      </c>
      <c r="AR27" s="18">
        <f>'Utilidor Construction &amp; Mainten'!AX6</f>
        <v>0</v>
      </c>
      <c r="AS27" s="18">
        <f>'Utilidor Construction &amp; Mainten'!AY6</f>
        <v>0</v>
      </c>
      <c r="AT27" s="18">
        <f>'Utilidor Construction &amp; Mainten'!AZ6</f>
        <v>0</v>
      </c>
      <c r="AU27" s="18">
        <f>'Utilidor Construction &amp; Mainten'!BA6</f>
        <v>0</v>
      </c>
      <c r="AV27" s="18">
        <f>'Utilidor Construction &amp; Mainten'!BB6</f>
        <v>0</v>
      </c>
      <c r="AW27" s="18">
        <f>'Utilidor Construction &amp; Mainten'!BC6</f>
        <v>0</v>
      </c>
      <c r="AX27" s="18">
        <f>'Utilidor Construction &amp; Mainten'!BD6</f>
        <v>0</v>
      </c>
      <c r="AY27" s="18">
        <f>'Utilidor Construction &amp; Mainten'!BE6</f>
        <v>0</v>
      </c>
      <c r="AZ27" s="18">
        <f>'Utilidor Construction &amp; Mainten'!BF6</f>
        <v>0</v>
      </c>
      <c r="BA27" s="18">
        <f>'Utilidor Construction &amp; Mainten'!BG6</f>
        <v>0</v>
      </c>
      <c r="BB27" s="18">
        <f>'Utilidor Construction &amp; Mainten'!BH6</f>
        <v>0</v>
      </c>
      <c r="BC27" s="18">
        <f>'Utilidor Construction &amp; Mainten'!BI6</f>
        <v>0</v>
      </c>
      <c r="BD27" s="18">
        <f>'Utilidor Construction &amp; Mainten'!BJ6</f>
        <v>0</v>
      </c>
      <c r="BE27" s="18">
        <f>'Utilidor Construction &amp; Mainten'!BK6</f>
        <v>0</v>
      </c>
      <c r="BF27" s="18">
        <f>'Utilidor Construction &amp; Mainten'!BL6</f>
        <v>0</v>
      </c>
      <c r="BG27" s="18">
        <f>'Utilidor Construction &amp; Mainten'!BM6</f>
        <v>0</v>
      </c>
      <c r="BH27" s="18">
        <f>'Utilidor Construction &amp; Mainten'!BN6</f>
        <v>0</v>
      </c>
      <c r="BI27" s="18">
        <f>'Utilidor Construction &amp; Mainten'!BO6</f>
        <v>0</v>
      </c>
      <c r="BJ27" s="18">
        <f>'Utilidor Construction &amp; Mainten'!BP6</f>
        <v>0</v>
      </c>
      <c r="BK27" s="18">
        <f>'Utilidor Construction &amp; Mainten'!BQ6</f>
        <v>0</v>
      </c>
      <c r="BL27" s="18">
        <f>'Utilidor Construction &amp; Mainten'!BR6</f>
        <v>0</v>
      </c>
      <c r="BM27" s="18">
        <f>'Utilidor Construction &amp; Mainten'!BS6</f>
        <v>0</v>
      </c>
      <c r="BN27" s="18">
        <f>'Utilidor Construction &amp; Mainten'!BT6</f>
        <v>0</v>
      </c>
      <c r="BO27" s="18">
        <f>'Utilidor Construction &amp; Mainten'!BU6</f>
        <v>0</v>
      </c>
      <c r="BP27" s="18">
        <f>'Utilidor Construction &amp; Mainten'!BV6</f>
        <v>0</v>
      </c>
      <c r="BQ27" s="18">
        <f>'Utilidor Construction &amp; Mainten'!BW6</f>
        <v>0</v>
      </c>
      <c r="BR27" s="18">
        <f>'Utilidor Construction &amp; Mainten'!BX6</f>
        <v>0</v>
      </c>
      <c r="BS27" s="18">
        <f>'Utilidor Construction &amp; Mainten'!BY6</f>
        <v>0</v>
      </c>
      <c r="BT27" s="18">
        <f>'Utilidor Construction &amp; Mainten'!BZ6</f>
        <v>0</v>
      </c>
      <c r="BU27" s="18">
        <f>'Utilidor Construction &amp; Mainten'!CA6</f>
        <v>0</v>
      </c>
      <c r="BV27" s="18">
        <f>'Utilidor Construction &amp; Mainten'!CB6</f>
        <v>0</v>
      </c>
      <c r="BW27" s="18">
        <f>'Utilidor Construction &amp; Mainten'!CC6</f>
        <v>0</v>
      </c>
      <c r="BX27" s="18">
        <f>'Utilidor Construction &amp; Mainten'!CD6</f>
        <v>0</v>
      </c>
      <c r="BY27" s="18">
        <f>'Utilidor Construction &amp; Mainten'!CE6</f>
        <v>0</v>
      </c>
      <c r="BZ27" s="18">
        <f>'Utilidor Construction &amp; Mainten'!CF6</f>
        <v>0</v>
      </c>
      <c r="CA27" s="18">
        <f>'Utilidor Construction &amp; Mainten'!CG6</f>
        <v>0</v>
      </c>
      <c r="CB27" s="18">
        <f>'Utilidor Construction &amp; Mainten'!CH6</f>
        <v>0</v>
      </c>
      <c r="CC27" s="18">
        <f>'Utilidor Construction &amp; Mainten'!CI6</f>
        <v>0</v>
      </c>
      <c r="CD27" s="18">
        <f>'Utilidor Construction &amp; Mainten'!CJ6</f>
        <v>0</v>
      </c>
      <c r="CE27" s="18">
        <f>'Utilidor Construction &amp; Mainten'!CK6</f>
        <v>0</v>
      </c>
      <c r="CF27" s="18">
        <f>'Utilidor Construction &amp; Mainten'!CL6</f>
        <v>0</v>
      </c>
      <c r="CG27" s="18">
        <f>'Utilidor Construction &amp; Mainten'!CM6</f>
        <v>0</v>
      </c>
      <c r="CH27" s="18">
        <f>'Utilidor Construction &amp; Mainten'!CN6</f>
        <v>0</v>
      </c>
      <c r="CI27" s="18">
        <f>'Utilidor Construction &amp; Mainten'!CO6</f>
        <v>0</v>
      </c>
      <c r="CJ27" s="18">
        <f>'Utilidor Construction &amp; Mainten'!CP6</f>
        <v>0</v>
      </c>
      <c r="CK27" s="18">
        <f>'Utilidor Construction &amp; Mainten'!CQ6</f>
        <v>0</v>
      </c>
      <c r="CL27" s="18">
        <f>'Utilidor Construction &amp; Mainten'!CR6</f>
        <v>0</v>
      </c>
      <c r="CM27" s="18">
        <f>'Utilidor Construction &amp; Mainten'!CS6</f>
        <v>0</v>
      </c>
      <c r="CN27" s="18">
        <f>'Utilidor Construction &amp; Mainten'!CT6</f>
        <v>0</v>
      </c>
      <c r="CO27" s="18">
        <f>'Utilidor Construction &amp; Mainten'!CU6</f>
        <v>0</v>
      </c>
      <c r="CP27" s="18">
        <f>'Utilidor Construction &amp; Mainten'!CV6</f>
        <v>0</v>
      </c>
      <c r="CQ27" s="18">
        <f>'Utilidor Construction &amp; Mainten'!CW6</f>
        <v>0</v>
      </c>
      <c r="CR27" s="18">
        <f>'Utilidor Construction &amp; Mainten'!CX6</f>
        <v>0</v>
      </c>
      <c r="CS27" s="18">
        <f>'Utilidor Construction &amp; Mainten'!CY6</f>
        <v>0</v>
      </c>
      <c r="CT27" s="18">
        <f>'Utilidor Construction &amp; Mainten'!CZ6</f>
        <v>0</v>
      </c>
      <c r="CU27" s="18">
        <f>'Utilidor Construction &amp; Mainten'!DA6</f>
        <v>0</v>
      </c>
      <c r="CV27" s="18">
        <f>'Utilidor Construction &amp; Mainten'!DB6</f>
        <v>0</v>
      </c>
      <c r="CW27" s="18">
        <f>'Utilidor Construction &amp; Mainten'!DC6</f>
        <v>0</v>
      </c>
      <c r="CX27" s="18">
        <f>'Utilidor Construction &amp; Mainten'!DD6</f>
        <v>0</v>
      </c>
      <c r="CY27" s="18">
        <f>'Utilidor Construction &amp; Mainten'!DE6</f>
        <v>0</v>
      </c>
    </row>
    <row r="28" spans="1:103" ht="15.75" customHeight="1" outlineLevel="2" x14ac:dyDescent="0.2">
      <c r="A28" s="24" t="s">
        <v>25</v>
      </c>
      <c r="B28" s="25">
        <f t="shared" si="3"/>
        <v>0</v>
      </c>
      <c r="C28" s="18">
        <f>'Utilidor Construction &amp; Mainten'!I7</f>
        <v>0</v>
      </c>
      <c r="D28" s="18">
        <f>'Utilidor Construction &amp; Mainten'!J7</f>
        <v>0</v>
      </c>
      <c r="E28" s="18">
        <f>'Utilidor Construction &amp; Mainten'!K7</f>
        <v>0</v>
      </c>
      <c r="F28" s="18">
        <f>'Utilidor Construction &amp; Mainten'!L7</f>
        <v>0</v>
      </c>
      <c r="G28" s="18">
        <f>'Utilidor Construction &amp; Mainten'!M7</f>
        <v>0</v>
      </c>
      <c r="H28" s="18">
        <f>'Utilidor Construction &amp; Mainten'!N7</f>
        <v>0</v>
      </c>
      <c r="I28" s="18">
        <f>'Utilidor Construction &amp; Mainten'!O7</f>
        <v>0</v>
      </c>
      <c r="J28" s="18">
        <f>'Utilidor Construction &amp; Mainten'!P7</f>
        <v>0</v>
      </c>
      <c r="K28" s="18">
        <f>'Utilidor Construction &amp; Mainten'!Q7</f>
        <v>0</v>
      </c>
      <c r="L28" s="18">
        <f>'Utilidor Construction &amp; Mainten'!R7</f>
        <v>0</v>
      </c>
      <c r="M28" s="18">
        <f>'Utilidor Construction &amp; Mainten'!S7</f>
        <v>0</v>
      </c>
      <c r="N28" s="18">
        <f>'Utilidor Construction &amp; Mainten'!T7</f>
        <v>0</v>
      </c>
      <c r="O28" s="18">
        <f>'Utilidor Construction &amp; Mainten'!U7</f>
        <v>0</v>
      </c>
      <c r="P28" s="18">
        <f>'Utilidor Construction &amp; Mainten'!V7</f>
        <v>0</v>
      </c>
      <c r="Q28" s="18">
        <f>'Utilidor Construction &amp; Mainten'!W7</f>
        <v>0</v>
      </c>
      <c r="R28" s="18">
        <f>'Utilidor Construction &amp; Mainten'!X7</f>
        <v>0</v>
      </c>
      <c r="S28" s="18">
        <f>'Utilidor Construction &amp; Mainten'!Y7</f>
        <v>0</v>
      </c>
      <c r="T28" s="18">
        <f>'Utilidor Construction &amp; Mainten'!Z7</f>
        <v>0</v>
      </c>
      <c r="U28" s="18">
        <f>'Utilidor Construction &amp; Mainten'!AA7</f>
        <v>0</v>
      </c>
      <c r="V28" s="18">
        <f>'Utilidor Construction &amp; Mainten'!AB7</f>
        <v>0</v>
      </c>
      <c r="W28" s="18">
        <f>'Utilidor Construction &amp; Mainten'!AC7</f>
        <v>0</v>
      </c>
      <c r="X28" s="18">
        <f>'Utilidor Construction &amp; Mainten'!AD7</f>
        <v>0</v>
      </c>
      <c r="Y28" s="18">
        <f>'Utilidor Construction &amp; Mainten'!AE7</f>
        <v>0</v>
      </c>
      <c r="Z28" s="18">
        <f>'Utilidor Construction &amp; Mainten'!AF7</f>
        <v>0</v>
      </c>
      <c r="AA28" s="18">
        <f>'Utilidor Construction &amp; Mainten'!AG7</f>
        <v>0</v>
      </c>
      <c r="AB28" s="18">
        <f>'Utilidor Construction &amp; Mainten'!AH7</f>
        <v>0</v>
      </c>
      <c r="AC28" s="18">
        <f>'Utilidor Construction &amp; Mainten'!AI7</f>
        <v>0</v>
      </c>
      <c r="AD28" s="18">
        <f>'Utilidor Construction &amp; Mainten'!AJ7</f>
        <v>0</v>
      </c>
      <c r="AE28" s="18">
        <f>'Utilidor Construction &amp; Mainten'!AK7</f>
        <v>0</v>
      </c>
      <c r="AF28" s="18">
        <f>'Utilidor Construction &amp; Mainten'!AL7</f>
        <v>0</v>
      </c>
      <c r="AG28" s="18">
        <f>'Utilidor Construction &amp; Mainten'!AM7</f>
        <v>0</v>
      </c>
      <c r="AH28" s="18">
        <f>'Utilidor Construction &amp; Mainten'!AN7</f>
        <v>0</v>
      </c>
      <c r="AI28" s="18">
        <f>'Utilidor Construction &amp; Mainten'!AO7</f>
        <v>0</v>
      </c>
      <c r="AJ28" s="18">
        <f>'Utilidor Construction &amp; Mainten'!AP7</f>
        <v>0</v>
      </c>
      <c r="AK28" s="18">
        <f>'Utilidor Construction &amp; Mainten'!AQ7</f>
        <v>0</v>
      </c>
      <c r="AL28" s="18">
        <f>'Utilidor Construction &amp; Mainten'!AR7</f>
        <v>0</v>
      </c>
      <c r="AM28" s="18">
        <f>'Utilidor Construction &amp; Mainten'!AS7</f>
        <v>0</v>
      </c>
      <c r="AN28" s="18">
        <f>'Utilidor Construction &amp; Mainten'!AT7</f>
        <v>0</v>
      </c>
      <c r="AO28" s="18">
        <f>'Utilidor Construction &amp; Mainten'!AU7</f>
        <v>0</v>
      </c>
      <c r="AP28" s="18">
        <f>'Utilidor Construction &amp; Mainten'!AV7</f>
        <v>0</v>
      </c>
      <c r="AQ28" s="18">
        <f>'Utilidor Construction &amp; Mainten'!AW7</f>
        <v>0</v>
      </c>
      <c r="AR28" s="18">
        <f>'Utilidor Construction &amp; Mainten'!AX7</f>
        <v>0</v>
      </c>
      <c r="AS28" s="18">
        <f>'Utilidor Construction &amp; Mainten'!AY7</f>
        <v>0</v>
      </c>
      <c r="AT28" s="18">
        <f>'Utilidor Construction &amp; Mainten'!AZ7</f>
        <v>0</v>
      </c>
      <c r="AU28" s="18">
        <f>'Utilidor Construction &amp; Mainten'!BA7</f>
        <v>0</v>
      </c>
      <c r="AV28" s="18">
        <f>'Utilidor Construction &amp; Mainten'!BB7</f>
        <v>0</v>
      </c>
      <c r="AW28" s="18">
        <f>'Utilidor Construction &amp; Mainten'!BC7</f>
        <v>0</v>
      </c>
      <c r="AX28" s="18">
        <f>'Utilidor Construction &amp; Mainten'!BD7</f>
        <v>0</v>
      </c>
      <c r="AY28" s="18">
        <f>'Utilidor Construction &amp; Mainten'!BE7</f>
        <v>0</v>
      </c>
      <c r="AZ28" s="18">
        <f>'Utilidor Construction &amp; Mainten'!BF7</f>
        <v>0</v>
      </c>
      <c r="BA28" s="18">
        <f>'Utilidor Construction &amp; Mainten'!BG7</f>
        <v>0</v>
      </c>
      <c r="BB28" s="18">
        <f>'Utilidor Construction &amp; Mainten'!BH7</f>
        <v>0</v>
      </c>
      <c r="BC28" s="18">
        <f>'Utilidor Construction &amp; Mainten'!BI7</f>
        <v>0</v>
      </c>
      <c r="BD28" s="18">
        <f>'Utilidor Construction &amp; Mainten'!BJ7</f>
        <v>0</v>
      </c>
      <c r="BE28" s="18">
        <f>'Utilidor Construction &amp; Mainten'!BK7</f>
        <v>0</v>
      </c>
      <c r="BF28" s="18">
        <f>'Utilidor Construction &amp; Mainten'!BL7</f>
        <v>0</v>
      </c>
      <c r="BG28" s="18">
        <f>'Utilidor Construction &amp; Mainten'!BM7</f>
        <v>0</v>
      </c>
      <c r="BH28" s="18">
        <f>'Utilidor Construction &amp; Mainten'!BN7</f>
        <v>0</v>
      </c>
      <c r="BI28" s="18">
        <f>'Utilidor Construction &amp; Mainten'!BO7</f>
        <v>0</v>
      </c>
      <c r="BJ28" s="18">
        <f>'Utilidor Construction &amp; Mainten'!BP7</f>
        <v>0</v>
      </c>
      <c r="BK28" s="18">
        <f>'Utilidor Construction &amp; Mainten'!BQ7</f>
        <v>0</v>
      </c>
      <c r="BL28" s="18">
        <f>'Utilidor Construction &amp; Mainten'!BR7</f>
        <v>0</v>
      </c>
      <c r="BM28" s="18">
        <f>'Utilidor Construction &amp; Mainten'!BS7</f>
        <v>0</v>
      </c>
      <c r="BN28" s="18">
        <f>'Utilidor Construction &amp; Mainten'!BT7</f>
        <v>0</v>
      </c>
      <c r="BO28" s="18">
        <f>'Utilidor Construction &amp; Mainten'!BU7</f>
        <v>0</v>
      </c>
      <c r="BP28" s="18">
        <f>'Utilidor Construction &amp; Mainten'!BV7</f>
        <v>0</v>
      </c>
      <c r="BQ28" s="18">
        <f>'Utilidor Construction &amp; Mainten'!BW7</f>
        <v>0</v>
      </c>
      <c r="BR28" s="18">
        <f>'Utilidor Construction &amp; Mainten'!BX7</f>
        <v>0</v>
      </c>
      <c r="BS28" s="18">
        <f>'Utilidor Construction &amp; Mainten'!BY7</f>
        <v>0</v>
      </c>
      <c r="BT28" s="18">
        <f>'Utilidor Construction &amp; Mainten'!BZ7</f>
        <v>0</v>
      </c>
      <c r="BU28" s="18">
        <f>'Utilidor Construction &amp; Mainten'!CA7</f>
        <v>0</v>
      </c>
      <c r="BV28" s="18">
        <f>'Utilidor Construction &amp; Mainten'!CB7</f>
        <v>0</v>
      </c>
      <c r="BW28" s="18">
        <f>'Utilidor Construction &amp; Mainten'!CC7</f>
        <v>0</v>
      </c>
      <c r="BX28" s="18">
        <f>'Utilidor Construction &amp; Mainten'!CD7</f>
        <v>0</v>
      </c>
      <c r="BY28" s="18">
        <f>'Utilidor Construction &amp; Mainten'!CE7</f>
        <v>0</v>
      </c>
      <c r="BZ28" s="18">
        <f>'Utilidor Construction &amp; Mainten'!CF7</f>
        <v>0</v>
      </c>
      <c r="CA28" s="18">
        <f>'Utilidor Construction &amp; Mainten'!CG7</f>
        <v>0</v>
      </c>
      <c r="CB28" s="18">
        <f>'Utilidor Construction &amp; Mainten'!CH7</f>
        <v>0</v>
      </c>
      <c r="CC28" s="18">
        <f>'Utilidor Construction &amp; Mainten'!CI7</f>
        <v>0</v>
      </c>
      <c r="CD28" s="18">
        <f>'Utilidor Construction &amp; Mainten'!CJ7</f>
        <v>0</v>
      </c>
      <c r="CE28" s="18">
        <f>'Utilidor Construction &amp; Mainten'!CK7</f>
        <v>0</v>
      </c>
      <c r="CF28" s="18">
        <f>'Utilidor Construction &amp; Mainten'!CL7</f>
        <v>0</v>
      </c>
      <c r="CG28" s="18">
        <f>'Utilidor Construction &amp; Mainten'!CM7</f>
        <v>0</v>
      </c>
      <c r="CH28" s="18">
        <f>'Utilidor Construction &amp; Mainten'!CN7</f>
        <v>0</v>
      </c>
      <c r="CI28" s="18">
        <f>'Utilidor Construction &amp; Mainten'!CO7</f>
        <v>0</v>
      </c>
      <c r="CJ28" s="18">
        <f>'Utilidor Construction &amp; Mainten'!CP7</f>
        <v>0</v>
      </c>
      <c r="CK28" s="18">
        <f>'Utilidor Construction &amp; Mainten'!CQ7</f>
        <v>0</v>
      </c>
      <c r="CL28" s="18">
        <f>'Utilidor Construction &amp; Mainten'!CR7</f>
        <v>0</v>
      </c>
      <c r="CM28" s="18">
        <f>'Utilidor Construction &amp; Mainten'!CS7</f>
        <v>0</v>
      </c>
      <c r="CN28" s="18">
        <f>'Utilidor Construction &amp; Mainten'!CT7</f>
        <v>0</v>
      </c>
      <c r="CO28" s="18">
        <f>'Utilidor Construction &amp; Mainten'!CU7</f>
        <v>0</v>
      </c>
      <c r="CP28" s="18">
        <f>'Utilidor Construction &amp; Mainten'!CV7</f>
        <v>0</v>
      </c>
      <c r="CQ28" s="18">
        <f>'Utilidor Construction &amp; Mainten'!CW7</f>
        <v>0</v>
      </c>
      <c r="CR28" s="18">
        <f>'Utilidor Construction &amp; Mainten'!CX7</f>
        <v>0</v>
      </c>
      <c r="CS28" s="18">
        <f>'Utilidor Construction &amp; Mainten'!CY7</f>
        <v>0</v>
      </c>
      <c r="CT28" s="18">
        <f>'Utilidor Construction &amp; Mainten'!CZ7</f>
        <v>0</v>
      </c>
      <c r="CU28" s="18">
        <f>'Utilidor Construction &amp; Mainten'!DA7</f>
        <v>0</v>
      </c>
      <c r="CV28" s="18">
        <f>'Utilidor Construction &amp; Mainten'!DB7</f>
        <v>0</v>
      </c>
      <c r="CW28" s="18">
        <f>'Utilidor Construction &amp; Mainten'!DC7</f>
        <v>0</v>
      </c>
      <c r="CX28" s="18">
        <f>'Utilidor Construction &amp; Mainten'!DD7</f>
        <v>0</v>
      </c>
      <c r="CY28" s="18">
        <f>'Utilidor Construction &amp; Mainten'!DE7</f>
        <v>0</v>
      </c>
    </row>
    <row r="29" spans="1:103" ht="15.75" customHeight="1" outlineLevel="2" x14ac:dyDescent="0.2">
      <c r="A29" s="24" t="s">
        <v>26</v>
      </c>
      <c r="B29" s="25">
        <f t="shared" si="3"/>
        <v>-37314794.233253144</v>
      </c>
      <c r="C29" s="18">
        <f>'Utilidor Construction &amp; Mainten'!I8</f>
        <v>0</v>
      </c>
      <c r="D29" s="18">
        <f>'Utilidor Construction &amp; Mainten'!J8</f>
        <v>38807386.002583273</v>
      </c>
      <c r="E29" s="18">
        <f>'Utilidor Construction &amp; Mainten'!K8</f>
        <v>0</v>
      </c>
      <c r="F29" s="18">
        <f>'Utilidor Construction &amp; Mainten'!L8</f>
        <v>0</v>
      </c>
      <c r="G29" s="18">
        <f>'Utilidor Construction &amp; Mainten'!M8</f>
        <v>0</v>
      </c>
      <c r="H29" s="18">
        <f>'Utilidor Construction &amp; Mainten'!N8</f>
        <v>0</v>
      </c>
      <c r="I29" s="18">
        <f>'Utilidor Construction &amp; Mainten'!O8</f>
        <v>0</v>
      </c>
      <c r="J29" s="18">
        <f>'Utilidor Construction &amp; Mainten'!P8</f>
        <v>0</v>
      </c>
      <c r="K29" s="18">
        <f>'Utilidor Construction &amp; Mainten'!Q8</f>
        <v>0</v>
      </c>
      <c r="L29" s="18">
        <f>'Utilidor Construction &amp; Mainten'!R8</f>
        <v>0</v>
      </c>
      <c r="M29" s="18">
        <f>'Utilidor Construction &amp; Mainten'!S8</f>
        <v>0</v>
      </c>
      <c r="N29" s="18">
        <f>'Utilidor Construction &amp; Mainten'!T8</f>
        <v>0</v>
      </c>
      <c r="O29" s="18">
        <f>'Utilidor Construction &amp; Mainten'!U8</f>
        <v>0</v>
      </c>
      <c r="P29" s="18">
        <f>'Utilidor Construction &amp; Mainten'!V8</f>
        <v>0</v>
      </c>
      <c r="Q29" s="18">
        <f>'Utilidor Construction &amp; Mainten'!W8</f>
        <v>0</v>
      </c>
      <c r="R29" s="18">
        <f>'Utilidor Construction &amp; Mainten'!X8</f>
        <v>0</v>
      </c>
      <c r="S29" s="18">
        <f>'Utilidor Construction &amp; Mainten'!Y8</f>
        <v>0</v>
      </c>
      <c r="T29" s="18">
        <f>'Utilidor Construction &amp; Mainten'!Z8</f>
        <v>0</v>
      </c>
      <c r="U29" s="18">
        <f>'Utilidor Construction &amp; Mainten'!AA8</f>
        <v>0</v>
      </c>
      <c r="V29" s="18">
        <f>'Utilidor Construction &amp; Mainten'!AB8</f>
        <v>0</v>
      </c>
      <c r="W29" s="18">
        <f>'Utilidor Construction &amp; Mainten'!AC8</f>
        <v>0</v>
      </c>
      <c r="X29" s="18">
        <f>'Utilidor Construction &amp; Mainten'!AD8</f>
        <v>0</v>
      </c>
      <c r="Y29" s="18">
        <f>'Utilidor Construction &amp; Mainten'!AE8</f>
        <v>0</v>
      </c>
      <c r="Z29" s="18">
        <f>'Utilidor Construction &amp; Mainten'!AF8</f>
        <v>0</v>
      </c>
      <c r="AA29" s="18">
        <f>'Utilidor Construction &amp; Mainten'!AG8</f>
        <v>0</v>
      </c>
      <c r="AB29" s="18">
        <f>'Utilidor Construction &amp; Mainten'!AH8</f>
        <v>0</v>
      </c>
      <c r="AC29" s="18">
        <f>'Utilidor Construction &amp; Mainten'!AI8</f>
        <v>0</v>
      </c>
      <c r="AD29" s="18">
        <f>'Utilidor Construction &amp; Mainten'!AJ8</f>
        <v>0</v>
      </c>
      <c r="AE29" s="18">
        <f>'Utilidor Construction &amp; Mainten'!AK8</f>
        <v>0</v>
      </c>
      <c r="AF29" s="18">
        <f>'Utilidor Construction &amp; Mainten'!AL8</f>
        <v>0</v>
      </c>
      <c r="AG29" s="18">
        <f>'Utilidor Construction &amp; Mainten'!AM8</f>
        <v>0</v>
      </c>
      <c r="AH29" s="18">
        <f>'Utilidor Construction &amp; Mainten'!AN8</f>
        <v>0</v>
      </c>
      <c r="AI29" s="18">
        <f>'Utilidor Construction &amp; Mainten'!AO8</f>
        <v>0</v>
      </c>
      <c r="AJ29" s="18">
        <f>'Utilidor Construction &amp; Mainten'!AP8</f>
        <v>0</v>
      </c>
      <c r="AK29" s="18">
        <f>'Utilidor Construction &amp; Mainten'!AQ8</f>
        <v>0</v>
      </c>
      <c r="AL29" s="18">
        <f>'Utilidor Construction &amp; Mainten'!AR8</f>
        <v>0</v>
      </c>
      <c r="AM29" s="18">
        <f>'Utilidor Construction &amp; Mainten'!AS8</f>
        <v>0</v>
      </c>
      <c r="AN29" s="18">
        <f>'Utilidor Construction &amp; Mainten'!AT8</f>
        <v>0</v>
      </c>
      <c r="AO29" s="18">
        <f>'Utilidor Construction &amp; Mainten'!AU8</f>
        <v>0</v>
      </c>
      <c r="AP29" s="18">
        <f>'Utilidor Construction &amp; Mainten'!AV8</f>
        <v>0</v>
      </c>
      <c r="AQ29" s="18">
        <f>'Utilidor Construction &amp; Mainten'!AW8</f>
        <v>0</v>
      </c>
      <c r="AR29" s="18">
        <f>'Utilidor Construction &amp; Mainten'!AX8</f>
        <v>0</v>
      </c>
      <c r="AS29" s="18">
        <f>'Utilidor Construction &amp; Mainten'!AY8</f>
        <v>0</v>
      </c>
      <c r="AT29" s="18">
        <f>'Utilidor Construction &amp; Mainten'!AZ8</f>
        <v>0</v>
      </c>
      <c r="AU29" s="18">
        <f>'Utilidor Construction &amp; Mainten'!BA8</f>
        <v>0</v>
      </c>
      <c r="AV29" s="18">
        <f>'Utilidor Construction &amp; Mainten'!BB8</f>
        <v>0</v>
      </c>
      <c r="AW29" s="18">
        <f>'Utilidor Construction &amp; Mainten'!BC8</f>
        <v>0</v>
      </c>
      <c r="AX29" s="18">
        <f>'Utilidor Construction &amp; Mainten'!BD8</f>
        <v>0</v>
      </c>
      <c r="AY29" s="18">
        <f>'Utilidor Construction &amp; Mainten'!BE8</f>
        <v>0</v>
      </c>
      <c r="AZ29" s="18">
        <f>'Utilidor Construction &amp; Mainten'!BF8</f>
        <v>0</v>
      </c>
      <c r="BA29" s="18">
        <f>'Utilidor Construction &amp; Mainten'!BG8</f>
        <v>0</v>
      </c>
      <c r="BB29" s="18">
        <f>'Utilidor Construction &amp; Mainten'!BH8</f>
        <v>0</v>
      </c>
      <c r="BC29" s="18">
        <f>'Utilidor Construction &amp; Mainten'!BI8</f>
        <v>0</v>
      </c>
      <c r="BD29" s="18">
        <f>'Utilidor Construction &amp; Mainten'!BJ8</f>
        <v>0</v>
      </c>
      <c r="BE29" s="18">
        <f>'Utilidor Construction &amp; Mainten'!BK8</f>
        <v>0</v>
      </c>
      <c r="BF29" s="18">
        <f>'Utilidor Construction &amp; Mainten'!BL8</f>
        <v>0</v>
      </c>
      <c r="BG29" s="18">
        <f>'Utilidor Construction &amp; Mainten'!BM8</f>
        <v>0</v>
      </c>
      <c r="BH29" s="18">
        <f>'Utilidor Construction &amp; Mainten'!BN8</f>
        <v>0</v>
      </c>
      <c r="BI29" s="18">
        <f>'Utilidor Construction &amp; Mainten'!BO8</f>
        <v>0</v>
      </c>
      <c r="BJ29" s="18">
        <f>'Utilidor Construction &amp; Mainten'!BP8</f>
        <v>0</v>
      </c>
      <c r="BK29" s="18">
        <f>'Utilidor Construction &amp; Mainten'!BQ8</f>
        <v>0</v>
      </c>
      <c r="BL29" s="18">
        <f>'Utilidor Construction &amp; Mainten'!BR8</f>
        <v>0</v>
      </c>
      <c r="BM29" s="18">
        <f>'Utilidor Construction &amp; Mainten'!BS8</f>
        <v>0</v>
      </c>
      <c r="BN29" s="18">
        <f>'Utilidor Construction &amp; Mainten'!BT8</f>
        <v>0</v>
      </c>
      <c r="BO29" s="18">
        <f>'Utilidor Construction &amp; Mainten'!BU8</f>
        <v>0</v>
      </c>
      <c r="BP29" s="18">
        <f>'Utilidor Construction &amp; Mainten'!BV8</f>
        <v>0</v>
      </c>
      <c r="BQ29" s="18">
        <f>'Utilidor Construction &amp; Mainten'!BW8</f>
        <v>0</v>
      </c>
      <c r="BR29" s="18">
        <f>'Utilidor Construction &amp; Mainten'!BX8</f>
        <v>0</v>
      </c>
      <c r="BS29" s="18">
        <f>'Utilidor Construction &amp; Mainten'!BY8</f>
        <v>0</v>
      </c>
      <c r="BT29" s="18">
        <f>'Utilidor Construction &amp; Mainten'!BZ8</f>
        <v>0</v>
      </c>
      <c r="BU29" s="18">
        <f>'Utilidor Construction &amp; Mainten'!CA8</f>
        <v>0</v>
      </c>
      <c r="BV29" s="18">
        <f>'Utilidor Construction &amp; Mainten'!CB8</f>
        <v>0</v>
      </c>
      <c r="BW29" s="18">
        <f>'Utilidor Construction &amp; Mainten'!CC8</f>
        <v>0</v>
      </c>
      <c r="BX29" s="18">
        <f>'Utilidor Construction &amp; Mainten'!CD8</f>
        <v>0</v>
      </c>
      <c r="BY29" s="18">
        <f>'Utilidor Construction &amp; Mainten'!CE8</f>
        <v>0</v>
      </c>
      <c r="BZ29" s="18">
        <f>'Utilidor Construction &amp; Mainten'!CF8</f>
        <v>0</v>
      </c>
      <c r="CA29" s="18">
        <f>'Utilidor Construction &amp; Mainten'!CG8</f>
        <v>0</v>
      </c>
      <c r="CB29" s="18">
        <f>'Utilidor Construction &amp; Mainten'!CH8</f>
        <v>0</v>
      </c>
      <c r="CC29" s="18">
        <f>'Utilidor Construction &amp; Mainten'!CI8</f>
        <v>0</v>
      </c>
      <c r="CD29" s="18">
        <f>'Utilidor Construction &amp; Mainten'!CJ8</f>
        <v>0</v>
      </c>
      <c r="CE29" s="18">
        <f>'Utilidor Construction &amp; Mainten'!CK8</f>
        <v>0</v>
      </c>
      <c r="CF29" s="18">
        <f>'Utilidor Construction &amp; Mainten'!CL8</f>
        <v>0</v>
      </c>
      <c r="CG29" s="18">
        <f>'Utilidor Construction &amp; Mainten'!CM8</f>
        <v>0</v>
      </c>
      <c r="CH29" s="18">
        <f>'Utilidor Construction &amp; Mainten'!CN8</f>
        <v>0</v>
      </c>
      <c r="CI29" s="18">
        <f>'Utilidor Construction &amp; Mainten'!CO8</f>
        <v>0</v>
      </c>
      <c r="CJ29" s="18">
        <f>'Utilidor Construction &amp; Mainten'!CP8</f>
        <v>0</v>
      </c>
      <c r="CK29" s="18">
        <f>'Utilidor Construction &amp; Mainten'!CQ8</f>
        <v>0</v>
      </c>
      <c r="CL29" s="18">
        <f>'Utilidor Construction &amp; Mainten'!CR8</f>
        <v>0</v>
      </c>
      <c r="CM29" s="18">
        <f>'Utilidor Construction &amp; Mainten'!CS8</f>
        <v>0</v>
      </c>
      <c r="CN29" s="18">
        <f>'Utilidor Construction &amp; Mainten'!CT8</f>
        <v>0</v>
      </c>
      <c r="CO29" s="18">
        <f>'Utilidor Construction &amp; Mainten'!CU8</f>
        <v>0</v>
      </c>
      <c r="CP29" s="18">
        <f>'Utilidor Construction &amp; Mainten'!CV8</f>
        <v>0</v>
      </c>
      <c r="CQ29" s="18">
        <f>'Utilidor Construction &amp; Mainten'!CW8</f>
        <v>0</v>
      </c>
      <c r="CR29" s="18">
        <f>'Utilidor Construction &amp; Mainten'!CX8</f>
        <v>0</v>
      </c>
      <c r="CS29" s="18">
        <f>'Utilidor Construction &amp; Mainten'!CY8</f>
        <v>0</v>
      </c>
      <c r="CT29" s="18">
        <f>'Utilidor Construction &amp; Mainten'!CZ8</f>
        <v>0</v>
      </c>
      <c r="CU29" s="18">
        <f>'Utilidor Construction &amp; Mainten'!DA8</f>
        <v>0</v>
      </c>
      <c r="CV29" s="18">
        <f>'Utilidor Construction &amp; Mainten'!DB8</f>
        <v>0</v>
      </c>
      <c r="CW29" s="18">
        <f>'Utilidor Construction &amp; Mainten'!DC8</f>
        <v>0</v>
      </c>
      <c r="CX29" s="18">
        <f>'Utilidor Construction &amp; Mainten'!DD8</f>
        <v>0</v>
      </c>
      <c r="CY29" s="18">
        <f>'Utilidor Construction &amp; Mainten'!DE8</f>
        <v>0</v>
      </c>
    </row>
    <row r="30" spans="1:103" ht="15.75" customHeight="1" outlineLevel="2" x14ac:dyDescent="0.2">
      <c r="A30" s="24" t="s">
        <v>27</v>
      </c>
      <c r="B30" s="25">
        <f t="shared" si="3"/>
        <v>-116051401.53024556</v>
      </c>
      <c r="C30" s="18">
        <f>'Utilidor Construction &amp; Mainten'!I9</f>
        <v>0</v>
      </c>
      <c r="D30" s="18">
        <f>'Utilidor Construction &amp; Mainten'!J9</f>
        <v>0</v>
      </c>
      <c r="E30" s="18">
        <f>'Utilidor Construction &amp; Mainten'!K9</f>
        <v>2827395.2659024964</v>
      </c>
      <c r="F30" s="18">
        <f>'Utilidor Construction &amp; Mainten'!L9</f>
        <v>2883943.1712205461</v>
      </c>
      <c r="G30" s="18">
        <f>'Utilidor Construction &amp; Mainten'!M9</f>
        <v>2941622.0346449567</v>
      </c>
      <c r="H30" s="18">
        <f>'Utilidor Construction &amp; Mainten'!N9</f>
        <v>3000454.475337856</v>
      </c>
      <c r="I30" s="18">
        <f>'Utilidor Construction &amp; Mainten'!O9</f>
        <v>3060463.5648446134</v>
      </c>
      <c r="J30" s="18">
        <f>'Utilidor Construction &amp; Mainten'!P9</f>
        <v>3121672.8361415057</v>
      </c>
      <c r="K30" s="18">
        <f>'Utilidor Construction &amp; Mainten'!Q9</f>
        <v>3184106.2928643352</v>
      </c>
      <c r="L30" s="18">
        <f>'Utilidor Construction &amp; Mainten'!R9</f>
        <v>3247788.4187216223</v>
      </c>
      <c r="M30" s="18">
        <f>'Utilidor Construction &amp; Mainten'!S9</f>
        <v>3312744.1870960547</v>
      </c>
      <c r="N30" s="18">
        <f>'Utilidor Construction &amp; Mainten'!T9</f>
        <v>3378999.0708379759</v>
      </c>
      <c r="O30" s="18">
        <f>'Utilidor Construction &amp; Mainten'!U9</f>
        <v>3446579.0522547346</v>
      </c>
      <c r="P30" s="18">
        <f>'Utilidor Construction &amp; Mainten'!V9</f>
        <v>3515510.6332998299</v>
      </c>
      <c r="Q30" s="18">
        <f>'Utilidor Construction &amp; Mainten'!W9</f>
        <v>3585820.8459658264</v>
      </c>
      <c r="R30" s="18">
        <f>'Utilidor Construction &amp; Mainten'!X9</f>
        <v>3657537.262885143</v>
      </c>
      <c r="S30" s="18">
        <f>'Utilidor Construction &amp; Mainten'!Y9</f>
        <v>3730688.0081428452</v>
      </c>
      <c r="T30" s="18">
        <f>'Utilidor Construction &amp; Mainten'!Z9</f>
        <v>3805301.7683057026</v>
      </c>
      <c r="U30" s="18">
        <f>'Utilidor Construction &amp; Mainten'!AA9</f>
        <v>3881407.8036718168</v>
      </c>
      <c r="V30" s="18">
        <f>'Utilidor Construction &amp; Mainten'!AB9</f>
        <v>3959035.959745253</v>
      </c>
      <c r="W30" s="18">
        <f>'Utilidor Construction &amp; Mainten'!AC9</f>
        <v>4038216.6789401579</v>
      </c>
      <c r="X30" s="18">
        <f>'Utilidor Construction &amp; Mainten'!AD9</f>
        <v>4118981.0125189614</v>
      </c>
      <c r="Y30" s="18">
        <f>'Utilidor Construction &amp; Mainten'!AE9</f>
        <v>4201360.6327693406</v>
      </c>
      <c r="Z30" s="18">
        <f>'Utilidor Construction &amp; Mainten'!AF9</f>
        <v>4285387.8454247275</v>
      </c>
      <c r="AA30" s="18">
        <f>'Utilidor Construction &amp; Mainten'!AG9</f>
        <v>4371095.6023332207</v>
      </c>
      <c r="AB30" s="18">
        <f>'Utilidor Construction &amp; Mainten'!AH9</f>
        <v>4458517.514379886</v>
      </c>
      <c r="AC30" s="18">
        <f>'Utilidor Construction &amp; Mainten'!AI9</f>
        <v>4547687.8646674836</v>
      </c>
      <c r="AD30" s="18">
        <f>'Utilidor Construction &amp; Mainten'!AJ9</f>
        <v>4638641.6219608337</v>
      </c>
      <c r="AE30" s="18">
        <f>'Utilidor Construction &amp; Mainten'!AK9</f>
        <v>4731414.4544000495</v>
      </c>
      <c r="AF30" s="18">
        <f>'Utilidor Construction &amp; Mainten'!AL9</f>
        <v>4826042.743488051</v>
      </c>
      <c r="AG30" s="18">
        <f>'Utilidor Construction &amp; Mainten'!AM9</f>
        <v>4922563.5983578116</v>
      </c>
      <c r="AH30" s="18">
        <f>'Utilidor Construction &amp; Mainten'!AN9</f>
        <v>5021014.8703249684</v>
      </c>
      <c r="AI30" s="18">
        <f>'Utilidor Construction &amp; Mainten'!AO9</f>
        <v>5121435.1677314667</v>
      </c>
      <c r="AJ30" s="18">
        <f>'Utilidor Construction &amp; Mainten'!AP9</f>
        <v>5223863.8710860973</v>
      </c>
      <c r="AK30" s="18">
        <f>'Utilidor Construction &amp; Mainten'!AQ9</f>
        <v>5328341.1485078195</v>
      </c>
      <c r="AL30" s="18">
        <f>'Utilidor Construction &amp; Mainten'!AR9</f>
        <v>5434907.9714779751</v>
      </c>
      <c r="AM30" s="18">
        <f>'Utilidor Construction &amp; Mainten'!AS9</f>
        <v>5543606.1309075346</v>
      </c>
      <c r="AN30" s="18">
        <f>'Utilidor Construction &amp; Mainten'!AT9</f>
        <v>5654478.2535256846</v>
      </c>
      <c r="AO30" s="18">
        <f>'Utilidor Construction &amp; Mainten'!AU9</f>
        <v>5767567.8185961992</v>
      </c>
      <c r="AP30" s="18">
        <f>'Utilidor Construction &amp; Mainten'!AV9</f>
        <v>5882919.1749681244</v>
      </c>
      <c r="AQ30" s="18">
        <f>'Utilidor Construction &amp; Mainten'!AW9</f>
        <v>6000577.5584674841</v>
      </c>
      <c r="AR30" s="18">
        <f>'Utilidor Construction &amp; Mainten'!AX9</f>
        <v>6120589.1096368358</v>
      </c>
      <c r="AS30" s="18">
        <f>'Utilidor Construction &amp; Mainten'!AY9</f>
        <v>6243000.8918295717</v>
      </c>
      <c r="AT30" s="18">
        <f>'Utilidor Construction &amp; Mainten'!AZ9</f>
        <v>6367860.9096661629</v>
      </c>
      <c r="AU30" s="18">
        <f>'Utilidor Construction &amp; Mainten'!BA9</f>
        <v>6495218.1278594853</v>
      </c>
      <c r="AV30" s="18">
        <f>'Utilidor Construction &amp; Mainten'!BB9</f>
        <v>6625122.4904166767</v>
      </c>
      <c r="AW30" s="18">
        <f>'Utilidor Construction &amp; Mainten'!BC9</f>
        <v>6757624.9402250098</v>
      </c>
      <c r="AX30" s="18">
        <f>'Utilidor Construction &amp; Mainten'!BD9</f>
        <v>6892777.4390295111</v>
      </c>
      <c r="AY30" s="18">
        <f>'Utilidor Construction &amp; Mainten'!BE9</f>
        <v>7030632.9878100986</v>
      </c>
      <c r="AZ30" s="18">
        <f>'Utilidor Construction &amp; Mainten'!BF9</f>
        <v>7171245.6475663017</v>
      </c>
      <c r="BA30" s="18">
        <f>'Utilidor Construction &amp; Mainten'!BG9</f>
        <v>7314670.5605176277</v>
      </c>
      <c r="BB30" s="18">
        <f>'Utilidor Construction &amp; Mainten'!BH9</f>
        <v>7460963.9717279803</v>
      </c>
      <c r="BC30" s="18">
        <f>'Utilidor Construction &amp; Mainten'!BI9</f>
        <v>7610183.2511625392</v>
      </c>
      <c r="BD30" s="18">
        <f>'Utilidor Construction &amp; Mainten'!BJ9</f>
        <v>7762386.9161857916</v>
      </c>
      <c r="BE30" s="18">
        <f>'Utilidor Construction &amp; Mainten'!BK9</f>
        <v>7917634.6545095062</v>
      </c>
      <c r="BF30" s="18">
        <f>'Utilidor Construction &amp; Mainten'!BL9</f>
        <v>8075987.3475996973</v>
      </c>
      <c r="BG30" s="18">
        <f>'Utilidor Construction &amp; Mainten'!BM9</f>
        <v>8237507.094551689</v>
      </c>
      <c r="BH30" s="18">
        <f>'Utilidor Construction &amp; Mainten'!BN9</f>
        <v>8402257.2364427224</v>
      </c>
      <c r="BI30" s="18">
        <f>'Utilidor Construction &amp; Mainten'!BO9</f>
        <v>8570302.3811715767</v>
      </c>
      <c r="BJ30" s="18">
        <f>'Utilidor Construction &amp; Mainten'!BP9</f>
        <v>8741708.4287950099</v>
      </c>
      <c r="BK30" s="18">
        <f>'Utilidor Construction &amp; Mainten'!BQ9</f>
        <v>8916542.5973709095</v>
      </c>
      <c r="BL30" s="18">
        <f>'Utilidor Construction &amp; Mainten'!BR9</f>
        <v>9094873.4493183289</v>
      </c>
      <c r="BM30" s="18">
        <f>'Utilidor Construction &amp; Mainten'!BS9</f>
        <v>9276770.9183046948</v>
      </c>
      <c r="BN30" s="18">
        <f>'Utilidor Construction &amp; Mainten'!BT9</f>
        <v>9462306.336670788</v>
      </c>
      <c r="BO30" s="18">
        <f>'Utilidor Construction &amp; Mainten'!BU9</f>
        <v>9651552.4634042028</v>
      </c>
      <c r="BP30" s="18">
        <f>'Utilidor Construction &amp; Mainten'!BV9</f>
        <v>9844583.5126722883</v>
      </c>
      <c r="BQ30" s="18">
        <f>'Utilidor Construction &amp; Mainten'!BW9</f>
        <v>10041475.182925735</v>
      </c>
      <c r="BR30" s="18">
        <f>'Utilidor Construction &amp; Mainten'!BX9</f>
        <v>10242304.686584249</v>
      </c>
      <c r="BS30" s="18">
        <f>'Utilidor Construction &amp; Mainten'!BY9</f>
        <v>10447150.780315934</v>
      </c>
      <c r="BT30" s="18">
        <f>'Utilidor Construction &amp; Mainten'!BZ9</f>
        <v>10656093.795922251</v>
      </c>
      <c r="BU30" s="18">
        <f>'Utilidor Construction &amp; Mainten'!CA9</f>
        <v>10869215.671840698</v>
      </c>
      <c r="BV30" s="18">
        <f>'Utilidor Construction &amp; Mainten'!CB9</f>
        <v>11086599.985277513</v>
      </c>
      <c r="BW30" s="18">
        <f>'Utilidor Construction &amp; Mainten'!CC9</f>
        <v>11308331.984983061</v>
      </c>
      <c r="BX30" s="18">
        <f>'Utilidor Construction &amp; Mainten'!CD9</f>
        <v>11534498.624682723</v>
      </c>
      <c r="BY30" s="18">
        <f>'Utilidor Construction &amp; Mainten'!CE9</f>
        <v>11765188.597176377</v>
      </c>
      <c r="BZ30" s="18">
        <f>'Utilidor Construction &amp; Mainten'!CF9</f>
        <v>12000492.369119905</v>
      </c>
      <c r="CA30" s="18">
        <f>'Utilidor Construction &amp; Mainten'!CG9</f>
        <v>12240502.2165023</v>
      </c>
      <c r="CB30" s="18">
        <f>'Utilidor Construction &amp; Mainten'!CH9</f>
        <v>12485312.260832349</v>
      </c>
      <c r="CC30" s="18">
        <f>'Utilidor Construction &amp; Mainten'!CI9</f>
        <v>12735018.506048996</v>
      </c>
      <c r="CD30" s="18">
        <f>'Utilidor Construction &amp; Mainten'!CJ9</f>
        <v>12989718.876169976</v>
      </c>
      <c r="CE30" s="18">
        <f>'Utilidor Construction &amp; Mainten'!CK9</f>
        <v>13249513.253693372</v>
      </c>
      <c r="CF30" s="18">
        <f>'Utilidor Construction &amp; Mainten'!CL9</f>
        <v>13514503.518767241</v>
      </c>
      <c r="CG30" s="18">
        <f>'Utilidor Construction &amp; Mainten'!CM9</f>
        <v>13784793.589142587</v>
      </c>
      <c r="CH30" s="18">
        <f>'Utilidor Construction &amp; Mainten'!CN9</f>
        <v>14060489.460925438</v>
      </c>
      <c r="CI30" s="18">
        <f>'Utilidor Construction &amp; Mainten'!CO9</f>
        <v>14341699.250143945</v>
      </c>
      <c r="CJ30" s="18">
        <f>'Utilidor Construction &amp; Mainten'!CP9</f>
        <v>14628533.235146826</v>
      </c>
      <c r="CK30" s="18">
        <f>'Utilidor Construction &amp; Mainten'!CQ9</f>
        <v>14921103.899849763</v>
      </c>
      <c r="CL30" s="18">
        <f>'Utilidor Construction &amp; Mainten'!CR9</f>
        <v>15219525.977846758</v>
      </c>
      <c r="CM30" s="18">
        <f>'Utilidor Construction &amp; Mainten'!CS9</f>
        <v>15523916.497403689</v>
      </c>
      <c r="CN30" s="18">
        <f>'Utilidor Construction &amp; Mainten'!CT9</f>
        <v>15834394.827351764</v>
      </c>
      <c r="CO30" s="18">
        <f>'Utilidor Construction &amp; Mainten'!CU9</f>
        <v>16151082.723898802</v>
      </c>
      <c r="CP30" s="18">
        <f>'Utilidor Construction &amp; Mainten'!CV9</f>
        <v>16474104.378376778</v>
      </c>
      <c r="CQ30" s="18">
        <f>'Utilidor Construction &amp; Mainten'!CW9</f>
        <v>16803586.465944309</v>
      </c>
      <c r="CR30" s="18">
        <f>'Utilidor Construction &amp; Mainten'!CX9</f>
        <v>17139658.1952632</v>
      </c>
      <c r="CS30" s="18">
        <f>'Utilidor Construction &amp; Mainten'!CY9</f>
        <v>17482451.359168462</v>
      </c>
      <c r="CT30" s="18">
        <f>'Utilidor Construction &amp; Mainten'!CZ9</f>
        <v>17832100.386351831</v>
      </c>
      <c r="CU30" s="18">
        <f>'Utilidor Construction &amp; Mainten'!DA9</f>
        <v>18188742.394078866</v>
      </c>
      <c r="CV30" s="18">
        <f>'Utilidor Construction &amp; Mainten'!DB9</f>
        <v>18552517.241960444</v>
      </c>
      <c r="CW30" s="18">
        <f>'Utilidor Construction &amp; Mainten'!DC9</f>
        <v>18923567.586799655</v>
      </c>
      <c r="CX30" s="18">
        <f>'Utilidor Construction &amp; Mainten'!DD9</f>
        <v>19302038.938535646</v>
      </c>
      <c r="CY30" s="18">
        <f>'Utilidor Construction &amp; Mainten'!DE9</f>
        <v>19688079.717306361</v>
      </c>
    </row>
    <row r="31" spans="1:103" ht="15.75" customHeight="1" outlineLevel="2" x14ac:dyDescent="0.2">
      <c r="A31" s="24" t="s">
        <v>28</v>
      </c>
      <c r="B31" s="25">
        <f t="shared" si="3"/>
        <v>-131180952.18196909</v>
      </c>
      <c r="C31" s="18">
        <f>'Utilidor Construction &amp; Mainten'!I11</f>
        <v>0</v>
      </c>
      <c r="D31" s="18">
        <f>'Utilidor Construction &amp; Mainten'!J11</f>
        <v>0</v>
      </c>
      <c r="E31" s="18">
        <f>'Utilidor Construction &amp; Mainten'!K11</f>
        <v>6000000</v>
      </c>
      <c r="F31" s="18">
        <f>'Utilidor Construction &amp; Mainten'!L11</f>
        <v>6000000</v>
      </c>
      <c r="G31" s="18">
        <f>'Utilidor Construction &amp; Mainten'!M11</f>
        <v>6000000</v>
      </c>
      <c r="H31" s="18">
        <f>'Utilidor Construction &amp; Mainten'!N11</f>
        <v>6000000</v>
      </c>
      <c r="I31" s="18">
        <f>'Utilidor Construction &amp; Mainten'!O11</f>
        <v>6000000</v>
      </c>
      <c r="J31" s="18">
        <f>'Utilidor Construction &amp; Mainten'!P11</f>
        <v>6750000</v>
      </c>
      <c r="K31" s="18">
        <f>'Utilidor Construction &amp; Mainten'!Q11</f>
        <v>6750000</v>
      </c>
      <c r="L31" s="18">
        <f>'Utilidor Construction &amp; Mainten'!R11</f>
        <v>6750000</v>
      </c>
      <c r="M31" s="18">
        <f>'Utilidor Construction &amp; Mainten'!S11</f>
        <v>6750000</v>
      </c>
      <c r="N31" s="18">
        <f>'Utilidor Construction &amp; Mainten'!T11</f>
        <v>6750000</v>
      </c>
      <c r="O31" s="18">
        <f>'Utilidor Construction &amp; Mainten'!U11</f>
        <v>6750000</v>
      </c>
      <c r="P31" s="18">
        <f>'Utilidor Construction &amp; Mainten'!V11</f>
        <v>6750000</v>
      </c>
      <c r="Q31" s="18">
        <f>'Utilidor Construction &amp; Mainten'!W11</f>
        <v>6750000</v>
      </c>
      <c r="R31" s="18">
        <f>'Utilidor Construction &amp; Mainten'!X11</f>
        <v>6750000</v>
      </c>
      <c r="S31" s="18">
        <f>'Utilidor Construction &amp; Mainten'!Y11</f>
        <v>6750000</v>
      </c>
      <c r="T31" s="18">
        <f>'Utilidor Construction &amp; Mainten'!Z11</f>
        <v>6750000</v>
      </c>
      <c r="U31" s="18">
        <f>'Utilidor Construction &amp; Mainten'!AA11</f>
        <v>6750000</v>
      </c>
      <c r="V31" s="18">
        <f>'Utilidor Construction &amp; Mainten'!AB11</f>
        <v>6750000</v>
      </c>
      <c r="W31" s="18">
        <f>'Utilidor Construction &amp; Mainten'!AC11</f>
        <v>6750000</v>
      </c>
      <c r="X31" s="18">
        <f>'Utilidor Construction &amp; Mainten'!AD11</f>
        <v>6750000</v>
      </c>
      <c r="Y31" s="18">
        <f>'Utilidor Construction &amp; Mainten'!AE11</f>
        <v>6750000</v>
      </c>
      <c r="Z31" s="18">
        <f>'Utilidor Construction &amp; Mainten'!AF11</f>
        <v>6750000</v>
      </c>
      <c r="AA31" s="18">
        <f>'Utilidor Construction &amp; Mainten'!AG11</f>
        <v>6750000</v>
      </c>
      <c r="AB31" s="18">
        <f>'Utilidor Construction &amp; Mainten'!AH11</f>
        <v>6750000</v>
      </c>
      <c r="AC31" s="18">
        <f>'Utilidor Construction &amp; Mainten'!AI11</f>
        <v>6750000</v>
      </c>
      <c r="AD31" s="18">
        <f>'Utilidor Construction &amp; Mainten'!AJ11</f>
        <v>6750000</v>
      </c>
      <c r="AE31" s="18">
        <f>'Utilidor Construction &amp; Mainten'!AK11</f>
        <v>6750000</v>
      </c>
      <c r="AF31" s="18">
        <f>'Utilidor Construction &amp; Mainten'!AL11</f>
        <v>6750000</v>
      </c>
      <c r="AG31" s="18">
        <f>'Utilidor Construction &amp; Mainten'!AM11</f>
        <v>6750000</v>
      </c>
      <c r="AH31" s="18">
        <f>'Utilidor Construction &amp; Mainten'!AN11</f>
        <v>6750000</v>
      </c>
      <c r="AI31" s="18">
        <f>'Utilidor Construction &amp; Mainten'!AO11</f>
        <v>5500000</v>
      </c>
      <c r="AJ31" s="18">
        <f>'Utilidor Construction &amp; Mainten'!AP11</f>
        <v>5500000</v>
      </c>
      <c r="AK31" s="18">
        <f>'Utilidor Construction &amp; Mainten'!AQ11</f>
        <v>5500000</v>
      </c>
      <c r="AL31" s="18">
        <f>'Utilidor Construction &amp; Mainten'!AR11</f>
        <v>5500000</v>
      </c>
      <c r="AM31" s="18">
        <f>'Utilidor Construction &amp; Mainten'!AS11</f>
        <v>5500000</v>
      </c>
      <c r="AN31" s="18">
        <f>'Utilidor Construction &amp; Mainten'!AT11</f>
        <v>5500000</v>
      </c>
      <c r="AO31" s="18">
        <f>'Utilidor Construction &amp; Mainten'!AU11</f>
        <v>5500000</v>
      </c>
      <c r="AP31" s="18">
        <f>'Utilidor Construction &amp; Mainten'!AV11</f>
        <v>5500000</v>
      </c>
      <c r="AQ31" s="18">
        <f>'Utilidor Construction &amp; Mainten'!AW11</f>
        <v>5500000</v>
      </c>
      <c r="AR31" s="18">
        <f>'Utilidor Construction &amp; Mainten'!AX11</f>
        <v>5500000</v>
      </c>
      <c r="AS31" s="18">
        <f>'Utilidor Construction &amp; Mainten'!AY11</f>
        <v>5500000</v>
      </c>
      <c r="AT31" s="18">
        <f>'Utilidor Construction &amp; Mainten'!AZ11</f>
        <v>5500000</v>
      </c>
      <c r="AU31" s="18">
        <f>'Utilidor Construction &amp; Mainten'!BA11</f>
        <v>5500000</v>
      </c>
      <c r="AV31" s="18">
        <f>'Utilidor Construction &amp; Mainten'!BB11</f>
        <v>5500000</v>
      </c>
      <c r="AW31" s="18">
        <f>'Utilidor Construction &amp; Mainten'!BC11</f>
        <v>5500000</v>
      </c>
      <c r="AX31" s="18">
        <f>'Utilidor Construction &amp; Mainten'!BD11</f>
        <v>5500000</v>
      </c>
      <c r="AY31" s="18">
        <f>'Utilidor Construction &amp; Mainten'!BE11</f>
        <v>5500000</v>
      </c>
      <c r="AZ31" s="18">
        <f>'Utilidor Construction &amp; Mainten'!BF11</f>
        <v>5500000</v>
      </c>
      <c r="BA31" s="18">
        <f>'Utilidor Construction &amp; Mainten'!BG11</f>
        <v>5500000</v>
      </c>
      <c r="BB31" s="18">
        <f>'Utilidor Construction &amp; Mainten'!BH11</f>
        <v>5500000</v>
      </c>
      <c r="BC31" s="18">
        <f>'Utilidor Construction &amp; Mainten'!BI11</f>
        <v>0</v>
      </c>
      <c r="BD31" s="18">
        <f>'Utilidor Construction &amp; Mainten'!BJ11</f>
        <v>0</v>
      </c>
      <c r="BE31" s="18">
        <f>'Utilidor Construction &amp; Mainten'!BK11</f>
        <v>0</v>
      </c>
      <c r="BF31" s="18">
        <f>'Utilidor Construction &amp; Mainten'!BL11</f>
        <v>0</v>
      </c>
      <c r="BG31" s="18">
        <f>'Utilidor Construction &amp; Mainten'!BM11</f>
        <v>0</v>
      </c>
      <c r="BH31" s="18">
        <f>'Utilidor Construction &amp; Mainten'!BN11</f>
        <v>0</v>
      </c>
      <c r="BI31" s="18">
        <f>'Utilidor Construction &amp; Mainten'!BO11</f>
        <v>0</v>
      </c>
      <c r="BJ31" s="18">
        <f>'Utilidor Construction &amp; Mainten'!BP11</f>
        <v>0</v>
      </c>
      <c r="BK31" s="18">
        <f>'Utilidor Construction &amp; Mainten'!BQ11</f>
        <v>0</v>
      </c>
      <c r="BL31" s="18">
        <f>'Utilidor Construction &amp; Mainten'!BR11</f>
        <v>0</v>
      </c>
      <c r="BM31" s="18">
        <f>'Utilidor Construction &amp; Mainten'!BS11</f>
        <v>0</v>
      </c>
      <c r="BN31" s="18">
        <f>'Utilidor Construction &amp; Mainten'!BT11</f>
        <v>0</v>
      </c>
      <c r="BO31" s="18">
        <f>'Utilidor Construction &amp; Mainten'!BU11</f>
        <v>0</v>
      </c>
      <c r="BP31" s="18">
        <f>'Utilidor Construction &amp; Mainten'!BV11</f>
        <v>0</v>
      </c>
      <c r="BQ31" s="18">
        <f>'Utilidor Construction &amp; Mainten'!BW11</f>
        <v>0</v>
      </c>
      <c r="BR31" s="18">
        <f>'Utilidor Construction &amp; Mainten'!BX11</f>
        <v>0</v>
      </c>
      <c r="BS31" s="18">
        <f>'Utilidor Construction &amp; Mainten'!BY11</f>
        <v>0</v>
      </c>
      <c r="BT31" s="18">
        <f>'Utilidor Construction &amp; Mainten'!BZ11</f>
        <v>0</v>
      </c>
      <c r="BU31" s="18">
        <f>'Utilidor Construction &amp; Mainten'!CA11</f>
        <v>0</v>
      </c>
      <c r="BV31" s="18">
        <f>'Utilidor Construction &amp; Mainten'!CB11</f>
        <v>0</v>
      </c>
      <c r="BW31" s="18">
        <f>'Utilidor Construction &amp; Mainten'!CC11</f>
        <v>0</v>
      </c>
      <c r="BX31" s="18">
        <f>'Utilidor Construction &amp; Mainten'!CD11</f>
        <v>0</v>
      </c>
      <c r="BY31" s="18">
        <f>'Utilidor Construction &amp; Mainten'!CE11</f>
        <v>0</v>
      </c>
      <c r="BZ31" s="18">
        <f>'Utilidor Construction &amp; Mainten'!CF11</f>
        <v>0</v>
      </c>
      <c r="CA31" s="18">
        <f>'Utilidor Construction &amp; Mainten'!CG11</f>
        <v>0</v>
      </c>
      <c r="CB31" s="18">
        <f>'Utilidor Construction &amp; Mainten'!CH11</f>
        <v>0</v>
      </c>
      <c r="CC31" s="18">
        <f>'Utilidor Construction &amp; Mainten'!CI11</f>
        <v>0</v>
      </c>
      <c r="CD31" s="18">
        <f>'Utilidor Construction &amp; Mainten'!CJ11</f>
        <v>0</v>
      </c>
      <c r="CE31" s="18">
        <f>'Utilidor Construction &amp; Mainten'!CK11</f>
        <v>0</v>
      </c>
      <c r="CF31" s="18">
        <f>'Utilidor Construction &amp; Mainten'!CL11</f>
        <v>0</v>
      </c>
      <c r="CG31" s="18">
        <f>'Utilidor Construction &amp; Mainten'!CM11</f>
        <v>0</v>
      </c>
      <c r="CH31" s="18">
        <f>'Utilidor Construction &amp; Mainten'!CN11</f>
        <v>0</v>
      </c>
      <c r="CI31" s="18">
        <f>'Utilidor Construction &amp; Mainten'!CO11</f>
        <v>0</v>
      </c>
      <c r="CJ31" s="18">
        <f>'Utilidor Construction &amp; Mainten'!CP11</f>
        <v>0</v>
      </c>
      <c r="CK31" s="18">
        <f>'Utilidor Construction &amp; Mainten'!CQ11</f>
        <v>0</v>
      </c>
      <c r="CL31" s="18">
        <f>'Utilidor Construction &amp; Mainten'!CR11</f>
        <v>0</v>
      </c>
      <c r="CM31" s="18">
        <f>'Utilidor Construction &amp; Mainten'!CS11</f>
        <v>0</v>
      </c>
      <c r="CN31" s="18">
        <f>'Utilidor Construction &amp; Mainten'!CT11</f>
        <v>0</v>
      </c>
      <c r="CO31" s="18">
        <f>'Utilidor Construction &amp; Mainten'!CU11</f>
        <v>0</v>
      </c>
      <c r="CP31" s="18">
        <f>'Utilidor Construction &amp; Mainten'!CV11</f>
        <v>0</v>
      </c>
      <c r="CQ31" s="18">
        <f>'Utilidor Construction &amp; Mainten'!CW11</f>
        <v>0</v>
      </c>
      <c r="CR31" s="18">
        <f>'Utilidor Construction &amp; Mainten'!CX11</f>
        <v>0</v>
      </c>
      <c r="CS31" s="18">
        <f>'Utilidor Construction &amp; Mainten'!CY11</f>
        <v>0</v>
      </c>
      <c r="CT31" s="18">
        <f>'Utilidor Construction &amp; Mainten'!CZ11</f>
        <v>0</v>
      </c>
      <c r="CU31" s="18">
        <f>'Utilidor Construction &amp; Mainten'!DA11</f>
        <v>0</v>
      </c>
      <c r="CV31" s="18">
        <f>'Utilidor Construction &amp; Mainten'!DB11</f>
        <v>0</v>
      </c>
      <c r="CW31" s="18">
        <f>'Utilidor Construction &amp; Mainten'!DC11</f>
        <v>0</v>
      </c>
      <c r="CX31" s="18">
        <f>'Utilidor Construction &amp; Mainten'!DD11</f>
        <v>0</v>
      </c>
      <c r="CY31" s="18">
        <f>'Utilidor Construction &amp; Mainten'!DE11</f>
        <v>0</v>
      </c>
    </row>
    <row r="32" spans="1:103" ht="15.75" customHeight="1" outlineLevel="2" x14ac:dyDescent="0.2">
      <c r="A32" s="26" t="s">
        <v>29</v>
      </c>
      <c r="B32" s="27">
        <f>SUM(B25:B31)</f>
        <v>-327192627.06918567</v>
      </c>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row>
    <row r="33" spans="1:103" ht="15" customHeight="1" outlineLevel="1" x14ac:dyDescent="0.25">
      <c r="A33" s="14" t="s">
        <v>30</v>
      </c>
      <c r="B33" s="20">
        <f>B24+B32</f>
        <v>-349209860.35524708</v>
      </c>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row>
    <row r="34" spans="1:103" ht="15.75" customHeight="1" x14ac:dyDescent="0.2">
      <c r="A34" s="4"/>
      <c r="B34" s="4"/>
      <c r="C34" s="18"/>
      <c r="D34" s="29"/>
      <c r="E34" s="4"/>
      <c r="F34" s="4"/>
      <c r="G34" s="29"/>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row>
    <row r="35" spans="1:103" ht="15.75" customHeight="1" x14ac:dyDescent="0.2">
      <c r="A35" s="12" t="s">
        <v>31</v>
      </c>
      <c r="B35" s="4"/>
      <c r="C35" s="18">
        <f>C17+C18</f>
        <v>9125724.9820945766</v>
      </c>
      <c r="D35" s="29">
        <f t="shared" ref="D35:CY35" si="4">NPV($D$2,$D17:D17) + $C17 + NPV($D$2,$D18:D18) + $C18</f>
        <v>18075482.524031378</v>
      </c>
      <c r="E35" s="29">
        <f t="shared" si="4"/>
        <v>26896231.198951725</v>
      </c>
      <c r="F35" s="29">
        <f t="shared" si="4"/>
        <v>35589839.384960979</v>
      </c>
      <c r="G35" s="29">
        <f t="shared" si="4"/>
        <v>44158148.18233636</v>
      </c>
      <c r="H35" s="29">
        <f t="shared" si="4"/>
        <v>52602971.824485004</v>
      </c>
      <c r="I35" s="29">
        <f t="shared" si="4"/>
        <v>60926098.082789391</v>
      </c>
      <c r="J35" s="29">
        <f t="shared" si="4"/>
        <v>69129288.665477425</v>
      </c>
      <c r="K35" s="29">
        <f t="shared" si="4"/>
        <v>77214279.610654384</v>
      </c>
      <c r="L35" s="29">
        <f t="shared" si="4"/>
        <v>85182781.673634574</v>
      </c>
      <c r="M35" s="29">
        <f t="shared" si="4"/>
        <v>93036480.708711654</v>
      </c>
      <c r="N35" s="29">
        <f t="shared" si="4"/>
        <v>100777038.04550713</v>
      </c>
      <c r="O35" s="29">
        <f t="shared" si="4"/>
        <v>108406090.86003867</v>
      </c>
      <c r="P35" s="29">
        <f t="shared" si="4"/>
        <v>115960261.89521073</v>
      </c>
      <c r="Q35" s="29">
        <f t="shared" si="4"/>
        <v>123371122.40351723</v>
      </c>
      <c r="R35" s="29">
        <f t="shared" si="4"/>
        <v>130675248.63049465</v>
      </c>
      <c r="S35" s="29">
        <f t="shared" si="4"/>
        <v>137874184.74789038</v>
      </c>
      <c r="T35" s="29">
        <f t="shared" si="4"/>
        <v>144969452.55509216</v>
      </c>
      <c r="U35" s="29">
        <f t="shared" si="4"/>
        <v>151962551.82162195</v>
      </c>
      <c r="V35" s="29">
        <f t="shared" si="4"/>
        <v>158854960.62541899</v>
      </c>
      <c r="W35" s="29">
        <f t="shared" si="4"/>
        <v>165648135.68708175</v>
      </c>
      <c r="X35" s="29">
        <f t="shared" si="4"/>
        <v>172343512.70024651</v>
      </c>
      <c r="Y35" s="29">
        <f t="shared" si="4"/>
        <v>178942506.65828556</v>
      </c>
      <c r="Z35" s="29">
        <f t="shared" si="4"/>
        <v>185446512.17751828</v>
      </c>
      <c r="AA35" s="29">
        <f t="shared" si="4"/>
        <v>191856903.81713536</v>
      </c>
      <c r="AB35" s="29">
        <f t="shared" si="4"/>
        <v>198174975.8812345</v>
      </c>
      <c r="AC35" s="29">
        <f t="shared" si="4"/>
        <v>204398613.05794093</v>
      </c>
      <c r="AD35" s="29">
        <f t="shared" si="4"/>
        <v>210475761.73450682</v>
      </c>
      <c r="AE35" s="29">
        <f t="shared" si="4"/>
        <v>216435920.00022167</v>
      </c>
      <c r="AF35" s="29">
        <f t="shared" si="4"/>
        <v>222281342.52880684</v>
      </c>
      <c r="AG35" s="29">
        <f t="shared" si="4"/>
        <v>228014240.44011873</v>
      </c>
      <c r="AH35" s="29">
        <f t="shared" si="4"/>
        <v>233636782.14561445</v>
      </c>
      <c r="AI35" s="29">
        <f t="shared" si="4"/>
        <v>239151094.17723405</v>
      </c>
      <c r="AJ35" s="29">
        <f t="shared" si="4"/>
        <v>244559262.00003254</v>
      </c>
      <c r="AK35" s="29">
        <f t="shared" si="4"/>
        <v>249863330.80888683</v>
      </c>
      <c r="AL35" s="29">
        <f t="shared" si="4"/>
        <v>255065306.30959606</v>
      </c>
      <c r="AM35" s="29">
        <f t="shared" si="4"/>
        <v>260167155.48468789</v>
      </c>
      <c r="AN35" s="29">
        <f t="shared" si="4"/>
        <v>265170807.34423527</v>
      </c>
      <c r="AO35" s="29">
        <f t="shared" si="4"/>
        <v>270078153.66198385</v>
      </c>
      <c r="AP35" s="29">
        <f t="shared" si="4"/>
        <v>274912180.77970564</v>
      </c>
      <c r="AQ35" s="29">
        <f t="shared" si="4"/>
        <v>279632445.98432672</v>
      </c>
      <c r="AR35" s="29">
        <f t="shared" si="4"/>
        <v>284261864.69745684</v>
      </c>
      <c r="AS35" s="29">
        <f t="shared" si="4"/>
        <v>288802186.82513434</v>
      </c>
      <c r="AT35" s="29">
        <f t="shared" si="4"/>
        <v>293255128.5074017</v>
      </c>
      <c r="AU35" s="29">
        <f t="shared" si="4"/>
        <v>297622372.77223736</v>
      </c>
      <c r="AV35" s="29">
        <f t="shared" si="4"/>
        <v>301905570.17672455</v>
      </c>
      <c r="AW35" s="29">
        <f t="shared" si="4"/>
        <v>306106339.4357124</v>
      </c>
      <c r="AX35" s="29">
        <f t="shared" si="4"/>
        <v>310226268.03821421</v>
      </c>
      <c r="AY35" s="29">
        <f t="shared" si="4"/>
        <v>314266912.85178852</v>
      </c>
      <c r="AZ35" s="29">
        <f t="shared" si="4"/>
        <v>318229800.71513915</v>
      </c>
      <c r="BA35" s="29">
        <f t="shared" si="4"/>
        <v>322116429.0191679</v>
      </c>
      <c r="BB35" s="29">
        <f t="shared" si="4"/>
        <v>325928266.27670866</v>
      </c>
      <c r="BC35" s="29">
        <f t="shared" si="4"/>
        <v>329683169.5591405</v>
      </c>
      <c r="BD35" s="29">
        <f t="shared" si="4"/>
        <v>333349717.53224772</v>
      </c>
      <c r="BE35" s="29">
        <f t="shared" si="4"/>
        <v>336945712.26117325</v>
      </c>
      <c r="BF35" s="29">
        <f t="shared" si="4"/>
        <v>340472512.22516459</v>
      </c>
      <c r="BG35" s="29">
        <f t="shared" si="4"/>
        <v>343931449.71195298</v>
      </c>
      <c r="BH35" s="29">
        <f t="shared" si="4"/>
        <v>347323831.32411247</v>
      </c>
      <c r="BI35" s="29">
        <f t="shared" si="4"/>
        <v>350650938.47557408</v>
      </c>
      <c r="BJ35" s="29">
        <f t="shared" si="4"/>
        <v>353914027.87848675</v>
      </c>
      <c r="BK35" s="29">
        <f t="shared" si="4"/>
        <v>357114332.02061737</v>
      </c>
      <c r="BL35" s="29">
        <f t="shared" si="4"/>
        <v>360253059.63347346</v>
      </c>
      <c r="BM35" s="29">
        <f t="shared" si="4"/>
        <v>363331396.15133286</v>
      </c>
      <c r="BN35" s="29">
        <f t="shared" si="4"/>
        <v>366350504.16135752</v>
      </c>
      <c r="BO35" s="29">
        <f t="shared" si="4"/>
        <v>369311523.84496731</v>
      </c>
      <c r="BP35" s="29">
        <f t="shared" si="4"/>
        <v>372228327.79182267</v>
      </c>
      <c r="BQ35" s="29">
        <f t="shared" si="4"/>
        <v>375076503.89951921</v>
      </c>
      <c r="BR35" s="29">
        <f t="shared" si="4"/>
        <v>377869882.07682043</v>
      </c>
      <c r="BS35" s="29">
        <f t="shared" si="4"/>
        <v>380609517.12704229</v>
      </c>
      <c r="BT35" s="29">
        <f t="shared" si="4"/>
        <v>383296443.52940804</v>
      </c>
      <c r="BU35" s="29">
        <f t="shared" si="4"/>
        <v>385931675.83146447</v>
      </c>
      <c r="BV35" s="29">
        <f t="shared" si="4"/>
        <v>388516209.03388858</v>
      </c>
      <c r="BW35" s="29">
        <f t="shared" si="4"/>
        <v>391051018.96783364</v>
      </c>
      <c r="BX35" s="29">
        <f t="shared" si="4"/>
        <v>393537062.6649614</v>
      </c>
      <c r="BY35" s="29">
        <f t="shared" si="4"/>
        <v>395975278.72030151</v>
      </c>
      <c r="BZ35" s="29">
        <f t="shared" si="4"/>
        <v>398366587.64808047</v>
      </c>
      <c r="CA35" s="29">
        <f t="shared" si="4"/>
        <v>400711892.23065609</v>
      </c>
      <c r="CB35" s="29">
        <f t="shared" si="4"/>
        <v>403012077.86069268</v>
      </c>
      <c r="CC35" s="29">
        <f t="shared" si="4"/>
        <v>405277921.83987838</v>
      </c>
      <c r="CD35" s="29">
        <f t="shared" si="4"/>
        <v>407490457.85529667</v>
      </c>
      <c r="CE35" s="29">
        <f t="shared" si="4"/>
        <v>409660430.08112198</v>
      </c>
      <c r="CF35" s="29">
        <f t="shared" si="4"/>
        <v>411788657.64237314</v>
      </c>
      <c r="CG35" s="29">
        <f t="shared" si="4"/>
        <v>413875943.88838893</v>
      </c>
      <c r="CH35" s="29">
        <f t="shared" si="4"/>
        <v>415923076.69712859</v>
      </c>
      <c r="CI35" s="29">
        <f t="shared" si="4"/>
        <v>417930828.77358383</v>
      </c>
      <c r="CJ35" s="29">
        <f t="shared" si="4"/>
        <v>419899957.94241631</v>
      </c>
      <c r="CK35" s="29">
        <f t="shared" si="4"/>
        <v>421831207.43493384</v>
      </c>
      <c r="CL35" s="29">
        <f t="shared" si="4"/>
        <v>423725306.17051524</v>
      </c>
      <c r="CM35" s="29">
        <f t="shared" si="4"/>
        <v>425582969.03259248</v>
      </c>
      <c r="CN35" s="29">
        <f t="shared" si="4"/>
        <v>427404897.13929433</v>
      </c>
      <c r="CO35" s="29">
        <f t="shared" si="4"/>
        <v>429191778.10885751</v>
      </c>
      <c r="CP35" s="29">
        <f t="shared" si="4"/>
        <v>430951984.65898895</v>
      </c>
      <c r="CQ35" s="29">
        <f t="shared" si="4"/>
        <v>432670781.50578189</v>
      </c>
      <c r="CR35" s="29">
        <f t="shared" si="4"/>
        <v>434356515.64852577</v>
      </c>
      <c r="CS35" s="29">
        <f t="shared" si="4"/>
        <v>436009823.25885034</v>
      </c>
      <c r="CT35" s="29">
        <f t="shared" si="4"/>
        <v>437631328.26053983</v>
      </c>
      <c r="CU35" s="29">
        <f t="shared" si="4"/>
        <v>439221642.56561166</v>
      </c>
      <c r="CV35" s="29">
        <f t="shared" si="4"/>
        <v>440781366.30583435</v>
      </c>
      <c r="CW35" s="29">
        <f t="shared" si="4"/>
        <v>442311088.05977213</v>
      </c>
      <c r="CX35" s="29">
        <f t="shared" si="4"/>
        <v>443811385.07544321</v>
      </c>
      <c r="CY35" s="29">
        <f t="shared" si="4"/>
        <v>445282823.48867738</v>
      </c>
    </row>
    <row r="36" spans="1:103" ht="15.75" customHeight="1" x14ac:dyDescent="0.2">
      <c r="A36" s="12" t="s">
        <v>32</v>
      </c>
      <c r="B36" s="4"/>
      <c r="C36" s="18">
        <f>C22+C23+C25+C26+C27+C28+C29+C30+C31</f>
        <v>9112944.6290044785</v>
      </c>
      <c r="D36" s="29">
        <f t="shared" ref="D36:CY36" si="5">NPV($D$2,$D22:D22) + $C22 + NPV($D$2,$D23:D23) + $C23 + NPV($D$2,$D25:D25) + $C25 + NPV($D$2,$D26:D26) + $C26 + NPV($D$2,$D27:D27) + $C27 + NPV($D$2,$D28:D28) + $C28 + NPV($D$2,$D29:D29) + $C29 + NPV($D$2,$D30:D30) + $C30 + NPV($D$2,$D31:D31) + $C31</f>
        <v>97993076.168778971</v>
      </c>
      <c r="E36" s="29">
        <f t="shared" si="5"/>
        <v>106244862.59597541</v>
      </c>
      <c r="F36" s="29">
        <f t="shared" si="5"/>
        <v>114231128.92437376</v>
      </c>
      <c r="G36" s="29">
        <f t="shared" si="5"/>
        <v>121961090.22888447</v>
      </c>
      <c r="H36" s="29">
        <f t="shared" si="5"/>
        <v>129443626.33608663</v>
      </c>
      <c r="I36" s="29">
        <f t="shared" si="5"/>
        <v>136687294.34959376</v>
      </c>
      <c r="J36" s="29">
        <f t="shared" si="5"/>
        <v>144270279.06066918</v>
      </c>
      <c r="K36" s="29">
        <f t="shared" si="5"/>
        <v>151608668.7565515</v>
      </c>
      <c r="L36" s="29">
        <f t="shared" si="5"/>
        <v>158710965.97161505</v>
      </c>
      <c r="M36" s="29">
        <f t="shared" si="5"/>
        <v>165585363.62287751</v>
      </c>
      <c r="N36" s="29">
        <f t="shared" si="5"/>
        <v>172239756.58368313</v>
      </c>
      <c r="O36" s="29">
        <f t="shared" si="5"/>
        <v>178681752.81868011</v>
      </c>
      <c r="P36" s="29">
        <f t="shared" si="5"/>
        <v>184918684.09684208</v>
      </c>
      <c r="Q36" s="29">
        <f t="shared" si="5"/>
        <v>190991952.39638188</v>
      </c>
      <c r="R36" s="29">
        <f t="shared" si="5"/>
        <v>196839695.43060336</v>
      </c>
      <c r="S36" s="29">
        <f t="shared" si="5"/>
        <v>202502812.77570093</v>
      </c>
      <c r="T36" s="29">
        <f t="shared" si="5"/>
        <v>207987630.660016</v>
      </c>
      <c r="U36" s="29">
        <f t="shared" si="5"/>
        <v>213300246.89464015</v>
      </c>
      <c r="V36" s="29">
        <f t="shared" si="5"/>
        <v>218446539.37217069</v>
      </c>
      <c r="W36" s="29">
        <f t="shared" si="5"/>
        <v>223432174.24410087</v>
      </c>
      <c r="X36" s="29">
        <f t="shared" si="5"/>
        <v>228262613.78909862</v>
      </c>
      <c r="Y36" s="29">
        <f t="shared" si="5"/>
        <v>232943123.98396054</v>
      </c>
      <c r="Z36" s="29">
        <f t="shared" si="5"/>
        <v>237478781.78857231</v>
      </c>
      <c r="AA36" s="29">
        <f t="shared" si="5"/>
        <v>241874482.15577769</v>
      </c>
      <c r="AB36" s="29">
        <f t="shared" si="5"/>
        <v>246134944.77663663</v>
      </c>
      <c r="AC36" s="29">
        <f t="shared" si="5"/>
        <v>250264720.57115489</v>
      </c>
      <c r="AD36" s="29">
        <f t="shared" si="5"/>
        <v>254268197.93417996</v>
      </c>
      <c r="AE36" s="29">
        <f t="shared" si="5"/>
        <v>258175771.68854603</v>
      </c>
      <c r="AF36" s="29">
        <f t="shared" si="5"/>
        <v>261939197.09788302</v>
      </c>
      <c r="AG36" s="29">
        <f t="shared" si="5"/>
        <v>265588573.08909583</v>
      </c>
      <c r="AH36" s="29">
        <f t="shared" si="5"/>
        <v>269127695.83763146</v>
      </c>
      <c r="AI36" s="29">
        <f t="shared" si="5"/>
        <v>272203904.43981332</v>
      </c>
      <c r="AJ36" s="29">
        <f t="shared" si="5"/>
        <v>275190757.85741901</v>
      </c>
      <c r="AK36" s="29">
        <f t="shared" si="5"/>
        <v>278091135.89503044</v>
      </c>
      <c r="AL36" s="29">
        <f t="shared" si="5"/>
        <v>280907818.3057704</v>
      </c>
      <c r="AM36" s="29">
        <f t="shared" si="5"/>
        <v>283643488.43346906</v>
      </c>
      <c r="AN36" s="29">
        <f t="shared" si="5"/>
        <v>286300736.71870804</v>
      </c>
      <c r="AO36" s="29">
        <f t="shared" si="5"/>
        <v>288882064.07390183</v>
      </c>
      <c r="AP36" s="29">
        <f t="shared" si="5"/>
        <v>291389885.13237739</v>
      </c>
      <c r="AQ36" s="29">
        <f t="shared" si="5"/>
        <v>293826531.37622714</v>
      </c>
      <c r="AR36" s="29">
        <f t="shared" si="5"/>
        <v>296194254.14752376</v>
      </c>
      <c r="AS36" s="29">
        <f t="shared" si="5"/>
        <v>298515162.82298148</v>
      </c>
      <c r="AT36" s="29">
        <f t="shared" si="5"/>
        <v>300751486.50230563</v>
      </c>
      <c r="AU36" s="29">
        <f t="shared" si="5"/>
        <v>302925188.34932679</v>
      </c>
      <c r="AV36" s="29">
        <f t="shared" si="5"/>
        <v>305038227.07650065</v>
      </c>
      <c r="AW36" s="29">
        <f t="shared" si="5"/>
        <v>307092494.7115649</v>
      </c>
      <c r="AX36" s="29">
        <f t="shared" si="5"/>
        <v>309089818.99598193</v>
      </c>
      <c r="AY36" s="29">
        <f t="shared" si="5"/>
        <v>311031965.69433415</v>
      </c>
      <c r="AZ36" s="29">
        <f t="shared" si="5"/>
        <v>312920640.8180334</v>
      </c>
      <c r="BA36" s="29">
        <f t="shared" si="5"/>
        <v>314757492.76657999</v>
      </c>
      <c r="BB36" s="29">
        <f t="shared" si="5"/>
        <v>316544114.38948447</v>
      </c>
      <c r="BC36" s="29">
        <f t="shared" si="5"/>
        <v>317566512.99668437</v>
      </c>
      <c r="BD36" s="29">
        <f t="shared" si="5"/>
        <v>318569228.65671808</v>
      </c>
      <c r="BE36" s="29">
        <f t="shared" si="5"/>
        <v>319552640.71224225</v>
      </c>
      <c r="BF36" s="29">
        <f t="shared" si="5"/>
        <v>320517121.17915308</v>
      </c>
      <c r="BG36" s="29">
        <f t="shared" si="5"/>
        <v>321478224.89311701</v>
      </c>
      <c r="BH36" s="29">
        <f t="shared" si="5"/>
        <v>322405929.63126248</v>
      </c>
      <c r="BI36" s="29">
        <f t="shared" si="5"/>
        <v>323315776.27526474</v>
      </c>
      <c r="BJ36" s="29">
        <f t="shared" si="5"/>
        <v>324208108.92764223</v>
      </c>
      <c r="BK36" s="29">
        <f t="shared" si="5"/>
        <v>325083265.04749465</v>
      </c>
      <c r="BL36" s="29">
        <f t="shared" si="5"/>
        <v>325941575.57926327</v>
      </c>
      <c r="BM36" s="29">
        <f t="shared" si="5"/>
        <v>326783365.07897663</v>
      </c>
      <c r="BN36" s="29">
        <f t="shared" si="5"/>
        <v>327608951.83803165</v>
      </c>
      <c r="BO36" s="29">
        <f t="shared" si="5"/>
        <v>328418648.00455821</v>
      </c>
      <c r="BP36" s="29">
        <f t="shared" si="5"/>
        <v>329212759.70241588</v>
      </c>
      <c r="BQ36" s="29">
        <f t="shared" si="5"/>
        <v>329991587.14786929</v>
      </c>
      <c r="BR36" s="29">
        <f t="shared" si="5"/>
        <v>330755424.7639876</v>
      </c>
      <c r="BS36" s="29">
        <f t="shared" si="5"/>
        <v>331504561.29281425</v>
      </c>
      <c r="BT36" s="29">
        <f t="shared" si="5"/>
        <v>332239279.90534973</v>
      </c>
      <c r="BU36" s="29">
        <f t="shared" si="5"/>
        <v>332971432.57793313</v>
      </c>
      <c r="BV36" s="29">
        <f t="shared" si="5"/>
        <v>333678143.12381363</v>
      </c>
      <c r="BW36" s="29">
        <f t="shared" si="5"/>
        <v>334371252.90808076</v>
      </c>
      <c r="BX36" s="29">
        <f t="shared" si="5"/>
        <v>335051023.87515754</v>
      </c>
      <c r="BY36" s="29">
        <f t="shared" si="5"/>
        <v>335717712.91702372</v>
      </c>
      <c r="BZ36" s="29">
        <f t="shared" si="5"/>
        <v>336371571.97095698</v>
      </c>
      <c r="CA36" s="29">
        <f t="shared" si="5"/>
        <v>337012848.11537206</v>
      </c>
      <c r="CB36" s="29">
        <f t="shared" si="5"/>
        <v>337641783.66379607</v>
      </c>
      <c r="CC36" s="29">
        <f t="shared" si="5"/>
        <v>338258616.25701511</v>
      </c>
      <c r="CD36" s="29">
        <f t="shared" si="5"/>
        <v>338863578.95342976</v>
      </c>
      <c r="CE36" s="29">
        <f t="shared" si="5"/>
        <v>339456900.31765354</v>
      </c>
      <c r="CF36" s="29">
        <f t="shared" si="5"/>
        <v>340038804.50738949</v>
      </c>
      <c r="CG36" s="29">
        <f t="shared" si="5"/>
        <v>340609511.35861826</v>
      </c>
      <c r="CH36" s="29">
        <f t="shared" si="5"/>
        <v>341169236.46913117</v>
      </c>
      <c r="CI36" s="29">
        <f t="shared" si="5"/>
        <v>341727010.48079401</v>
      </c>
      <c r="CJ36" s="29">
        <f t="shared" si="5"/>
        <v>342265402.35845244</v>
      </c>
      <c r="CK36" s="29">
        <f t="shared" si="5"/>
        <v>342793434.6708132</v>
      </c>
      <c r="CL36" s="29">
        <f t="shared" si="5"/>
        <v>343311306.86626059</v>
      </c>
      <c r="CM36" s="29">
        <f t="shared" si="5"/>
        <v>343819214.54894167</v>
      </c>
      <c r="CN36" s="29">
        <f t="shared" si="5"/>
        <v>344317349.55302829</v>
      </c>
      <c r="CO36" s="29">
        <f t="shared" si="5"/>
        <v>344805900.01553804</v>
      </c>
      <c r="CP36" s="29">
        <f t="shared" si="5"/>
        <v>345285050.44774222</v>
      </c>
      <c r="CQ36" s="29">
        <f t="shared" si="5"/>
        <v>345754981.80518913</v>
      </c>
      <c r="CR36" s="29">
        <f t="shared" si="5"/>
        <v>346215871.55636913</v>
      </c>
      <c r="CS36" s="29">
        <f t="shared" si="5"/>
        <v>346667893.75004798</v>
      </c>
      <c r="CT36" s="29">
        <f t="shared" si="5"/>
        <v>347111219.08129519</v>
      </c>
      <c r="CU36" s="29">
        <f t="shared" si="5"/>
        <v>347546014.95623201</v>
      </c>
      <c r="CV36" s="29">
        <f t="shared" si="5"/>
        <v>347972445.55552483</v>
      </c>
      <c r="CW36" s="29">
        <f t="shared" si="5"/>
        <v>348397391.82841688</v>
      </c>
      <c r="CX36" s="29">
        <f t="shared" si="5"/>
        <v>348807571.82670915</v>
      </c>
      <c r="CY36" s="29">
        <f t="shared" si="5"/>
        <v>349209860.35524708</v>
      </c>
    </row>
    <row r="37" spans="1:103" ht="15.75" customHeight="1" x14ac:dyDescent="0.2">
      <c r="A37" s="12" t="s">
        <v>33</v>
      </c>
      <c r="B37" s="4"/>
      <c r="C37" s="18">
        <f t="shared" ref="C37:CY37" si="6">ABS(C36-C35)</f>
        <v>12780.353090098128</v>
      </c>
      <c r="D37" s="18">
        <f t="shared" si="6"/>
        <v>79917593.644747585</v>
      </c>
      <c r="E37" s="18">
        <f t="shared" si="6"/>
        <v>79348631.397023693</v>
      </c>
      <c r="F37" s="18">
        <f t="shared" si="6"/>
        <v>78641289.539412782</v>
      </c>
      <c r="G37" s="18">
        <f t="shared" si="6"/>
        <v>77802942.046548113</v>
      </c>
      <c r="H37" s="18">
        <f t="shared" si="6"/>
        <v>76840654.511601627</v>
      </c>
      <c r="I37" s="18">
        <f t="shared" si="6"/>
        <v>75761196.266804367</v>
      </c>
      <c r="J37" s="18">
        <f t="shared" si="6"/>
        <v>75140990.395191759</v>
      </c>
      <c r="K37" s="18">
        <f t="shared" si="6"/>
        <v>74394389.14589712</v>
      </c>
      <c r="L37" s="18">
        <f t="shared" si="6"/>
        <v>73528184.297980472</v>
      </c>
      <c r="M37" s="18">
        <f t="shared" si="6"/>
        <v>72548882.914165854</v>
      </c>
      <c r="N37" s="18">
        <f t="shared" si="6"/>
        <v>71462718.538176</v>
      </c>
      <c r="O37" s="18">
        <f t="shared" si="6"/>
        <v>70275661.95864144</v>
      </c>
      <c r="P37" s="18">
        <f t="shared" si="6"/>
        <v>68958422.201631352</v>
      </c>
      <c r="Q37" s="18">
        <f t="shared" si="6"/>
        <v>67620829.992864653</v>
      </c>
      <c r="R37" s="18">
        <f t="shared" si="6"/>
        <v>66164446.800108701</v>
      </c>
      <c r="S37" s="18">
        <f t="shared" si="6"/>
        <v>64628628.027810544</v>
      </c>
      <c r="T37" s="18">
        <f t="shared" si="6"/>
        <v>63018178.104923844</v>
      </c>
      <c r="U37" s="18">
        <f t="shared" si="6"/>
        <v>61337695.073018193</v>
      </c>
      <c r="V37" s="18">
        <f t="shared" si="6"/>
        <v>59591578.746751696</v>
      </c>
      <c r="W37" s="18">
        <f t="shared" si="6"/>
        <v>57784038.557019114</v>
      </c>
      <c r="X37" s="18">
        <f t="shared" si="6"/>
        <v>55919101.088852108</v>
      </c>
      <c r="Y37" s="18">
        <f t="shared" si="6"/>
        <v>54000617.325674981</v>
      </c>
      <c r="Z37" s="18">
        <f t="shared" si="6"/>
        <v>52032269.611054033</v>
      </c>
      <c r="AA37" s="18">
        <f t="shared" si="6"/>
        <v>50017578.338642329</v>
      </c>
      <c r="AB37" s="18">
        <f t="shared" si="6"/>
        <v>47959968.895402133</v>
      </c>
      <c r="AC37" s="18">
        <f t="shared" si="6"/>
        <v>45866107.513213962</v>
      </c>
      <c r="AD37" s="18">
        <f t="shared" si="6"/>
        <v>43792436.199673146</v>
      </c>
      <c r="AE37" s="18">
        <f t="shared" si="6"/>
        <v>41739851.688324362</v>
      </c>
      <c r="AF37" s="18">
        <f t="shared" si="6"/>
        <v>39657854.56907618</v>
      </c>
      <c r="AG37" s="18">
        <f t="shared" si="6"/>
        <v>37574332.648977101</v>
      </c>
      <c r="AH37" s="18">
        <f t="shared" si="6"/>
        <v>35490913.692017019</v>
      </c>
      <c r="AI37" s="18">
        <f t="shared" si="6"/>
        <v>33052810.262579262</v>
      </c>
      <c r="AJ37" s="18">
        <f t="shared" si="6"/>
        <v>30631495.85738647</v>
      </c>
      <c r="AK37" s="18">
        <f t="shared" si="6"/>
        <v>28227805.086143613</v>
      </c>
      <c r="AL37" s="18">
        <f t="shared" si="6"/>
        <v>25842511.996174335</v>
      </c>
      <c r="AM37" s="18">
        <f t="shared" si="6"/>
        <v>23476332.948781163</v>
      </c>
      <c r="AN37" s="18">
        <f t="shared" si="6"/>
        <v>21129929.374472767</v>
      </c>
      <c r="AO37" s="18">
        <f t="shared" si="6"/>
        <v>18803910.411917984</v>
      </c>
      <c r="AP37" s="18">
        <f t="shared" si="6"/>
        <v>16477704.352671742</v>
      </c>
      <c r="AQ37" s="18">
        <f t="shared" si="6"/>
        <v>14194085.39190042</v>
      </c>
      <c r="AR37" s="18">
        <f t="shared" si="6"/>
        <v>11932389.450066924</v>
      </c>
      <c r="AS37" s="18">
        <f t="shared" si="6"/>
        <v>9712975.9978471398</v>
      </c>
      <c r="AT37" s="18">
        <f t="shared" si="6"/>
        <v>7496357.9949039221</v>
      </c>
      <c r="AU37" s="18">
        <f t="shared" si="6"/>
        <v>5302815.5770894289</v>
      </c>
      <c r="AV37" s="18">
        <f t="shared" si="6"/>
        <v>3132656.8997761011</v>
      </c>
      <c r="AW37" s="18">
        <f t="shared" si="6"/>
        <v>986155.27585250139</v>
      </c>
      <c r="AX37" s="18">
        <f t="shared" si="6"/>
        <v>1136449.042232275</v>
      </c>
      <c r="AY37" s="18">
        <f t="shared" si="6"/>
        <v>3234947.1574543715</v>
      </c>
      <c r="AZ37" s="18">
        <f t="shared" si="6"/>
        <v>5309159.8971057534</v>
      </c>
      <c r="BA37" s="18">
        <f t="shared" si="6"/>
        <v>7358936.2525879145</v>
      </c>
      <c r="BB37" s="18">
        <f t="shared" si="6"/>
        <v>9384151.8872241974</v>
      </c>
      <c r="BC37" s="18">
        <f t="shared" si="6"/>
        <v>12116656.562456131</v>
      </c>
      <c r="BD37" s="18">
        <f t="shared" si="6"/>
        <v>14780488.875529647</v>
      </c>
      <c r="BE37" s="18">
        <f t="shared" si="6"/>
        <v>17393071.548931003</v>
      </c>
      <c r="BF37" s="18">
        <f t="shared" si="6"/>
        <v>19955391.046011508</v>
      </c>
      <c r="BG37" s="18">
        <f t="shared" si="6"/>
        <v>22453224.818835974</v>
      </c>
      <c r="BH37" s="18">
        <f t="shared" si="6"/>
        <v>24917901.692849994</v>
      </c>
      <c r="BI37" s="18">
        <f t="shared" si="6"/>
        <v>27335162.200309336</v>
      </c>
      <c r="BJ37" s="18">
        <f t="shared" si="6"/>
        <v>29705918.950844526</v>
      </c>
      <c r="BK37" s="18">
        <f t="shared" si="6"/>
        <v>32031066.973122716</v>
      </c>
      <c r="BL37" s="18">
        <f t="shared" si="6"/>
        <v>34311484.054210186</v>
      </c>
      <c r="BM37" s="18">
        <f t="shared" si="6"/>
        <v>36548031.072356224</v>
      </c>
      <c r="BN37" s="18">
        <f t="shared" si="6"/>
        <v>38741552.323325872</v>
      </c>
      <c r="BO37" s="18">
        <f t="shared" si="6"/>
        <v>40892875.8404091</v>
      </c>
      <c r="BP37" s="18">
        <f t="shared" si="6"/>
        <v>43015568.089406788</v>
      </c>
      <c r="BQ37" s="18">
        <f t="shared" si="6"/>
        <v>45084916.751649916</v>
      </c>
      <c r="BR37" s="18">
        <f t="shared" si="6"/>
        <v>47114457.312832832</v>
      </c>
      <c r="BS37" s="18">
        <f t="shared" si="6"/>
        <v>49104955.834228039</v>
      </c>
      <c r="BT37" s="18">
        <f t="shared" si="6"/>
        <v>51057163.624058306</v>
      </c>
      <c r="BU37" s="18">
        <f t="shared" si="6"/>
        <v>52960243.253531337</v>
      </c>
      <c r="BV37" s="18">
        <f t="shared" si="6"/>
        <v>54838065.910074949</v>
      </c>
      <c r="BW37" s="18">
        <f t="shared" si="6"/>
        <v>56679766.059752882</v>
      </c>
      <c r="BX37" s="18">
        <f t="shared" si="6"/>
        <v>58486038.789803863</v>
      </c>
      <c r="BY37" s="18">
        <f t="shared" si="6"/>
        <v>60257565.803277791</v>
      </c>
      <c r="BZ37" s="18">
        <f t="shared" si="6"/>
        <v>61995015.677123487</v>
      </c>
      <c r="CA37" s="18">
        <f t="shared" si="6"/>
        <v>63699044.115284026</v>
      </c>
      <c r="CB37" s="18">
        <f t="shared" si="6"/>
        <v>65370294.196896613</v>
      </c>
      <c r="CC37" s="18">
        <f t="shared" si="6"/>
        <v>67019305.582863271</v>
      </c>
      <c r="CD37" s="18">
        <f t="shared" si="6"/>
        <v>68626878.901866913</v>
      </c>
      <c r="CE37" s="18">
        <f t="shared" si="6"/>
        <v>70203529.763468444</v>
      </c>
      <c r="CF37" s="18">
        <f t="shared" si="6"/>
        <v>71749853.134983659</v>
      </c>
      <c r="CG37" s="18">
        <f t="shared" si="6"/>
        <v>73266432.529770672</v>
      </c>
      <c r="CH37" s="18">
        <f t="shared" si="6"/>
        <v>74753840.227997422</v>
      </c>
      <c r="CI37" s="18">
        <f t="shared" si="6"/>
        <v>76203818.292789817</v>
      </c>
      <c r="CJ37" s="18">
        <f t="shared" si="6"/>
        <v>77634555.583963871</v>
      </c>
      <c r="CK37" s="18">
        <f t="shared" si="6"/>
        <v>79037772.764120638</v>
      </c>
      <c r="CL37" s="18">
        <f t="shared" si="6"/>
        <v>80413999.304254651</v>
      </c>
      <c r="CM37" s="18">
        <f t="shared" si="6"/>
        <v>81763754.483650804</v>
      </c>
      <c r="CN37" s="18">
        <f t="shared" si="6"/>
        <v>83087547.586266041</v>
      </c>
      <c r="CO37" s="18">
        <f t="shared" si="6"/>
        <v>84385878.093319476</v>
      </c>
      <c r="CP37" s="18">
        <f t="shared" si="6"/>
        <v>85666934.211246729</v>
      </c>
      <c r="CQ37" s="18">
        <f t="shared" si="6"/>
        <v>86915799.700592756</v>
      </c>
      <c r="CR37" s="18">
        <f t="shared" si="6"/>
        <v>88140644.092156649</v>
      </c>
      <c r="CS37" s="18">
        <f t="shared" si="6"/>
        <v>89341929.508802354</v>
      </c>
      <c r="CT37" s="18">
        <f t="shared" si="6"/>
        <v>90520109.179244637</v>
      </c>
      <c r="CU37" s="18">
        <f t="shared" si="6"/>
        <v>91675627.609379649</v>
      </c>
      <c r="CV37" s="18">
        <f t="shared" si="6"/>
        <v>92808920.750309527</v>
      </c>
      <c r="CW37" s="18">
        <f t="shared" si="6"/>
        <v>93913696.23135525</v>
      </c>
      <c r="CX37" s="18">
        <f t="shared" si="6"/>
        <v>95003813.248734057</v>
      </c>
      <c r="CY37" s="18">
        <f t="shared" si="6"/>
        <v>96072963.133430302</v>
      </c>
    </row>
    <row r="38" spans="1:103" ht="15.75" customHeight="1" x14ac:dyDescent="0.2">
      <c r="A38" s="4"/>
      <c r="B38" s="4"/>
      <c r="C38" s="18"/>
      <c r="D38" s="29"/>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row>
    <row r="39" spans="1:103" ht="15" customHeight="1" x14ac:dyDescent="0.25">
      <c r="A39" s="1" t="s">
        <v>34</v>
      </c>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row>
    <row r="40" spans="1:103" ht="15.75" customHeight="1" x14ac:dyDescent="0.2">
      <c r="A40" s="4"/>
      <c r="B40" s="4"/>
      <c r="C40" s="4"/>
      <c r="D40" s="4"/>
      <c r="E40" s="4"/>
      <c r="F40" s="4"/>
      <c r="G40" s="4"/>
      <c r="H40" s="4"/>
      <c r="I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row>
    <row r="41" spans="1:103" ht="15.75" customHeight="1" x14ac:dyDescent="0.2">
      <c r="A41" s="736" t="s">
        <v>35</v>
      </c>
      <c r="B41" s="737"/>
      <c r="C41" s="30" t="s">
        <v>36</v>
      </c>
      <c r="D41" s="31" t="s">
        <v>37</v>
      </c>
      <c r="E41" s="31" t="s">
        <v>38</v>
      </c>
      <c r="F41" s="31" t="s">
        <v>39</v>
      </c>
      <c r="G41" s="31" t="s">
        <v>38</v>
      </c>
      <c r="H41" s="31" t="s">
        <v>40</v>
      </c>
      <c r="I41" s="4"/>
      <c r="J41" s="736" t="s">
        <v>41</v>
      </c>
      <c r="K41" s="738"/>
      <c r="L41" s="738"/>
      <c r="M41" s="738"/>
      <c r="N41" s="739"/>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row>
    <row r="42" spans="1:103" ht="15.75" customHeight="1" x14ac:dyDescent="0.2">
      <c r="A42" s="734" t="s">
        <v>42</v>
      </c>
      <c r="B42" s="32" t="s">
        <v>43</v>
      </c>
      <c r="C42" s="33" t="str">
        <f>'Cost (Counterfactual)'!B15</f>
        <v>Maintenance Cost of Streets</v>
      </c>
      <c r="D42" s="34">
        <f>'Cost (Counterfactual)'!G32</f>
        <v>503673.116966767</v>
      </c>
      <c r="E42" s="35">
        <f t="shared" ref="E42:E56" si="7">D42/$D$61</f>
        <v>1.1311308013648867E-3</v>
      </c>
      <c r="F42" s="34">
        <f>'Cost (Model)'!G23</f>
        <v>167800.22124330324</v>
      </c>
      <c r="G42" s="36">
        <f t="shared" ref="G42:G56" si="8">F42/$F$61</f>
        <v>7.6213127718246839E-3</v>
      </c>
      <c r="H42" s="34">
        <f t="shared" ref="H42:H61" si="9">F42-D42</f>
        <v>-335872.89572346373</v>
      </c>
      <c r="I42" s="4"/>
      <c r="J42" s="31" t="s">
        <v>44</v>
      </c>
      <c r="K42" s="31" t="s">
        <v>45</v>
      </c>
      <c r="L42" s="31" t="s">
        <v>46</v>
      </c>
      <c r="M42" s="31" t="s">
        <v>47</v>
      </c>
      <c r="N42" s="31" t="s">
        <v>46</v>
      </c>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row>
    <row r="43" spans="1:103" ht="15.75" customHeight="1" x14ac:dyDescent="0.2">
      <c r="A43" s="735"/>
      <c r="B43" s="51" t="s">
        <v>52</v>
      </c>
      <c r="C43" s="52" t="str">
        <f>'Cost (Counterfactual)'!B65</f>
        <v>Disruption to Bus Network</v>
      </c>
      <c r="D43" s="41">
        <f>'Cost (Counterfactual)'!G76</f>
        <v>27193.611895578535</v>
      </c>
      <c r="E43" s="39">
        <f t="shared" si="7"/>
        <v>6.107042639220511E-5</v>
      </c>
      <c r="F43" s="41">
        <f>'Cost (Model)'!G67</f>
        <v>2480.4628705501991</v>
      </c>
      <c r="G43" s="44">
        <f t="shared" si="8"/>
        <v>1.1266006215778818E-4</v>
      </c>
      <c r="H43" s="34">
        <f t="shared" si="9"/>
        <v>-24713.149025028335</v>
      </c>
      <c r="J43" s="42" t="s">
        <v>49</v>
      </c>
      <c r="K43" s="43">
        <f>D44</f>
        <v>530866.72886234534</v>
      </c>
      <c r="L43" s="44">
        <f>K43/$K$45</f>
        <v>1.1922012277570913E-3</v>
      </c>
      <c r="M43" s="43">
        <f>F44</f>
        <v>170280.68411385347</v>
      </c>
      <c r="N43" s="44">
        <f>M43/$M$45</f>
        <v>7.7339728339824738E-3</v>
      </c>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row>
    <row r="44" spans="1:103" ht="15.75" customHeight="1" x14ac:dyDescent="0.2">
      <c r="A44" s="740"/>
      <c r="B44" s="741" t="s">
        <v>53</v>
      </c>
      <c r="C44" s="739"/>
      <c r="D44" s="53">
        <f>'Cost (Counterfactual)'!G77</f>
        <v>530866.72886234534</v>
      </c>
      <c r="E44" s="54">
        <f t="shared" si="7"/>
        <v>1.1922012277570913E-3</v>
      </c>
      <c r="F44" s="53">
        <f>'Cost (Model)'!G68</f>
        <v>170280.68411385347</v>
      </c>
      <c r="G44" s="55">
        <f t="shared" si="8"/>
        <v>7.7339728339824738E-3</v>
      </c>
      <c r="H44" s="56">
        <f t="shared" si="9"/>
        <v>-360586.04474849184</v>
      </c>
      <c r="I44" s="57"/>
      <c r="J44" s="42" t="s">
        <v>50</v>
      </c>
      <c r="K44" s="43">
        <f>D60</f>
        <v>444751956.75981504</v>
      </c>
      <c r="L44" s="44">
        <f>K44/$K$45</f>
        <v>0.99880779877224291</v>
      </c>
      <c r="M44" s="43">
        <f>F60</f>
        <v>21846952.601947539</v>
      </c>
      <c r="N44" s="44">
        <f>M44/$M$45</f>
        <v>0.99226602716601753</v>
      </c>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row>
    <row r="45" spans="1:103" ht="15.75" customHeight="1" x14ac:dyDescent="0.2">
      <c r="A45" s="734" t="s">
        <v>582</v>
      </c>
      <c r="B45" s="734" t="s">
        <v>54</v>
      </c>
      <c r="C45" s="58" t="str">
        <f>'Cost (Counterfactual)'!B80</f>
        <v>Property Tax</v>
      </c>
      <c r="D45" s="38">
        <f>'Cost (Counterfactual)'!G84</f>
        <v>3828474.4275061991</v>
      </c>
      <c r="E45" s="39">
        <f t="shared" si="7"/>
        <v>8.597848885144678E-3</v>
      </c>
      <c r="F45" s="38">
        <f>'Cost (Model)'!G75</f>
        <v>3828474.4275061991</v>
      </c>
      <c r="G45" s="40">
        <f t="shared" si="8"/>
        <v>0.17388535506547587</v>
      </c>
      <c r="H45" s="38">
        <f t="shared" si="9"/>
        <v>0</v>
      </c>
      <c r="I45" s="4"/>
      <c r="J45" s="47" t="s">
        <v>51</v>
      </c>
      <c r="K45" s="48">
        <f>SUM(K43:K44)</f>
        <v>445282823.48867738</v>
      </c>
      <c r="L45" s="36">
        <f>K45/$K$45</f>
        <v>1</v>
      </c>
      <c r="M45" s="48">
        <f>SUM(M43:M44)</f>
        <v>22017233.286061391</v>
      </c>
      <c r="N45" s="36">
        <f>M45/$M$45</f>
        <v>1</v>
      </c>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row>
    <row r="46" spans="1:103" ht="15.75" customHeight="1" x14ac:dyDescent="0.2">
      <c r="A46" s="735"/>
      <c r="B46" s="735"/>
      <c r="C46" s="59" t="str">
        <f>'Cost (Counterfactual)'!B85</f>
        <v>Maintenance Cost</v>
      </c>
      <c r="D46" s="41">
        <f>'Cost (Counterfactual)'!G89</f>
        <v>220006436.42277294</v>
      </c>
      <c r="E46" s="39">
        <f t="shared" si="7"/>
        <v>0.4940824680796771</v>
      </c>
      <c r="F46" s="41">
        <f>'Cost (Model)'!G80</f>
        <v>8896773.9063402675</v>
      </c>
      <c r="G46" s="40">
        <f t="shared" si="8"/>
        <v>0.40408228367061055</v>
      </c>
      <c r="H46" s="41">
        <f t="shared" si="9"/>
        <v>-211109662.51643267</v>
      </c>
      <c r="I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row>
    <row r="47" spans="1:103" ht="15.75" customHeight="1" x14ac:dyDescent="0.2">
      <c r="A47" s="735"/>
      <c r="B47" s="735"/>
      <c r="C47" s="59" t="str">
        <f>'Cost (Counterfactual)'!B90</f>
        <v>Costs of Accidents to workers</v>
      </c>
      <c r="D47" s="41">
        <f>'Cost (Counterfactual)'!G91</f>
        <v>1632.5706787423292</v>
      </c>
      <c r="E47" s="39">
        <f t="shared" si="7"/>
        <v>3.6663679635148606E-6</v>
      </c>
      <c r="F47" s="41">
        <f>'Cost (Model)'!G82</f>
        <v>522.68019091137046</v>
      </c>
      <c r="G47" s="40">
        <f t="shared" si="8"/>
        <v>2.3739594531265078E-5</v>
      </c>
      <c r="H47" s="41">
        <f t="shared" si="9"/>
        <v>-1109.8904878309586</v>
      </c>
      <c r="I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row>
    <row r="48" spans="1:103" ht="15.75" customHeight="1" x14ac:dyDescent="0.2">
      <c r="A48" s="735"/>
      <c r="B48" s="735"/>
      <c r="C48" s="59" t="str">
        <f>'Cost (Counterfactual)'!B92</f>
        <v xml:space="preserve">Manhole Accidents Compensations </v>
      </c>
      <c r="D48" s="41">
        <f>'Cost (Counterfactual)'!G97</f>
        <v>1383.9498934762432</v>
      </c>
      <c r="E48" s="39">
        <f t="shared" si="7"/>
        <v>3.1080244295824141E-6</v>
      </c>
      <c r="F48" s="41">
        <f>'Cost (Model)'!G88</f>
        <v>332.4452335024921</v>
      </c>
      <c r="G48" s="40">
        <f t="shared" si="8"/>
        <v>1.509931920978262E-5</v>
      </c>
      <c r="H48" s="41">
        <f t="shared" si="9"/>
        <v>-1051.5046599737511</v>
      </c>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row>
    <row r="49" spans="1:103" ht="15.75" customHeight="1" x14ac:dyDescent="0.2">
      <c r="A49" s="735"/>
      <c r="B49" s="735"/>
      <c r="C49" s="59" t="str">
        <f>'Cost (Counterfactual)'!B98</f>
        <v>Cost of Major Accidents</v>
      </c>
      <c r="D49" s="41">
        <f>'Cost (Counterfactual)'!G103</f>
        <v>413.82037996418683</v>
      </c>
      <c r="E49" s="39">
        <f t="shared" si="7"/>
        <v>9.2934278650591026E-7</v>
      </c>
      <c r="F49" s="41">
        <f>'Cost (Model)'!G94</f>
        <v>22.298611252923134</v>
      </c>
      <c r="G49" s="40">
        <f t="shared" si="8"/>
        <v>1.0127798966930089E-6</v>
      </c>
      <c r="H49" s="41">
        <f t="shared" si="9"/>
        <v>-391.52176871126369</v>
      </c>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row>
    <row r="50" spans="1:103" ht="15.75" customHeight="1" x14ac:dyDescent="0.2">
      <c r="A50" s="735"/>
      <c r="B50" s="740"/>
      <c r="C50" s="32" t="s">
        <v>55</v>
      </c>
      <c r="D50" s="34">
        <f>'Cost (Counterfactual)'!G104</f>
        <v>223838341.19123128</v>
      </c>
      <c r="E50" s="35">
        <f t="shared" si="7"/>
        <v>0.50268802070000129</v>
      </c>
      <c r="F50" s="34">
        <f>'Cost (Model)'!G95</f>
        <v>12726125.757882133</v>
      </c>
      <c r="G50" s="60">
        <f t="shared" si="8"/>
        <v>0.5780074904297241</v>
      </c>
      <c r="H50" s="34">
        <f t="shared" si="9"/>
        <v>-211112215.43334913</v>
      </c>
      <c r="I50" s="40"/>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row>
    <row r="51" spans="1:103" ht="15.75" customHeight="1" x14ac:dyDescent="0.2">
      <c r="A51" s="735"/>
      <c r="B51" s="743" t="s">
        <v>56</v>
      </c>
      <c r="C51" s="59" t="str">
        <f>'Cost (Counterfactual)'!B105</f>
        <v>Property Tax</v>
      </c>
      <c r="D51" s="41">
        <f>'Cost (Counterfactual)'!G109</f>
        <v>218522.2677425539</v>
      </c>
      <c r="E51" s="39">
        <f t="shared" si="7"/>
        <v>4.9074937593704523E-4</v>
      </c>
      <c r="F51" s="41">
        <f>'Cost (Model)'!G100</f>
        <v>218522.2677425539</v>
      </c>
      <c r="G51" s="40">
        <f t="shared" si="8"/>
        <v>9.925055746259244E-3</v>
      </c>
      <c r="H51" s="41">
        <f t="shared" si="9"/>
        <v>0</v>
      </c>
      <c r="I51" s="40"/>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row>
    <row r="52" spans="1:103" ht="15.75" customHeight="1" x14ac:dyDescent="0.2">
      <c r="A52" s="735"/>
      <c r="B52" s="735"/>
      <c r="C52" s="59" t="str">
        <f>'Cost (Counterfactual)'!B110</f>
        <v>Maintenance Cost</v>
      </c>
      <c r="D52" s="41">
        <f>'Cost (Counterfactual)'!G114</f>
        <v>219692589.8658219</v>
      </c>
      <c r="E52" s="39">
        <f t="shared" si="7"/>
        <v>0.49337764287556946</v>
      </c>
      <c r="F52" s="41">
        <f>'Cost (Model)'!G105</f>
        <v>8884082.3601115383</v>
      </c>
      <c r="G52" s="40">
        <f t="shared" si="8"/>
        <v>0.40350584674668677</v>
      </c>
      <c r="H52" s="41">
        <f t="shared" si="9"/>
        <v>-210808507.50571036</v>
      </c>
      <c r="I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row>
    <row r="53" spans="1:103" ht="15.75" customHeight="1" x14ac:dyDescent="0.2">
      <c r="A53" s="735"/>
      <c r="B53" s="735"/>
      <c r="C53" s="59" t="str">
        <f>'Cost (Counterfactual)'!B115</f>
        <v>Cost of Accidents to Workers</v>
      </c>
      <c r="D53" s="41">
        <f>'Cost (Counterfactual)'!G116</f>
        <v>1632.5706787423292</v>
      </c>
      <c r="E53" s="39">
        <f t="shared" si="7"/>
        <v>3.6663679635148606E-6</v>
      </c>
      <c r="F53" s="41">
        <f>'Cost (Model)'!G107</f>
        <v>522.68019091137046</v>
      </c>
      <c r="G53" s="40">
        <f t="shared" si="8"/>
        <v>2.3739594531265078E-5</v>
      </c>
      <c r="H53" s="41">
        <f t="shared" si="9"/>
        <v>-1109.8904878309586</v>
      </c>
      <c r="I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row>
    <row r="54" spans="1:103" ht="15.75" customHeight="1" x14ac:dyDescent="0.2">
      <c r="A54" s="735"/>
      <c r="B54" s="740"/>
      <c r="C54" s="32" t="s">
        <v>584</v>
      </c>
      <c r="D54" s="34">
        <f>'Cost (Counterfactual)'!G117</f>
        <v>219912746.12747794</v>
      </c>
      <c r="E54" s="35">
        <f t="shared" si="7"/>
        <v>0.49387206181571897</v>
      </c>
      <c r="F54" s="34">
        <f>'Cost (Model)'!G108</f>
        <v>9103127.3080450054</v>
      </c>
      <c r="G54" s="36">
        <f t="shared" si="8"/>
        <v>0.41345464208747734</v>
      </c>
      <c r="H54" s="34">
        <f t="shared" si="9"/>
        <v>-210809618.81943294</v>
      </c>
      <c r="I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row>
    <row r="55" spans="1:103" ht="15.75" customHeight="1" x14ac:dyDescent="0.2">
      <c r="A55" s="735"/>
      <c r="B55" s="32" t="s">
        <v>57</v>
      </c>
      <c r="C55" s="61" t="str">
        <f>'Cost (Counterfactual)'!B118</f>
        <v>Damage to telecom infrastructure</v>
      </c>
      <c r="D55" s="34">
        <f>'Cost (Counterfactual)'!G121</f>
        <v>174965.2981024847</v>
      </c>
      <c r="E55" s="35">
        <f t="shared" si="7"/>
        <v>3.929307147571429E-4</v>
      </c>
      <c r="F55" s="34">
        <f>'Cost (Model)'!G112</f>
        <v>0</v>
      </c>
      <c r="G55" s="36">
        <f t="shared" si="8"/>
        <v>0</v>
      </c>
      <c r="H55" s="34">
        <f t="shared" si="9"/>
        <v>-174965.2981024847</v>
      </c>
      <c r="I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row>
    <row r="56" spans="1:103" ht="15.75" customHeight="1" x14ac:dyDescent="0.2">
      <c r="A56" s="742"/>
      <c r="B56" s="734" t="s">
        <v>48</v>
      </c>
      <c r="C56" s="37" t="str">
        <f>'Cost (Counterfactual)'!B33</f>
        <v>Maintenance Cost</v>
      </c>
      <c r="D56" s="38">
        <f>'Cost (Counterfactual)'!G45</f>
        <v>820322.49181041727</v>
      </c>
      <c r="E56" s="39">
        <f t="shared" si="7"/>
        <v>1.8422504721457695E-3</v>
      </c>
      <c r="F56" s="38">
        <f>'Cost (Model)'!G37</f>
        <v>789951.53906578966</v>
      </c>
      <c r="G56" s="40">
        <f t="shared" si="8"/>
        <v>3.5878783169631487E-2</v>
      </c>
      <c r="H56" s="41">
        <f>F56-D56</f>
        <v>-30370.952744627604</v>
      </c>
      <c r="I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row>
    <row r="57" spans="1:103" ht="15.75" customHeight="1" x14ac:dyDescent="0.2">
      <c r="A57" s="742"/>
      <c r="B57" s="735"/>
      <c r="C57" s="45" t="str">
        <f>'Cost (Counterfactual)'!B46</f>
        <v>Cost of Accidents to Workers in project area</v>
      </c>
      <c r="D57" s="41">
        <f>'Cost (Counterfactual)'!G53</f>
        <v>1632.5706787423292</v>
      </c>
      <c r="E57" s="39">
        <f t="shared" ref="E57:E59" si="10">D57/$D$61</f>
        <v>3.6663679635148606E-6</v>
      </c>
      <c r="F57" s="41">
        <f>'Cost (Model)'!G45</f>
        <v>489.64477367552615</v>
      </c>
      <c r="G57" s="40">
        <f t="shared" ref="G57:G59" si="11">F57/$F$61</f>
        <v>2.2239159994071968E-5</v>
      </c>
      <c r="H57" s="41">
        <f t="shared" ref="H57:H59" si="12">F57-D57</f>
        <v>-1142.9259050668029</v>
      </c>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row>
    <row r="58" spans="1:103" ht="15.75" customHeight="1" x14ac:dyDescent="0.2">
      <c r="A58" s="742"/>
      <c r="B58" s="735"/>
      <c r="C58" s="46" t="str">
        <f>'Cost (Counterfactual)'!B54</f>
        <v>Revenue or Opeartional Loss due to unidentified leakages</v>
      </c>
      <c r="D58" s="41">
        <f>'Cost (Counterfactual)'!G63</f>
        <v>3950.5037488800808</v>
      </c>
      <c r="E58" s="39">
        <f t="shared" si="10"/>
        <v>8.8718979050862348E-6</v>
      </c>
      <c r="F58" s="41">
        <f>'Cost (Model)'!G54</f>
        <v>514.36578742210861</v>
      </c>
      <c r="G58" s="40">
        <f t="shared" si="11"/>
        <v>2.3361962910559788E-5</v>
      </c>
      <c r="H58" s="41">
        <f t="shared" si="12"/>
        <v>-3436.1379614579723</v>
      </c>
      <c r="I58" s="4"/>
      <c r="J58" s="4"/>
      <c r="K58" s="29"/>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row>
    <row r="59" spans="1:103" ht="15.75" customHeight="1" x14ac:dyDescent="0.2">
      <c r="A59" s="742"/>
      <c r="B59" s="740"/>
      <c r="C59" s="49" t="str">
        <f>'Cost (Counterfactual)'!A64</f>
        <v>Total DEP costs</v>
      </c>
      <c r="D59" s="50">
        <f>'Cost (Counterfactual)'!G64</f>
        <v>825905.56623803906</v>
      </c>
      <c r="E59" s="39">
        <f t="shared" si="10"/>
        <v>1.8547887380143692E-3</v>
      </c>
      <c r="F59" s="50">
        <f>'Cost (Model)'!G55</f>
        <v>790955.54962688731</v>
      </c>
      <c r="G59" s="40">
        <f t="shared" si="11"/>
        <v>3.5924384292536124E-2</v>
      </c>
      <c r="H59" s="41">
        <f t="shared" si="12"/>
        <v>-34950.016611151746</v>
      </c>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row>
    <row r="60" spans="1:103" ht="15.75" customHeight="1" x14ac:dyDescent="0.2">
      <c r="A60" s="740"/>
      <c r="B60" s="744" t="s">
        <v>583</v>
      </c>
      <c r="C60" s="739"/>
      <c r="D60" s="53">
        <f>'Cost (Counterfactual)'!G154</f>
        <v>444751956.75981504</v>
      </c>
      <c r="E60" s="54">
        <f>D60/$D$61</f>
        <v>0.99880779877224291</v>
      </c>
      <c r="F60" s="53">
        <f>'Cost (Model)'!G145</f>
        <v>21846952.601947539</v>
      </c>
      <c r="G60" s="55">
        <f>F60/$F$61</f>
        <v>0.99226602716601753</v>
      </c>
      <c r="H60" s="56">
        <f t="shared" si="9"/>
        <v>-422905004.15786749</v>
      </c>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row>
    <row r="61" spans="1:103" ht="15.75" customHeight="1" x14ac:dyDescent="0.2">
      <c r="A61" s="745" t="s">
        <v>58</v>
      </c>
      <c r="B61" s="738"/>
      <c r="C61" s="739"/>
      <c r="D61" s="34">
        <f>D44+D60</f>
        <v>445282823.48867738</v>
      </c>
      <c r="E61" s="62">
        <f>D61/$D$61</f>
        <v>1</v>
      </c>
      <c r="F61" s="34">
        <f>F44+F60</f>
        <v>22017233.286061391</v>
      </c>
      <c r="G61" s="63">
        <f>F61/$F$61</f>
        <v>1</v>
      </c>
      <c r="H61" s="34">
        <f t="shared" si="9"/>
        <v>-423265590.20261598</v>
      </c>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row>
    <row r="62" spans="1:103" ht="15.75" customHeight="1" x14ac:dyDescent="0.2">
      <c r="A62" s="4"/>
      <c r="B62" s="4"/>
      <c r="C62" s="4"/>
      <c r="E62" s="4"/>
      <c r="G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row>
    <row r="63" spans="1:103" ht="15.75"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row>
    <row r="64" spans="1:103" ht="15.75" customHeight="1" x14ac:dyDescent="0.25">
      <c r="A64" s="1" t="s">
        <v>59</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row>
    <row r="65" spans="1:103" ht="15.75" customHeight="1" x14ac:dyDescent="0.2">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row>
    <row r="66" spans="1:103" ht="15.75" customHeight="1" x14ac:dyDescent="0.25">
      <c r="A66" s="64" t="s">
        <v>60</v>
      </c>
      <c r="B66" s="65"/>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row>
    <row r="67" spans="1:103" ht="15.75" customHeight="1" outlineLevel="1" x14ac:dyDescent="0.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row>
    <row r="68" spans="1:103" ht="15.75" customHeight="1" outlineLevel="1" x14ac:dyDescent="0.2">
      <c r="A68" s="746" t="s">
        <v>61</v>
      </c>
      <c r="B68" s="738"/>
      <c r="C68" s="738"/>
      <c r="D68" s="739"/>
      <c r="E68" s="34">
        <f>B32</f>
        <v>-327192627.06918567</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row>
    <row r="69" spans="1:103" ht="15.75" customHeight="1" outlineLevel="1" x14ac:dyDescent="0.2">
      <c r="A69" s="746" t="s">
        <v>62</v>
      </c>
      <c r="B69" s="738"/>
      <c r="C69" s="738"/>
      <c r="D69" s="739"/>
      <c r="E69" s="67">
        <f>B19-B24</f>
        <v>-423265590.20261598</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row>
    <row r="70" spans="1:103" ht="15.75" customHeight="1" outlineLevel="1" x14ac:dyDescent="0.2">
      <c r="A70" s="4"/>
      <c r="B70" s="4"/>
      <c r="C70" s="4"/>
      <c r="D70" s="4"/>
      <c r="E70" s="29"/>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row>
    <row r="71" spans="1:103" ht="15.75" customHeight="1" outlineLevel="1" x14ac:dyDescent="0.2">
      <c r="A71" s="4"/>
      <c r="B71" s="4"/>
      <c r="C71" s="4"/>
      <c r="D71" s="68" t="s">
        <v>63</v>
      </c>
      <c r="E71" s="69">
        <f>E69/E68</f>
        <v>1.2936281419113869</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row>
    <row r="72" spans="1:103" ht="15.75" customHeight="1" outlineLevel="1" x14ac:dyDescent="0.2">
      <c r="A72" s="4"/>
      <c r="B72" s="4"/>
      <c r="C72" s="4"/>
      <c r="D72" s="68" t="s">
        <v>64</v>
      </c>
      <c r="E72" s="67">
        <f>SUM(B25:B29)/'Unit Costs and Indicators'!D17</f>
        <v>-53306.848904647348</v>
      </c>
      <c r="F72" s="29"/>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row>
    <row r="73" spans="1:103" ht="15.75" customHeight="1" outlineLevel="1" x14ac:dyDescent="0.2">
      <c r="A73" s="4"/>
      <c r="B73" s="4"/>
      <c r="C73" s="4"/>
      <c r="D73" s="68" t="s">
        <v>65</v>
      </c>
      <c r="E73" s="67">
        <f>E72*'Financial Modeling'!J54/'Financial Modeling'!J55</f>
        <v>-174891.67125438878</v>
      </c>
      <c r="F73" s="29"/>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row>
    <row r="74" spans="1:103" ht="15.75" customHeight="1" outlineLevel="1" x14ac:dyDescent="0.2">
      <c r="A74" s="4"/>
      <c r="B74" s="4"/>
      <c r="C74" s="4"/>
      <c r="D74" s="68" t="s">
        <v>66</v>
      </c>
      <c r="E74" s="70">
        <f ca="1">INDIRECT(ADDRESS(ROW(A13),3 + MATCH(MIN(D37:CY37),D37:CY37,0),1,1),TRUE)</f>
        <v>46</v>
      </c>
      <c r="F74" s="29"/>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row>
    <row r="75" spans="1:103" ht="15.75" customHeight="1"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row>
    <row r="76" spans="1:103" ht="15.75" customHeight="1" x14ac:dyDescent="0.25">
      <c r="A76" s="64" t="s">
        <v>67</v>
      </c>
      <c r="B76" s="65"/>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row>
    <row r="77" spans="1:103" ht="15.75" customHeight="1" outlineLevel="1"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row>
    <row r="78" spans="1:103" ht="15.75" customHeight="1" outlineLevel="1" x14ac:dyDescent="0.2">
      <c r="A78" s="71" t="s">
        <v>68</v>
      </c>
      <c r="B78" s="72" t="s">
        <v>69</v>
      </c>
      <c r="C78" s="73" t="s">
        <v>70</v>
      </c>
      <c r="D78" s="72" t="s">
        <v>71</v>
      </c>
      <c r="E78" s="7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row>
    <row r="79" spans="1:103" ht="15.75" customHeight="1" outlineLevel="1" x14ac:dyDescent="0.2">
      <c r="A79" s="75" t="s">
        <v>42</v>
      </c>
      <c r="B79" s="76">
        <f>B22</f>
        <v>-170280.68411385347</v>
      </c>
      <c r="C79" s="76">
        <f>B17</f>
        <v>-530866.72886234534</v>
      </c>
      <c r="D79" s="76">
        <f t="shared" ref="D79:D80" si="13">B79-C79</f>
        <v>360586.04474849184</v>
      </c>
      <c r="E79" s="77">
        <f t="shared" ref="E79:E80" si="14">1-B79/C79</f>
        <v>0.67924024080626166</v>
      </c>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row>
    <row r="80" spans="1:103" ht="15.75" customHeight="1" outlineLevel="1" x14ac:dyDescent="0.2">
      <c r="A80" s="78" t="s">
        <v>20</v>
      </c>
      <c r="B80" s="29">
        <f>B23</f>
        <v>-21846952.601947539</v>
      </c>
      <c r="C80" s="29">
        <f>B18</f>
        <v>-444751956.75981504</v>
      </c>
      <c r="D80" s="29">
        <f t="shared" si="13"/>
        <v>422905004.15786749</v>
      </c>
      <c r="E80" s="44">
        <f t="shared" si="14"/>
        <v>0.95087834405246741</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row>
    <row r="81" spans="1:103" ht="15.75" customHeight="1" outlineLevel="1" x14ac:dyDescent="0.2">
      <c r="A81" s="78" t="s">
        <v>41</v>
      </c>
      <c r="B81" s="29">
        <f>B32</f>
        <v>-327192627.06918567</v>
      </c>
      <c r="C81" s="79" t="s">
        <v>72</v>
      </c>
      <c r="D81" s="29">
        <f>B81</f>
        <v>-327192627.06918567</v>
      </c>
      <c r="E81" s="4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row>
    <row r="82" spans="1:103" ht="15.75" customHeight="1" outlineLevel="1" x14ac:dyDescent="0.2">
      <c r="A82" s="80" t="s">
        <v>51</v>
      </c>
      <c r="B82" s="81">
        <f>B33</f>
        <v>-349209860.35524708</v>
      </c>
      <c r="C82" s="81">
        <f>B19</f>
        <v>-445282823.48867738</v>
      </c>
      <c r="D82" s="81">
        <f>B82-C82</f>
        <v>96072963.133430302</v>
      </c>
      <c r="E82" s="36">
        <f>1-B82/C82</f>
        <v>0.21575717289232743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row>
    <row r="83" spans="1:103"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row>
    <row r="84" spans="1:103" ht="15.75" customHeight="1" x14ac:dyDescent="0.25">
      <c r="A84" s="64" t="s">
        <v>73</v>
      </c>
      <c r="B84" s="65"/>
      <c r="C84" s="66"/>
      <c r="D84" s="66"/>
      <c r="E84" s="66"/>
      <c r="F84" s="66"/>
      <c r="G84" s="66"/>
      <c r="H84" s="66"/>
      <c r="I84" s="66"/>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row>
    <row r="85" spans="1:103" ht="15.75" customHeight="1" outlineLevel="1"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row>
    <row r="86" spans="1:103" ht="15.75" customHeight="1" outlineLevel="1" x14ac:dyDescent="0.2">
      <c r="A86" s="71" t="s">
        <v>74</v>
      </c>
      <c r="B86" s="72"/>
      <c r="C86" s="72" t="s">
        <v>37</v>
      </c>
      <c r="D86" s="72" t="s">
        <v>46</v>
      </c>
      <c r="E86" s="74" t="s">
        <v>39</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row>
    <row r="87" spans="1:103" ht="15.75" customHeight="1" outlineLevel="1" x14ac:dyDescent="0.2">
      <c r="A87" s="78" t="s">
        <v>43</v>
      </c>
      <c r="B87" s="4" t="s">
        <v>75</v>
      </c>
      <c r="C87" s="29">
        <f>-'Cost (Counterfactual)'!G32</f>
        <v>-503673.116966767</v>
      </c>
      <c r="D87" s="82">
        <f>$C$87/$B$19</f>
        <v>1.1311308013648867E-3</v>
      </c>
      <c r="E87" s="83">
        <f>-'Cost (Model)'!G23</f>
        <v>-167800.22124330324</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row>
    <row r="88" spans="1:103" ht="15.75" customHeight="1" outlineLevel="1" x14ac:dyDescent="0.2">
      <c r="A88" s="78" t="s">
        <v>76</v>
      </c>
      <c r="B88" s="4" t="s">
        <v>77</v>
      </c>
      <c r="C88" s="29">
        <f>-'Cost (Counterfactual)'!G45</f>
        <v>-820322.49181041727</v>
      </c>
      <c r="D88" s="82">
        <f>$C$88/$B$19</f>
        <v>1.8422504721457695E-3</v>
      </c>
      <c r="E88" s="83">
        <f>-'Cost (Model)'!G37</f>
        <v>-789951.53906578966</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row>
    <row r="89" spans="1:103" ht="15.75" customHeight="1" outlineLevel="1" x14ac:dyDescent="0.2">
      <c r="A89" s="84" t="s">
        <v>78</v>
      </c>
      <c r="B89" s="4" t="s">
        <v>79</v>
      </c>
      <c r="C89" s="29">
        <f>-'Cost (Counterfactual)'!G89</f>
        <v>-220006436.42277294</v>
      </c>
      <c r="D89" s="82">
        <f>$C$89/$B$19</f>
        <v>0.4940824680796771</v>
      </c>
      <c r="E89" s="83">
        <f>-'Cost (Model)'!G80</f>
        <v>-8896773.9063402675</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row>
    <row r="90" spans="1:103" ht="15.75" customHeight="1" outlineLevel="1" x14ac:dyDescent="0.2">
      <c r="A90" s="84" t="s">
        <v>80</v>
      </c>
      <c r="B90" s="4" t="s">
        <v>79</v>
      </c>
      <c r="C90" s="29">
        <f>-'Cost (Counterfactual)'!G114</f>
        <v>-219692589.8658219</v>
      </c>
      <c r="D90" s="82">
        <f>$C$90/$B$19</f>
        <v>0.49337764287556946</v>
      </c>
      <c r="E90" s="83">
        <f>-'Cost (Model)'!G105</f>
        <v>-8884082.3601115383</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row>
    <row r="91" spans="1:103" ht="15.75" customHeight="1" outlineLevel="1" x14ac:dyDescent="0.2">
      <c r="A91" s="80" t="s">
        <v>81</v>
      </c>
      <c r="B91" s="85"/>
      <c r="C91" s="86">
        <f>SUM(C87:C90)</f>
        <v>-441023021.89737201</v>
      </c>
      <c r="D91" s="87">
        <f>C91/$B$19</f>
        <v>0.99043349222875721</v>
      </c>
      <c r="E91" s="88">
        <f>SUM(E87:E90)</f>
        <v>-18738608.026760899</v>
      </c>
      <c r="F91" s="89"/>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row>
    <row r="92" spans="1:103" ht="15.75" customHeight="1" outlineLevel="1" x14ac:dyDescent="0.2">
      <c r="A92" s="80" t="s">
        <v>82</v>
      </c>
      <c r="B92" s="80" t="s">
        <v>82</v>
      </c>
      <c r="C92" s="81">
        <f>C93-C91</f>
        <v>-4259801.5913053751</v>
      </c>
      <c r="D92" s="90">
        <f>$C$92/$B$19</f>
        <v>9.5665077712428163E-3</v>
      </c>
      <c r="E92" s="36"/>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row>
    <row r="93" spans="1:103" ht="15.75" customHeight="1" outlineLevel="1" x14ac:dyDescent="0.2">
      <c r="A93" s="80" t="s">
        <v>83</v>
      </c>
      <c r="B93" s="85"/>
      <c r="C93" s="81">
        <f>B19</f>
        <v>-445282823.48867738</v>
      </c>
      <c r="D93" s="90">
        <f>C93/$B$19</f>
        <v>1</v>
      </c>
      <c r="E93" s="36">
        <f>E91/B24</f>
        <v>0.85108822635875347</v>
      </c>
      <c r="F93" s="4"/>
      <c r="G93" s="4"/>
      <c r="H93" s="12"/>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row>
    <row r="94" spans="1:103" ht="15.75" customHeight="1" x14ac:dyDescent="0.2">
      <c r="A94" s="4"/>
      <c r="B94" s="4"/>
      <c r="C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row>
    <row r="95" spans="1:103" ht="15.75" customHeight="1" x14ac:dyDescent="0.2">
      <c r="A95" s="734" t="s">
        <v>84</v>
      </c>
      <c r="B95" s="91" t="s">
        <v>85</v>
      </c>
      <c r="C95" s="92">
        <f>$C$87/$B$19</f>
        <v>1.1311308013648867E-3</v>
      </c>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row>
    <row r="96" spans="1:103" ht="15.75" customHeight="1" x14ac:dyDescent="0.2">
      <c r="A96" s="735"/>
      <c r="B96" s="42" t="s">
        <v>86</v>
      </c>
      <c r="C96" s="93">
        <f>$C$88/$B$19</f>
        <v>1.8422504721457695E-3</v>
      </c>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row>
    <row r="97" spans="1:103" ht="15.75" customHeight="1" x14ac:dyDescent="0.2">
      <c r="A97" s="735"/>
      <c r="B97" s="42" t="s">
        <v>87</v>
      </c>
      <c r="C97" s="93">
        <f>$C$89/$B$19</f>
        <v>0.4940824680796771</v>
      </c>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row>
    <row r="98" spans="1:103" ht="15.75" customHeight="1" x14ac:dyDescent="0.2">
      <c r="A98" s="735"/>
      <c r="B98" s="42" t="s">
        <v>88</v>
      </c>
      <c r="C98" s="93">
        <f>$C$90/$B$19</f>
        <v>0.49337764287556946</v>
      </c>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row>
    <row r="99" spans="1:103" ht="15.75" customHeight="1" x14ac:dyDescent="0.2">
      <c r="A99" s="32" t="s">
        <v>89</v>
      </c>
      <c r="B99" s="94" t="s">
        <v>72</v>
      </c>
      <c r="C99" s="95">
        <f>$C$92/$B$19</f>
        <v>9.5665077712428163E-3</v>
      </c>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row>
    <row r="100" spans="1:103"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row>
    <row r="101" spans="1:103"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row>
    <row r="102" spans="1:103"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row>
    <row r="103" spans="1:103"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row>
    <row r="104" spans="1:103"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row>
    <row r="105" spans="1:103" ht="15.75" customHeight="1" x14ac:dyDescent="0.25">
      <c r="A105" s="64" t="s">
        <v>90</v>
      </c>
      <c r="B105" s="96" t="s">
        <v>14</v>
      </c>
      <c r="C105" s="66">
        <v>2020</v>
      </c>
      <c r="D105" s="66">
        <v>2021</v>
      </c>
      <c r="E105" s="66">
        <v>2022</v>
      </c>
      <c r="F105" s="66">
        <v>2023</v>
      </c>
      <c r="G105" s="66">
        <v>2024</v>
      </c>
      <c r="H105" s="66">
        <v>2025</v>
      </c>
      <c r="I105" s="66">
        <v>2026</v>
      </c>
      <c r="J105" s="66">
        <v>2027</v>
      </c>
      <c r="K105" s="66">
        <v>2028</v>
      </c>
      <c r="L105" s="66">
        <v>2029</v>
      </c>
      <c r="M105" s="66">
        <v>2030</v>
      </c>
      <c r="N105" s="66">
        <v>2031</v>
      </c>
      <c r="O105" s="66">
        <v>2032</v>
      </c>
      <c r="P105" s="66">
        <v>2033</v>
      </c>
      <c r="Q105" s="66">
        <v>2034</v>
      </c>
      <c r="R105" s="66">
        <v>2035</v>
      </c>
      <c r="S105" s="66">
        <v>2036</v>
      </c>
      <c r="T105" s="66">
        <v>2037</v>
      </c>
      <c r="U105" s="66">
        <v>2038</v>
      </c>
      <c r="V105" s="66">
        <v>2039</v>
      </c>
      <c r="W105" s="66">
        <v>2040</v>
      </c>
      <c r="X105" s="66">
        <v>2041</v>
      </c>
      <c r="Y105" s="66">
        <v>2042</v>
      </c>
      <c r="Z105" s="66">
        <v>2043</v>
      </c>
      <c r="AA105" s="66">
        <v>2044</v>
      </c>
      <c r="AB105" s="66">
        <v>2045</v>
      </c>
      <c r="AC105" s="66">
        <v>2046</v>
      </c>
      <c r="AD105" s="66">
        <v>2047</v>
      </c>
      <c r="AE105" s="66">
        <v>2048</v>
      </c>
      <c r="AF105" s="66">
        <v>2049</v>
      </c>
      <c r="AG105" s="66">
        <v>2050</v>
      </c>
      <c r="AH105" s="66">
        <v>2051</v>
      </c>
      <c r="AI105" s="66">
        <v>2052</v>
      </c>
      <c r="AJ105" s="66">
        <v>2053</v>
      </c>
      <c r="AK105" s="66">
        <v>2054</v>
      </c>
      <c r="AL105" s="66">
        <v>2055</v>
      </c>
      <c r="AM105" s="66">
        <v>2056</v>
      </c>
      <c r="AN105" s="66">
        <v>2057</v>
      </c>
      <c r="AO105" s="66">
        <v>2058</v>
      </c>
      <c r="AP105" s="66">
        <v>2059</v>
      </c>
      <c r="AQ105" s="66">
        <v>2060</v>
      </c>
      <c r="AR105" s="66">
        <v>2061</v>
      </c>
      <c r="AS105" s="66">
        <v>2062</v>
      </c>
      <c r="AT105" s="66">
        <v>2063</v>
      </c>
      <c r="AU105" s="66">
        <v>2064</v>
      </c>
      <c r="AV105" s="66">
        <v>2065</v>
      </c>
      <c r="AW105" s="66">
        <v>2066</v>
      </c>
      <c r="AX105" s="66">
        <v>2067</v>
      </c>
      <c r="AY105" s="66">
        <v>2068</v>
      </c>
      <c r="AZ105" s="66">
        <v>2069</v>
      </c>
      <c r="BA105" s="66">
        <v>2070</v>
      </c>
      <c r="BB105" s="66">
        <v>2071</v>
      </c>
      <c r="BC105" s="66">
        <v>2072</v>
      </c>
      <c r="BD105" s="66">
        <v>2073</v>
      </c>
      <c r="BE105" s="66">
        <v>2074</v>
      </c>
      <c r="BF105" s="66">
        <v>2075</v>
      </c>
      <c r="BG105" s="66">
        <v>2076</v>
      </c>
      <c r="BH105" s="66">
        <v>2077</v>
      </c>
      <c r="BI105" s="66">
        <v>2078</v>
      </c>
      <c r="BJ105" s="66">
        <v>2079</v>
      </c>
      <c r="BK105" s="66">
        <v>2080</v>
      </c>
      <c r="BL105" s="66">
        <v>2081</v>
      </c>
      <c r="BM105" s="66">
        <v>2082</v>
      </c>
      <c r="BN105" s="66">
        <v>2083</v>
      </c>
      <c r="BO105" s="66">
        <v>2084</v>
      </c>
      <c r="BP105" s="66">
        <v>2085</v>
      </c>
      <c r="BQ105" s="66">
        <v>2086</v>
      </c>
      <c r="BR105" s="66">
        <v>2087</v>
      </c>
      <c r="BS105" s="66">
        <v>2088</v>
      </c>
      <c r="BT105" s="66">
        <v>2089</v>
      </c>
      <c r="BU105" s="66">
        <v>2090</v>
      </c>
      <c r="BV105" s="66">
        <v>2091</v>
      </c>
      <c r="BW105" s="66">
        <v>2092</v>
      </c>
      <c r="BX105" s="66">
        <v>2093</v>
      </c>
      <c r="BY105" s="66">
        <v>2094</v>
      </c>
      <c r="BZ105" s="66">
        <v>2095</v>
      </c>
      <c r="CA105" s="66">
        <v>2096</v>
      </c>
      <c r="CB105" s="66">
        <v>2097</v>
      </c>
      <c r="CC105" s="66">
        <v>2098</v>
      </c>
      <c r="CD105" s="66">
        <v>2099</v>
      </c>
      <c r="CE105" s="66">
        <v>2100</v>
      </c>
      <c r="CF105" s="66">
        <v>2101</v>
      </c>
      <c r="CG105" s="66">
        <v>2102</v>
      </c>
      <c r="CH105" s="66">
        <v>2103</v>
      </c>
      <c r="CI105" s="66">
        <v>2104</v>
      </c>
      <c r="CJ105" s="66">
        <v>2105</v>
      </c>
      <c r="CK105" s="66">
        <v>2106</v>
      </c>
      <c r="CL105" s="66">
        <v>2107</v>
      </c>
      <c r="CM105" s="66">
        <v>2108</v>
      </c>
      <c r="CN105" s="66">
        <v>2109</v>
      </c>
      <c r="CO105" s="66">
        <v>2110</v>
      </c>
      <c r="CP105" s="66">
        <v>2111</v>
      </c>
      <c r="CQ105" s="66">
        <v>2112</v>
      </c>
      <c r="CR105" s="66">
        <v>2113</v>
      </c>
      <c r="CS105" s="66">
        <v>2114</v>
      </c>
      <c r="CT105" s="66">
        <v>2115</v>
      </c>
      <c r="CU105" s="66">
        <v>2116</v>
      </c>
      <c r="CV105" s="66">
        <v>2117</v>
      </c>
      <c r="CW105" s="66">
        <v>2118</v>
      </c>
      <c r="CX105" s="66">
        <v>2119</v>
      </c>
      <c r="CY105" s="66">
        <v>2120</v>
      </c>
    </row>
    <row r="106" spans="1:103" ht="15.75" customHeight="1" x14ac:dyDescent="0.2">
      <c r="A106" s="4" t="s">
        <v>91</v>
      </c>
      <c r="B106" s="97">
        <f t="shared" ref="B106:B107" si="15">-NPV(D$2,D106:CY106)-C106</f>
        <v>-304399050.40740931</v>
      </c>
      <c r="C106" s="4">
        <v>0</v>
      </c>
      <c r="D106" s="4">
        <v>0</v>
      </c>
      <c r="E106" s="4">
        <v>0</v>
      </c>
      <c r="F106" s="4">
        <v>0</v>
      </c>
      <c r="G106" s="4">
        <v>0</v>
      </c>
      <c r="H106" s="4">
        <v>0</v>
      </c>
      <c r="I106" s="4">
        <v>0</v>
      </c>
      <c r="J106" s="29">
        <f>'Financial Modeling'!J50</f>
        <v>8542537.3457316849</v>
      </c>
      <c r="K106" s="29">
        <f>'Financial Modeling'!K50</f>
        <v>8756855.0732734688</v>
      </c>
      <c r="L106" s="29">
        <f>'Financial Modeling'!L50</f>
        <v>8976551.088895401</v>
      </c>
      <c r="M106" s="29">
        <f>'Financial Modeling'!M50</f>
        <v>9201760.4921062477</v>
      </c>
      <c r="N106" s="29">
        <f>'Financial Modeling'!N50</f>
        <v>9432621.7929110471</v>
      </c>
      <c r="O106" s="29">
        <f>'Financial Modeling'!O50</f>
        <v>9669277.0002047904</v>
      </c>
      <c r="P106" s="29">
        <f>'Financial Modeling'!P50</f>
        <v>9911871.7127713952</v>
      </c>
      <c r="Q106" s="29">
        <f>'Financial Modeling'!Q50</f>
        <v>10160555.213006889</v>
      </c>
      <c r="R106" s="29">
        <f>'Financial Modeling'!R50</f>
        <v>10415480.56349575</v>
      </c>
      <c r="S106" s="29">
        <f>'Financial Modeling'!S50</f>
        <v>10676804.70658119</v>
      </c>
      <c r="T106" s="29">
        <f>'Financial Modeling'!T50</f>
        <v>10944688.567083079</v>
      </c>
      <c r="U106" s="29">
        <f>'Financial Modeling'!U50</f>
        <v>11219297.158331964</v>
      </c>
      <c r="V106" s="29">
        <f>'Financial Modeling'!V50</f>
        <v>11500799.691704223</v>
      </c>
      <c r="W106" s="29">
        <f>'Financial Modeling'!W50</f>
        <v>11789369.689861977</v>
      </c>
      <c r="X106" s="29">
        <f>'Financial Modeling'!X50</f>
        <v>12085185.103922548</v>
      </c>
      <c r="Y106" s="29">
        <f>'Financial Modeling'!Y50</f>
        <v>12388428.434806053</v>
      </c>
      <c r="Z106" s="29">
        <f>'Financial Modeling'!Z50</f>
        <v>12699286.859036535</v>
      </c>
      <c r="AA106" s="29">
        <f>'Financial Modeling'!AA50</f>
        <v>13017952.35930264</v>
      </c>
      <c r="AB106" s="29">
        <f>'Financial Modeling'!AB50</f>
        <v>13344492.802049689</v>
      </c>
      <c r="AC106" s="29">
        <f>'Financial Modeling'!AC50</f>
        <v>13611254.652237723</v>
      </c>
      <c r="AD106" s="29">
        <f>'Financial Modeling'!AD50</f>
        <v>13883351.760473831</v>
      </c>
      <c r="AE106" s="29">
        <f>'Financial Modeling'!AE50</f>
        <v>14160890.832339857</v>
      </c>
      <c r="AF106" s="29">
        <f>'Financial Modeling'!AF50</f>
        <v>14443980.707537688</v>
      </c>
      <c r="AG106" s="29">
        <f>'Financial Modeling'!AG50</f>
        <v>14732732.402571879</v>
      </c>
      <c r="AH106" s="29">
        <f>'Financial Modeling'!AH50</f>
        <v>15027259.154285789</v>
      </c>
      <c r="AI106" s="29">
        <f>'Financial Modeling'!AI50</f>
        <v>15327676.464268595</v>
      </c>
      <c r="AJ106" s="29">
        <f>'Financial Modeling'!AJ50</f>
        <v>15634102.144150369</v>
      </c>
      <c r="AK106" s="29">
        <f>'Financial Modeling'!AK50</f>
        <v>15946656.36180307</v>
      </c>
      <c r="AL106" s="29">
        <f>'Financial Modeling'!AL50</f>
        <v>16265461.68846559</v>
      </c>
      <c r="AM106" s="29">
        <f>'Financial Modeling'!AM50</f>
        <v>16590643.146811256</v>
      </c>
      <c r="AN106" s="29">
        <f>'Financial Modeling'!AN50</f>
        <v>16922328.259976733</v>
      </c>
      <c r="AO106" s="29">
        <f>'Financial Modeling'!AO50</f>
        <v>17260647.101571478</v>
      </c>
      <c r="AP106" s="29">
        <f>'Financial Modeling'!AP50</f>
        <v>17605732.346687373</v>
      </c>
      <c r="AQ106" s="29">
        <f>'Financial Modeling'!AQ50</f>
        <v>17957719.323928665</v>
      </c>
      <c r="AR106" s="29">
        <f>'Financial Modeling'!AR50</f>
        <v>18316746.068482291</v>
      </c>
      <c r="AS106" s="29">
        <f>'Financial Modeling'!AS50</f>
        <v>18682953.376249857</v>
      </c>
      <c r="AT106" s="29">
        <f>'Financial Modeling'!AT50</f>
        <v>19056484.859062102</v>
      </c>
      <c r="AU106" s="29">
        <f>'Financial Modeling'!AU50</f>
        <v>19437487.000997711</v>
      </c>
      <c r="AV106" s="29">
        <f>'Financial Modeling'!AV50</f>
        <v>19826109.215828482</v>
      </c>
      <c r="AW106" s="29">
        <f>'Financial Modeling'!AW50</f>
        <v>20222503.90561346</v>
      </c>
      <c r="AX106" s="29">
        <f>'Financial Modeling'!AX50</f>
        <v>20626826.520464867</v>
      </c>
      <c r="AY106" s="29">
        <f>'Financial Modeling'!AY50</f>
        <v>21039235.619509459</v>
      </c>
      <c r="AZ106" s="29">
        <f>'Financial Modeling'!AZ50</f>
        <v>21459892.933069013</v>
      </c>
      <c r="BA106" s="29">
        <f>'Financial Modeling'!BA50</f>
        <v>21888963.426084518</v>
      </c>
      <c r="BB106" s="29">
        <f>'Financial Modeling'!BB50</f>
        <v>22326615.362808775</v>
      </c>
      <c r="BC106" s="29">
        <f>'Financial Modeling'!BC50</f>
        <v>22773020.372792944</v>
      </c>
      <c r="BD106" s="29">
        <f>'Financial Modeling'!BD50</f>
        <v>23228353.51819272</v>
      </c>
      <c r="BE106" s="29">
        <f>'Financial Modeling'!BE50</f>
        <v>23692793.362420745</v>
      </c>
      <c r="BF106" s="29">
        <f>'Financial Modeling'!BF50</f>
        <v>24166522.040171973</v>
      </c>
      <c r="BG106" s="29">
        <f>'Financial Modeling'!BG50</f>
        <v>24649725.328849658</v>
      </c>
      <c r="BH106" s="29">
        <f>'Financial Modeling'!BH50</f>
        <v>25142592.721419752</v>
      </c>
      <c r="BI106" s="29">
        <f>'Financial Modeling'!BI50</f>
        <v>25645317.500722472</v>
      </c>
      <c r="BJ106" s="29">
        <f>'Financial Modeling'!BJ50</f>
        <v>26158096.8152701</v>
      </c>
      <c r="BK106" s="29">
        <f>'Financial Modeling'!BK50</f>
        <v>26681131.756560728</v>
      </c>
      <c r="BL106" s="29">
        <f>'Financial Modeling'!BL50</f>
        <v>27214627.437938228</v>
      </c>
      <c r="BM106" s="29">
        <f>'Financial Modeling'!BM50</f>
        <v>27758793.075029571</v>
      </c>
      <c r="BN106" s="29">
        <f>'Financial Modeling'!BN50</f>
        <v>28313842.067790754</v>
      </c>
      <c r="BO106" s="29">
        <f>'Financial Modeling'!BO50</f>
        <v>28879992.084193755</v>
      </c>
      <c r="BP106" s="29">
        <f>'Financial Modeling'!BP50</f>
        <v>29457465.145587131</v>
      </c>
      <c r="BQ106" s="29">
        <f>'Financial Modeling'!BQ50</f>
        <v>30046487.713763919</v>
      </c>
      <c r="BR106" s="29">
        <f>'Financial Modeling'!BR50</f>
        <v>30647290.779770926</v>
      </c>
      <c r="BS106" s="29">
        <f>'Financial Modeling'!BS50</f>
        <v>31260109.954494059</v>
      </c>
      <c r="BT106" s="29">
        <f>'Financial Modeling'!BT50</f>
        <v>31885185.561055597</v>
      </c>
      <c r="BU106" s="29">
        <f>'Financial Modeling'!BU50</f>
        <v>32522762.72905916</v>
      </c>
      <c r="BV106" s="29">
        <f>'Financial Modeling'!BV50</f>
        <v>33173091.490719803</v>
      </c>
      <c r="BW106" s="29">
        <f>'Financial Modeling'!BW50</f>
        <v>33836426.878916621</v>
      </c>
      <c r="BX106" s="29">
        <f>'Financial Modeling'!BX50</f>
        <v>34513029.027206391</v>
      </c>
      <c r="BY106" s="29">
        <f>'Financial Modeling'!BY50</f>
        <v>35203163.271837555</v>
      </c>
      <c r="BZ106" s="29">
        <f>'Financial Modeling'!BZ50</f>
        <v>35907100.255804442</v>
      </c>
      <c r="CA106" s="29">
        <f>'Financial Modeling'!CA50</f>
        <v>36625116.034982666</v>
      </c>
      <c r="CB106" s="29">
        <f>'Financial Modeling'!CB50</f>
        <v>37357492.18638704</v>
      </c>
      <c r="CC106" s="29">
        <f>'Financial Modeling'!CC50</f>
        <v>38104515.918594979</v>
      </c>
      <c r="CD106" s="29">
        <f>'Financial Modeling'!CD50</f>
        <v>38866480.184378028</v>
      </c>
      <c r="CE106" s="29">
        <f>'Financial Modeling'!CE50</f>
        <v>39643683.795586355</v>
      </c>
      <c r="CF106" s="29">
        <f>'Financial Modeling'!CF50</f>
        <v>40436431.540330619</v>
      </c>
      <c r="CG106" s="29">
        <f>'Financial Modeling'!CG50</f>
        <v>41245034.30250778</v>
      </c>
      <c r="CH106" s="29">
        <f>'Financial Modeling'!CH50</f>
        <v>42069809.183717281</v>
      </c>
      <c r="CI106" s="29">
        <f>'Financial Modeling'!CI50</f>
        <v>42911079.627615511</v>
      </c>
      <c r="CJ106" s="29">
        <f>'Financial Modeling'!CJ50</f>
        <v>43769175.546757564</v>
      </c>
      <c r="CK106" s="29">
        <f>'Financial Modeling'!CK50</f>
        <v>44644433.451975621</v>
      </c>
      <c r="CL106" s="29">
        <f>'Financial Modeling'!CL50</f>
        <v>45537196.58434505</v>
      </c>
      <c r="CM106" s="29">
        <f>'Financial Modeling'!CM50</f>
        <v>46447815.049789846</v>
      </c>
      <c r="CN106" s="29">
        <f>'Financial Modeling'!CN50</f>
        <v>47376645.956380077</v>
      </c>
      <c r="CO106" s="29">
        <f>'Financial Modeling'!CO50</f>
        <v>48324053.55437535</v>
      </c>
      <c r="CP106" s="29">
        <f>'Financial Modeling'!CP50</f>
        <v>49290409.379069254</v>
      </c>
      <c r="CQ106" s="29">
        <f>'Financial Modeling'!CQ50</f>
        <v>50276092.396490544</v>
      </c>
      <c r="CR106" s="29">
        <f>'Financial Modeling'!CR50</f>
        <v>51281489.152018413</v>
      </c>
      <c r="CS106" s="29">
        <f>'Financial Modeling'!CS50</f>
        <v>52306993.921970181</v>
      </c>
      <c r="CT106" s="29">
        <f>'Financial Modeling'!CT50</f>
        <v>53353008.86822056</v>
      </c>
      <c r="CU106" s="29">
        <f>'Financial Modeling'!CU50</f>
        <v>54419944.195913546</v>
      </c>
      <c r="CV106" s="29">
        <f>'Financial Modeling'!CV50</f>
        <v>55508218.314328328</v>
      </c>
      <c r="CW106" s="29">
        <f>'Financial Modeling'!CW50</f>
        <v>56618258.000962704</v>
      </c>
      <c r="CX106" s="29">
        <f>'Financial Modeling'!CX50</f>
        <v>57750498.568898119</v>
      </c>
      <c r="CY106" s="29">
        <f>'Financial Modeling'!CY50</f>
        <v>58905384.0375119</v>
      </c>
    </row>
    <row r="107" spans="1:103" ht="15.75" customHeight="1" x14ac:dyDescent="0.2">
      <c r="A107" s="98" t="s">
        <v>92</v>
      </c>
      <c r="B107" s="99">
        <f t="shared" si="15"/>
        <v>-263876667.85144392</v>
      </c>
      <c r="C107" s="98">
        <v>0</v>
      </c>
      <c r="D107" s="98">
        <v>0</v>
      </c>
      <c r="E107" s="98">
        <v>0</v>
      </c>
      <c r="F107" s="98">
        <v>0</v>
      </c>
      <c r="G107" s="98">
        <v>0</v>
      </c>
      <c r="H107" s="98">
        <v>0</v>
      </c>
      <c r="I107" s="98">
        <v>0</v>
      </c>
      <c r="J107" s="100">
        <f>'Financial Modeling'!J21</f>
        <v>9871672.8361415062</v>
      </c>
      <c r="K107" s="100">
        <f>'Financial Modeling'!K21</f>
        <v>9934106.2928643357</v>
      </c>
      <c r="L107" s="100">
        <f>'Financial Modeling'!L21</f>
        <v>9997788.4187216219</v>
      </c>
      <c r="M107" s="100">
        <f>'Financial Modeling'!M21</f>
        <v>10062744.187096056</v>
      </c>
      <c r="N107" s="100">
        <f>'Financial Modeling'!N21</f>
        <v>10128999.070837976</v>
      </c>
      <c r="O107" s="100">
        <f>'Financial Modeling'!O21</f>
        <v>10196579.052254735</v>
      </c>
      <c r="P107" s="100">
        <f>'Financial Modeling'!P21</f>
        <v>10265510.633299829</v>
      </c>
      <c r="Q107" s="100">
        <f>'Financial Modeling'!Q21</f>
        <v>10335820.845965827</v>
      </c>
      <c r="R107" s="100">
        <f>'Financial Modeling'!R21</f>
        <v>10407537.262885142</v>
      </c>
      <c r="S107" s="100">
        <f>'Financial Modeling'!S21</f>
        <v>10480688.008142846</v>
      </c>
      <c r="T107" s="100">
        <f>'Financial Modeling'!T21</f>
        <v>10555301.768305702</v>
      </c>
      <c r="U107" s="100">
        <f>'Financial Modeling'!U21</f>
        <v>10631407.803671816</v>
      </c>
      <c r="V107" s="100">
        <f>'Financial Modeling'!V21</f>
        <v>10709035.959745253</v>
      </c>
      <c r="W107" s="100">
        <f>'Financial Modeling'!W21</f>
        <v>10788216.678940158</v>
      </c>
      <c r="X107" s="100">
        <f>'Financial Modeling'!X21</f>
        <v>10868981.012518961</v>
      </c>
      <c r="Y107" s="100">
        <f>'Financial Modeling'!Y21</f>
        <v>10951360.632769341</v>
      </c>
      <c r="Z107" s="100">
        <f>'Financial Modeling'!Z21</f>
        <v>11035387.845424727</v>
      </c>
      <c r="AA107" s="100">
        <f>'Financial Modeling'!AA21</f>
        <v>11121095.602333222</v>
      </c>
      <c r="AB107" s="100">
        <f>'Financial Modeling'!AB21</f>
        <v>11208517.514379885</v>
      </c>
      <c r="AC107" s="100">
        <f>'Financial Modeling'!AC21</f>
        <v>11297687.864667483</v>
      </c>
      <c r="AD107" s="100">
        <f>'Financial Modeling'!AD21</f>
        <v>11388641.621960834</v>
      </c>
      <c r="AE107" s="100">
        <f>'Financial Modeling'!AE21</f>
        <v>11481414.45440005</v>
      </c>
      <c r="AF107" s="100">
        <f>'Financial Modeling'!AF21</f>
        <v>11576042.743488051</v>
      </c>
      <c r="AG107" s="100">
        <f>'Financial Modeling'!AG21</f>
        <v>11672563.598357812</v>
      </c>
      <c r="AH107" s="100">
        <f>'Financial Modeling'!AH21</f>
        <v>146771014.87032497</v>
      </c>
      <c r="AI107" s="100">
        <f>'Financial Modeling'!AI21</f>
        <v>10621435.167731468</v>
      </c>
      <c r="AJ107" s="100">
        <f>'Financial Modeling'!AJ21</f>
        <v>10723863.871086098</v>
      </c>
      <c r="AK107" s="100">
        <f>'Financial Modeling'!AK21</f>
        <v>10828341.148507819</v>
      </c>
      <c r="AL107" s="100">
        <f>'Financial Modeling'!AL21</f>
        <v>10934907.971477974</v>
      </c>
      <c r="AM107" s="100">
        <f>'Financial Modeling'!AM21</f>
        <v>11043606.130907536</v>
      </c>
      <c r="AN107" s="100">
        <f>'Financial Modeling'!AN21</f>
        <v>11154478.253525686</v>
      </c>
      <c r="AO107" s="100">
        <f>'Financial Modeling'!AO21</f>
        <v>11267567.818596199</v>
      </c>
      <c r="AP107" s="100">
        <f>'Financial Modeling'!AP21</f>
        <v>11382919.174968123</v>
      </c>
      <c r="AQ107" s="100">
        <f>'Financial Modeling'!AQ21</f>
        <v>11500577.558467485</v>
      </c>
      <c r="AR107" s="100">
        <f>'Financial Modeling'!AR21</f>
        <v>11620589.109636836</v>
      </c>
      <c r="AS107" s="100">
        <f>'Financial Modeling'!AS21</f>
        <v>11743000.891829573</v>
      </c>
      <c r="AT107" s="100">
        <f>'Financial Modeling'!AT21</f>
        <v>11867860.909666162</v>
      </c>
      <c r="AU107" s="100">
        <f>'Financial Modeling'!AU21</f>
        <v>11995218.127859484</v>
      </c>
      <c r="AV107" s="100">
        <f>'Financial Modeling'!AV21</f>
        <v>12125122.490416676</v>
      </c>
      <c r="AW107" s="100">
        <f>'Financial Modeling'!AW21</f>
        <v>12257624.940225009</v>
      </c>
      <c r="AX107" s="100">
        <f>'Financial Modeling'!AX21</f>
        <v>12392777.439029511</v>
      </c>
      <c r="AY107" s="100">
        <f>'Financial Modeling'!AY21</f>
        <v>12530632.987810098</v>
      </c>
      <c r="AZ107" s="100">
        <f>'Financial Modeling'!AZ21</f>
        <v>12671245.647566302</v>
      </c>
      <c r="BA107" s="100">
        <f>'Financial Modeling'!BA21</f>
        <v>12814670.560517628</v>
      </c>
      <c r="BB107" s="100">
        <f>'Financial Modeling'!BB21</f>
        <v>122960963.97172798</v>
      </c>
      <c r="BC107" s="100">
        <f>'Financial Modeling'!BC21</f>
        <v>7610183.2511625392</v>
      </c>
      <c r="BD107" s="100">
        <f>'Financial Modeling'!BD21</f>
        <v>7762386.9161857916</v>
      </c>
      <c r="BE107" s="100">
        <f>'Financial Modeling'!BE21</f>
        <v>7917634.6545095062</v>
      </c>
      <c r="BF107" s="100">
        <f>'Financial Modeling'!BF21</f>
        <v>8075987.3475996973</v>
      </c>
      <c r="BG107" s="100">
        <f>'Financial Modeling'!BG21</f>
        <v>8237507.094551689</v>
      </c>
      <c r="BH107" s="100">
        <f>'Financial Modeling'!BH21</f>
        <v>8402257.2364427224</v>
      </c>
      <c r="BI107" s="100">
        <f>'Financial Modeling'!BI21</f>
        <v>8570302.3811715767</v>
      </c>
      <c r="BJ107" s="100">
        <f>'Financial Modeling'!BJ21</f>
        <v>8741708.4287950099</v>
      </c>
      <c r="BK107" s="100">
        <f>'Financial Modeling'!BK21</f>
        <v>8916542.5973709095</v>
      </c>
      <c r="BL107" s="100">
        <f>'Financial Modeling'!BL21</f>
        <v>9094873.4493183289</v>
      </c>
      <c r="BM107" s="100">
        <f>'Financial Modeling'!BM21</f>
        <v>9276770.9183046948</v>
      </c>
      <c r="BN107" s="100">
        <f>'Financial Modeling'!BN21</f>
        <v>9462306.336670788</v>
      </c>
      <c r="BO107" s="100">
        <f>'Financial Modeling'!BO21</f>
        <v>9651552.4634042028</v>
      </c>
      <c r="BP107" s="100">
        <f>'Financial Modeling'!BP21</f>
        <v>9844583.5126722883</v>
      </c>
      <c r="BQ107" s="100">
        <f>'Financial Modeling'!BQ21</f>
        <v>10041475.182925735</v>
      </c>
      <c r="BR107" s="100">
        <f>'Financial Modeling'!BR21</f>
        <v>10242304.686584249</v>
      </c>
      <c r="BS107" s="100">
        <f>'Financial Modeling'!BS21</f>
        <v>10447150.780315934</v>
      </c>
      <c r="BT107" s="100">
        <f>'Financial Modeling'!BT21</f>
        <v>10656093.795922251</v>
      </c>
      <c r="BU107" s="100">
        <f>'Financial Modeling'!BU21</f>
        <v>10869215.671840698</v>
      </c>
      <c r="BV107" s="100">
        <f>'Financial Modeling'!BV21</f>
        <v>11086599.985277513</v>
      </c>
      <c r="BW107" s="100">
        <f>'Financial Modeling'!BW21</f>
        <v>11308331.984983061</v>
      </c>
      <c r="BX107" s="100">
        <f>'Financial Modeling'!BX21</f>
        <v>11534498.624682723</v>
      </c>
      <c r="BY107" s="100">
        <f>'Financial Modeling'!BY21</f>
        <v>11765188.597176377</v>
      </c>
      <c r="BZ107" s="100">
        <f>'Financial Modeling'!BZ21</f>
        <v>12000492.369119905</v>
      </c>
      <c r="CA107" s="100">
        <f>'Financial Modeling'!CA21</f>
        <v>12240502.2165023</v>
      </c>
      <c r="CB107" s="100">
        <f>'Financial Modeling'!CB21</f>
        <v>12485312.260832349</v>
      </c>
      <c r="CC107" s="100">
        <f>'Financial Modeling'!CC21</f>
        <v>12735018.506048996</v>
      </c>
      <c r="CD107" s="100">
        <f>'Financial Modeling'!CD21</f>
        <v>12989718.876169976</v>
      </c>
      <c r="CE107" s="100">
        <f>'Financial Modeling'!CE21</f>
        <v>13249513.253693372</v>
      </c>
      <c r="CF107" s="100">
        <f>'Financial Modeling'!CF21</f>
        <v>13514503.518767241</v>
      </c>
      <c r="CG107" s="100">
        <f>'Financial Modeling'!CG21</f>
        <v>13784793.589142587</v>
      </c>
      <c r="CH107" s="100">
        <f>'Financial Modeling'!CH21</f>
        <v>14060489.460925438</v>
      </c>
      <c r="CI107" s="100">
        <f>'Financial Modeling'!CI21</f>
        <v>14341699.250143945</v>
      </c>
      <c r="CJ107" s="100">
        <f>'Financial Modeling'!CJ21</f>
        <v>14628533.235146826</v>
      </c>
      <c r="CK107" s="100">
        <f>'Financial Modeling'!CK21</f>
        <v>14921103.899849763</v>
      </c>
      <c r="CL107" s="100">
        <f>'Financial Modeling'!CL21</f>
        <v>15219525.977846758</v>
      </c>
      <c r="CM107" s="100">
        <f>'Financial Modeling'!CM21</f>
        <v>15523916.497403689</v>
      </c>
      <c r="CN107" s="100">
        <f>'Financial Modeling'!CN21</f>
        <v>15834394.827351764</v>
      </c>
      <c r="CO107" s="100">
        <f>'Financial Modeling'!CO21</f>
        <v>16151082.723898802</v>
      </c>
      <c r="CP107" s="100">
        <f>'Financial Modeling'!CP21</f>
        <v>16474104.378376778</v>
      </c>
      <c r="CQ107" s="100">
        <f>'Financial Modeling'!CQ21</f>
        <v>16803586.465944309</v>
      </c>
      <c r="CR107" s="100">
        <f>'Financial Modeling'!CR21</f>
        <v>17139658.1952632</v>
      </c>
      <c r="CS107" s="100">
        <f>'Financial Modeling'!CS21</f>
        <v>17482451.359168462</v>
      </c>
      <c r="CT107" s="100">
        <f>'Financial Modeling'!CT21</f>
        <v>17832100.386351831</v>
      </c>
      <c r="CU107" s="100">
        <f>'Financial Modeling'!CU21</f>
        <v>18188742.394078866</v>
      </c>
      <c r="CV107" s="100">
        <f>'Financial Modeling'!CV21</f>
        <v>18552517.241960444</v>
      </c>
      <c r="CW107" s="100">
        <f>'Financial Modeling'!CW21</f>
        <v>18923567.586799655</v>
      </c>
      <c r="CX107" s="100">
        <f>'Financial Modeling'!CX21</f>
        <v>19302038.938535646</v>
      </c>
      <c r="CY107" s="100">
        <f>'Financial Modeling'!CY21</f>
        <v>19688079.717306361</v>
      </c>
    </row>
    <row r="108" spans="1:103" ht="15.75" customHeight="1" x14ac:dyDescent="0.2">
      <c r="A108" s="101" t="s">
        <v>93</v>
      </c>
      <c r="B108" s="102">
        <f>F45+F51</f>
        <v>4046996.6952487528</v>
      </c>
      <c r="C108" s="81">
        <f>B108*2</f>
        <v>8093993.3904975057</v>
      </c>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row>
    <row r="109" spans="1:103" ht="15.75" customHeight="1" x14ac:dyDescent="0.2">
      <c r="A109" s="12" t="s">
        <v>94</v>
      </c>
      <c r="B109" s="103">
        <f>SUM(-B106+B108)</f>
        <v>308446047.10265803</v>
      </c>
      <c r="C109" s="18">
        <f>C108*0.129</f>
        <v>1044125.1473741783</v>
      </c>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row>
    <row r="110" spans="1:103" ht="15.75" customHeight="1" x14ac:dyDescent="0.2">
      <c r="A110" s="104"/>
      <c r="B110" s="104"/>
      <c r="C110" s="105">
        <f>-B106+C109</f>
        <v>305443175.55478346</v>
      </c>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c r="BY110" s="98"/>
      <c r="BZ110" s="98"/>
      <c r="CA110" s="98"/>
      <c r="CB110" s="98"/>
      <c r="CC110" s="98"/>
      <c r="CD110" s="98"/>
      <c r="CE110" s="98"/>
      <c r="CF110" s="98"/>
      <c r="CG110" s="98"/>
      <c r="CH110" s="98"/>
      <c r="CI110" s="98"/>
      <c r="CJ110" s="98"/>
      <c r="CK110" s="98"/>
      <c r="CL110" s="98"/>
      <c r="CM110" s="98"/>
      <c r="CN110" s="98"/>
      <c r="CO110" s="98"/>
      <c r="CP110" s="98"/>
      <c r="CQ110" s="98"/>
      <c r="CR110" s="98"/>
      <c r="CS110" s="98"/>
      <c r="CT110" s="98"/>
      <c r="CU110" s="98"/>
      <c r="CV110" s="98"/>
      <c r="CW110" s="98"/>
      <c r="CX110" s="98"/>
      <c r="CY110" s="98"/>
    </row>
    <row r="111" spans="1:103" ht="15.75" customHeight="1" x14ac:dyDescent="0.2">
      <c r="A111" s="4" t="s">
        <v>95</v>
      </c>
      <c r="B111" s="18">
        <f>D45+D51</f>
        <v>4046996.6952487528</v>
      </c>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row>
    <row r="112" spans="1:103" ht="15.75" customHeight="1" x14ac:dyDescent="0.2">
      <c r="A112" s="4"/>
      <c r="B112" s="4">
        <f>B106/B111</f>
        <v>-75.216036317691902</v>
      </c>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row>
    <row r="113" spans="1:103" ht="15.75" customHeight="1" x14ac:dyDescent="0.2">
      <c r="A113" s="4"/>
      <c r="B113" s="29">
        <f>-H60</f>
        <v>422905004.15786749</v>
      </c>
      <c r="C113" s="29">
        <f>B113+B106</f>
        <v>118505953.75045818</v>
      </c>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row>
    <row r="114" spans="1:103"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row>
    <row r="115" spans="1:103"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row>
    <row r="116" spans="1:103"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row>
    <row r="117" spans="1:103"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row>
    <row r="118" spans="1:103"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row>
    <row r="119" spans="1:103"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row>
    <row r="120" spans="1:103"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row>
    <row r="121" spans="1:103"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row>
    <row r="122" spans="1:103"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row>
    <row r="123" spans="1:103"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row>
    <row r="124" spans="1:103"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row>
    <row r="125" spans="1:103"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row>
    <row r="126" spans="1:103"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row>
    <row r="127" spans="1:103"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row>
    <row r="128" spans="1:103"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row>
    <row r="129" spans="1:103"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row>
    <row r="130" spans="1:103"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row>
    <row r="131" spans="1:103"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row>
    <row r="132" spans="1:103"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row>
    <row r="133" spans="1:103"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row>
    <row r="134" spans="1:103"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row>
    <row r="135" spans="1:103"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row>
    <row r="136" spans="1:103"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row>
    <row r="137" spans="1:103"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row>
    <row r="138" spans="1:103"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row>
    <row r="139" spans="1:103"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row>
    <row r="140" spans="1:103"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row>
    <row r="141" spans="1:103"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row>
    <row r="142" spans="1:103"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row>
    <row r="143" spans="1:103"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row>
    <row r="144" spans="1:103"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row>
    <row r="145" spans="1:103"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row>
    <row r="146" spans="1:103"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row>
    <row r="147" spans="1:103"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row>
    <row r="148" spans="1:103"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row>
    <row r="149" spans="1:103"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row>
    <row r="150" spans="1:103"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row>
    <row r="151" spans="1:103"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row>
    <row r="152" spans="1:103"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row>
    <row r="153" spans="1:103"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row>
    <row r="154" spans="1:103"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row>
    <row r="155" spans="1:103"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row>
    <row r="156" spans="1:103"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row>
    <row r="157" spans="1:103"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row>
    <row r="158" spans="1:103"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row>
    <row r="159" spans="1:103"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row>
    <row r="160" spans="1:103"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row>
    <row r="161" spans="1:103"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row>
    <row r="162" spans="1:103"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row>
    <row r="163" spans="1:103"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row>
    <row r="164" spans="1:103"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row>
    <row r="165" spans="1:103"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row>
    <row r="166" spans="1:103"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row>
    <row r="167" spans="1:103"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row>
    <row r="168" spans="1:103"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row>
    <row r="169" spans="1:103"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row>
    <row r="170" spans="1:103"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row>
    <row r="171" spans="1:103"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row>
    <row r="172" spans="1:103"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row>
    <row r="173" spans="1:103"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row>
    <row r="174" spans="1:103"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row>
    <row r="175" spans="1:103"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row>
    <row r="176" spans="1:103"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row>
    <row r="177" spans="1:103"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row>
    <row r="178" spans="1:103"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row>
    <row r="179" spans="1:103"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row>
    <row r="180" spans="1:103"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row>
    <row r="181" spans="1:103"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row>
    <row r="182" spans="1:103"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row>
    <row r="183" spans="1:103"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row>
    <row r="184" spans="1:103"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row>
    <row r="185" spans="1:103"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row>
    <row r="186" spans="1:103"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row>
    <row r="187" spans="1:103"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row>
    <row r="188" spans="1:103"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row>
    <row r="189" spans="1:103"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row>
    <row r="190" spans="1:103"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row>
    <row r="191" spans="1:103"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row>
    <row r="192" spans="1:103"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row>
    <row r="193" spans="1:103"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row>
    <row r="194" spans="1:103"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row>
    <row r="195" spans="1:103"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row>
    <row r="196" spans="1:103"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row>
    <row r="197" spans="1:103"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row>
    <row r="198" spans="1:103"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row>
    <row r="199" spans="1:103"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row>
    <row r="200" spans="1:103"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row>
    <row r="201" spans="1:103"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row>
    <row r="202" spans="1:103"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row>
    <row r="203" spans="1:103"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row>
    <row r="204" spans="1:103"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row>
    <row r="205" spans="1:103"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row>
    <row r="206" spans="1:103"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row>
    <row r="207" spans="1:103"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row>
    <row r="208" spans="1:103"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row>
    <row r="209" spans="1:103"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row>
    <row r="210" spans="1:103"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row>
    <row r="211" spans="1:103"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row>
    <row r="212" spans="1:103"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row>
    <row r="213" spans="1:103"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row>
    <row r="214" spans="1:103"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row>
    <row r="215" spans="1:103"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row>
    <row r="216" spans="1:103"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row>
    <row r="217" spans="1:103"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row>
    <row r="218" spans="1:103"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row>
    <row r="219" spans="1:103"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row>
    <row r="220" spans="1:103"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row>
    <row r="221" spans="1:103"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row>
    <row r="222" spans="1:103"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row>
    <row r="223" spans="1:103"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row>
    <row r="224" spans="1:103"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row>
    <row r="225" spans="1:103"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row>
    <row r="226" spans="1:103"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row>
    <row r="227" spans="1:103"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row>
    <row r="228" spans="1:103"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row>
    <row r="229" spans="1:103"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row>
    <row r="230" spans="1:103"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row>
    <row r="231" spans="1:103"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row>
    <row r="232" spans="1:103"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row>
    <row r="233" spans="1:103"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row>
    <row r="234" spans="1:103"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row>
    <row r="235" spans="1:103"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row>
    <row r="236" spans="1:103" ht="15.7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row>
    <row r="237" spans="1:103" ht="15.7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row>
    <row r="238" spans="1:103" ht="15.7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row>
    <row r="239" spans="1:103" ht="15.7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row>
    <row r="240" spans="1:103" ht="15.7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row>
    <row r="241" spans="1:103" ht="15.7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row>
    <row r="242" spans="1:103" ht="15.7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row>
    <row r="243" spans="1:103" ht="15.7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row>
    <row r="244" spans="1:103" ht="15.7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row>
    <row r="245" spans="1:103" ht="15.7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row>
    <row r="246" spans="1:103" ht="15.7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row>
    <row r="247" spans="1:103" ht="15.7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row>
    <row r="248" spans="1:103" ht="15.7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row>
    <row r="249" spans="1:103" ht="15.7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row>
    <row r="250" spans="1:103" ht="15.7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row>
    <row r="251" spans="1:103" ht="15.7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row>
    <row r="252" spans="1:103" ht="15.7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row>
    <row r="253" spans="1:103" ht="15.75" customHeight="1" x14ac:dyDescent="0.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row>
    <row r="254" spans="1:103" ht="15.7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row>
    <row r="255" spans="1:103" ht="15.7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row>
    <row r="256" spans="1:103" ht="15.7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row>
    <row r="257" spans="1:103" ht="15.7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row>
    <row r="258" spans="1:103" ht="15.7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row>
    <row r="259" spans="1:103" ht="15.75" customHeight="1" x14ac:dyDescent="0.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row>
    <row r="260" spans="1:103" ht="15.7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row>
    <row r="261" spans="1:103" ht="15.7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row>
    <row r="262" spans="1:103" ht="15.7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row>
    <row r="263" spans="1:103" ht="15.7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row>
    <row r="264" spans="1:103" ht="15.75" customHeight="1"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row>
    <row r="265" spans="1:103" ht="15.7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row>
    <row r="266" spans="1:103" ht="15.7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row>
    <row r="267" spans="1:103" ht="15.7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row>
    <row r="268" spans="1:103" ht="15.7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row>
    <row r="269" spans="1:103" ht="15.75" customHeight="1" x14ac:dyDescent="0.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row>
    <row r="270" spans="1:103" ht="15.7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row>
    <row r="271" spans="1:103" ht="15.7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row>
    <row r="272" spans="1:103" ht="15.7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row>
    <row r="273" spans="1:103" ht="15.7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row>
    <row r="274" spans="1:103" ht="15.7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row>
    <row r="275" spans="1:103" ht="15.7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row>
    <row r="276" spans="1:103" ht="15.7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row>
    <row r="277" spans="1:103" ht="15.7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row>
    <row r="278" spans="1:103" ht="15.75" customHeight="1" x14ac:dyDescent="0.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row>
    <row r="279" spans="1:103" ht="15.7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row>
    <row r="280" spans="1:103" ht="15.75" customHeight="1" x14ac:dyDescent="0.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row>
    <row r="281" spans="1:103" ht="15.75" customHeight="1" x14ac:dyDescent="0.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row>
    <row r="282" spans="1:103" ht="15.7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row>
    <row r="283" spans="1:103" ht="15.75" customHeight="1" x14ac:dyDescent="0.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row>
    <row r="284" spans="1:103" ht="15.7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row>
    <row r="285" spans="1:103" ht="15.75" customHeight="1"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row>
    <row r="286" spans="1:103" ht="15.7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row>
    <row r="287" spans="1:103" ht="15.75" customHeight="1" x14ac:dyDescent="0.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row>
    <row r="288" spans="1:103" ht="15.75" customHeight="1"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row>
    <row r="289" spans="1:103" ht="15.7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row>
    <row r="290" spans="1:103" ht="15.75" customHeight="1" x14ac:dyDescent="0.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row>
    <row r="291" spans="1:103" ht="15.7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row>
    <row r="292" spans="1:103" ht="15.75" customHeight="1" x14ac:dyDescent="0.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row>
    <row r="293" spans="1:103" ht="15.75" customHeight="1" x14ac:dyDescent="0.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row>
    <row r="294" spans="1:103" ht="15.7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row>
    <row r="295" spans="1:103" ht="15.75" customHeight="1" x14ac:dyDescent="0.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row>
    <row r="296" spans="1:103" ht="15.7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row>
    <row r="297" spans="1:103" ht="15.75" customHeight="1" x14ac:dyDescent="0.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row>
    <row r="298" spans="1:103" ht="15.75" customHeight="1" x14ac:dyDescent="0.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row>
    <row r="299" spans="1:103" ht="15.7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row>
    <row r="300" spans="1:103" ht="15.75" customHeight="1"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row>
    <row r="301" spans="1:103" ht="15.7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row>
    <row r="302" spans="1:103" ht="15.7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row>
    <row r="303" spans="1:103" ht="15.75" customHeight="1" x14ac:dyDescent="0.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row>
    <row r="304" spans="1:103" ht="15.7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row>
    <row r="305" spans="1:103" ht="15.7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row>
    <row r="306" spans="1:103" ht="15.75" customHeight="1" x14ac:dyDescent="0.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row>
    <row r="307" spans="1:103" ht="15.7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row>
    <row r="308" spans="1:103" ht="15.75" customHeight="1" x14ac:dyDescent="0.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row>
    <row r="309" spans="1:103" ht="15.7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row>
    <row r="310" spans="1:103" ht="15.7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row>
    <row r="311" spans="1:103" ht="15.75" customHeight="1"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row>
    <row r="312" spans="1:103" ht="15.7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row>
    <row r="313" spans="1:103" ht="15.75" customHeight="1"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row>
  </sheetData>
  <mergeCells count="13">
    <mergeCell ref="A95:A98"/>
    <mergeCell ref="A41:B41"/>
    <mergeCell ref="J41:N41"/>
    <mergeCell ref="A42:A44"/>
    <mergeCell ref="B44:C44"/>
    <mergeCell ref="A45:A60"/>
    <mergeCell ref="B45:B50"/>
    <mergeCell ref="B56:B59"/>
    <mergeCell ref="B51:B54"/>
    <mergeCell ref="B60:C60"/>
    <mergeCell ref="A61:C61"/>
    <mergeCell ref="A68:D68"/>
    <mergeCell ref="A69:D69"/>
  </mergeCells>
  <pageMargins left="0.7" right="0.7" top="0.75" bottom="0.75" header="0" footer="0"/>
  <pageSetup orientation="landscape"/>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Z969"/>
  <sheetViews>
    <sheetView workbookViewId="0"/>
  </sheetViews>
  <sheetFormatPr defaultColWidth="12.7109375" defaultRowHeight="15" customHeight="1" x14ac:dyDescent="0.2"/>
  <cols>
    <col min="1" max="1" width="26.85546875" customWidth="1"/>
    <col min="2" max="2" width="17.7109375" customWidth="1"/>
    <col min="3" max="7" width="8.7109375" customWidth="1"/>
    <col min="8" max="8" width="20.28515625" customWidth="1"/>
    <col min="9" max="11" width="8.7109375" customWidth="1"/>
    <col min="12" max="12" width="22.7109375" customWidth="1"/>
    <col min="13" max="14" width="8.7109375" customWidth="1"/>
    <col min="15" max="15" width="18.42578125" customWidth="1"/>
    <col min="16" max="26" width="8.7109375" customWidth="1"/>
  </cols>
  <sheetData>
    <row r="1" spans="1:26" ht="13.5" customHeight="1" x14ac:dyDescent="0.25">
      <c r="A1" s="106"/>
      <c r="B1" s="106"/>
      <c r="C1" s="106"/>
      <c r="D1" s="106"/>
      <c r="E1" s="106"/>
      <c r="F1" s="107" t="s">
        <v>96</v>
      </c>
      <c r="G1" s="106"/>
      <c r="H1" s="106"/>
      <c r="I1" s="106"/>
      <c r="J1" s="107" t="s">
        <v>96</v>
      </c>
      <c r="K1" s="106"/>
      <c r="L1" s="106"/>
      <c r="M1" s="106"/>
      <c r="N1" s="106"/>
      <c r="O1" s="106"/>
      <c r="P1" s="106"/>
      <c r="Q1" s="106"/>
      <c r="R1" s="106"/>
      <c r="S1" s="106"/>
      <c r="T1" s="106"/>
      <c r="U1" s="106"/>
      <c r="V1" s="106"/>
      <c r="W1" s="106"/>
      <c r="X1" s="106"/>
      <c r="Y1" s="106"/>
      <c r="Z1" s="106"/>
    </row>
    <row r="2" spans="1:26" ht="13.5" customHeight="1" x14ac:dyDescent="0.25">
      <c r="A2" s="106"/>
      <c r="B2" s="106"/>
      <c r="C2" s="106"/>
      <c r="D2" s="106"/>
      <c r="E2" s="106"/>
      <c r="F2" s="107" t="s">
        <v>1</v>
      </c>
      <c r="G2" s="106"/>
      <c r="H2" s="106"/>
      <c r="I2" s="106"/>
      <c r="J2" s="107" t="s">
        <v>1</v>
      </c>
      <c r="K2" s="106"/>
      <c r="L2" s="106"/>
      <c r="M2" s="106"/>
      <c r="N2" s="106"/>
      <c r="O2" s="106"/>
      <c r="P2" s="106"/>
      <c r="Q2" s="106"/>
      <c r="R2" s="106"/>
      <c r="S2" s="106"/>
      <c r="T2" s="106"/>
      <c r="U2" s="106"/>
      <c r="V2" s="106"/>
      <c r="W2" s="106"/>
      <c r="X2" s="106"/>
      <c r="Y2" s="106"/>
      <c r="Z2" s="106"/>
    </row>
    <row r="3" spans="1:26" ht="13.5" customHeight="1" x14ac:dyDescent="0.2">
      <c r="A3" s="106" t="s">
        <v>97</v>
      </c>
      <c r="B3" s="108"/>
      <c r="C3" s="108"/>
      <c r="D3" s="108"/>
      <c r="E3" s="108"/>
      <c r="F3" s="109"/>
      <c r="G3" s="110"/>
      <c r="H3" s="111">
        <f>$B$16</f>
        <v>-349209860.35524708</v>
      </c>
      <c r="I3" s="108"/>
      <c r="J3" s="109"/>
      <c r="K3" s="110"/>
      <c r="L3" s="112">
        <f>$B$17</f>
        <v>-445282823.48867738</v>
      </c>
      <c r="M3" s="106"/>
      <c r="N3" s="106"/>
      <c r="O3" s="106"/>
      <c r="P3" s="108"/>
      <c r="Q3" s="106"/>
      <c r="R3" s="106"/>
      <c r="S3" s="106"/>
      <c r="T3" s="106"/>
      <c r="U3" s="106"/>
      <c r="V3" s="106"/>
      <c r="W3" s="106"/>
      <c r="X3" s="106"/>
      <c r="Y3" s="106"/>
      <c r="Z3" s="106"/>
    </row>
    <row r="4" spans="1:26" ht="13.5" customHeight="1" x14ac:dyDescent="0.2">
      <c r="A4" s="106" t="s">
        <v>98</v>
      </c>
      <c r="B4" s="106"/>
      <c r="C4" s="106"/>
      <c r="D4" s="106"/>
      <c r="E4" s="106"/>
      <c r="F4" s="747" t="s">
        <v>1</v>
      </c>
      <c r="G4" s="113">
        <v>0.01</v>
      </c>
      <c r="H4" s="114">
        <v>-869371944.74624562</v>
      </c>
      <c r="I4" s="106"/>
      <c r="J4" s="747" t="s">
        <v>1</v>
      </c>
      <c r="K4" s="113">
        <v>0.01</v>
      </c>
      <c r="L4" s="114">
        <v>-1751419662.3344281</v>
      </c>
      <c r="M4" s="106"/>
      <c r="N4" s="106"/>
      <c r="O4" s="106"/>
      <c r="P4" s="106"/>
      <c r="Q4" s="106"/>
      <c r="R4" s="106"/>
      <c r="S4" s="106"/>
      <c r="T4" s="106"/>
      <c r="U4" s="106"/>
      <c r="V4" s="106"/>
      <c r="W4" s="106"/>
      <c r="X4" s="106"/>
      <c r="Y4" s="106"/>
      <c r="Z4" s="106"/>
    </row>
    <row r="5" spans="1:26" ht="13.5" customHeight="1" x14ac:dyDescent="0.2">
      <c r="A5" s="115" t="str">
        <f>'Summary of CBA'!A2</f>
        <v>Discount Rate</v>
      </c>
      <c r="B5" s="116">
        <v>0.04</v>
      </c>
      <c r="C5" s="108"/>
      <c r="D5" s="106"/>
      <c r="E5" s="106"/>
      <c r="F5" s="735"/>
      <c r="G5" s="113">
        <v>0.02</v>
      </c>
      <c r="H5" s="114">
        <v>-604410053.66466975</v>
      </c>
      <c r="I5" s="106"/>
      <c r="J5" s="735"/>
      <c r="K5" s="113">
        <v>0.02</v>
      </c>
      <c r="L5" s="114">
        <v>-1021585066.1557633</v>
      </c>
      <c r="M5" s="106"/>
      <c r="N5" s="106"/>
      <c r="O5" s="106"/>
      <c r="P5" s="106"/>
      <c r="Q5" s="106"/>
      <c r="R5" s="106"/>
      <c r="S5" s="106"/>
      <c r="T5" s="106"/>
      <c r="U5" s="106"/>
      <c r="V5" s="106"/>
      <c r="W5" s="106"/>
      <c r="X5" s="106"/>
      <c r="Y5" s="106"/>
      <c r="Z5" s="106"/>
    </row>
    <row r="6" spans="1:26" ht="13.5" customHeight="1" x14ac:dyDescent="0.2">
      <c r="A6" s="115" t="str">
        <f>'Summary of CBA'!A3</f>
        <v>Number of Street Cuts (% of Total Number of Utility Street Cut Permits on the Case Study Street</v>
      </c>
      <c r="B6" s="116">
        <v>0.33</v>
      </c>
      <c r="C6" s="108"/>
      <c r="D6" s="106"/>
      <c r="E6" s="106"/>
      <c r="F6" s="735"/>
      <c r="G6" s="113">
        <v>0.03</v>
      </c>
      <c r="H6" s="114">
        <v>-455674102.30966365</v>
      </c>
      <c r="I6" s="106"/>
      <c r="J6" s="735"/>
      <c r="K6" s="113">
        <v>0.03</v>
      </c>
      <c r="L6" s="114">
        <v>-648426808.4685328</v>
      </c>
      <c r="M6" s="106"/>
      <c r="N6" s="106"/>
      <c r="O6" s="106"/>
      <c r="P6" s="106"/>
      <c r="Q6" s="106"/>
      <c r="R6" s="106"/>
      <c r="S6" s="106"/>
      <c r="T6" s="106"/>
      <c r="U6" s="106"/>
      <c r="V6" s="106"/>
      <c r="W6" s="106"/>
      <c r="X6" s="106"/>
      <c r="Y6" s="106"/>
      <c r="Z6" s="106"/>
    </row>
    <row r="7" spans="1:26" ht="13.5" customHeight="1" x14ac:dyDescent="0.2">
      <c r="A7" s="115" t="str">
        <f>'Summary of CBA'!A4</f>
        <v>Cost of construction (% of current estimation)</v>
      </c>
      <c r="B7" s="116">
        <v>1</v>
      </c>
      <c r="C7" s="108"/>
      <c r="D7" s="106"/>
      <c r="E7" s="106"/>
      <c r="F7" s="735"/>
      <c r="G7" s="117">
        <v>0.04</v>
      </c>
      <c r="H7" s="118">
        <v>-365952412.1448645</v>
      </c>
      <c r="I7" s="106"/>
      <c r="J7" s="735"/>
      <c r="K7" s="117">
        <v>0.04</v>
      </c>
      <c r="L7" s="118">
        <v>-445432932.14793164</v>
      </c>
      <c r="M7" s="106"/>
      <c r="N7" s="106"/>
      <c r="O7" s="106"/>
      <c r="P7" s="106"/>
      <c r="Q7" s="106"/>
      <c r="R7" s="106"/>
      <c r="S7" s="106"/>
      <c r="T7" s="106"/>
      <c r="U7" s="106"/>
      <c r="V7" s="106"/>
      <c r="W7" s="106"/>
      <c r="X7" s="106"/>
      <c r="Y7" s="106"/>
      <c r="Z7" s="106"/>
    </row>
    <row r="8" spans="1:26" ht="13.5" customHeight="1" x14ac:dyDescent="0.2">
      <c r="A8" s="115" t="str">
        <f>'Summary of CBA'!A5</f>
        <v>Maintenance cost for Utilidor (% of Utilidor construction estimation)</v>
      </c>
      <c r="B8" s="116">
        <v>0.2</v>
      </c>
      <c r="C8" s="106"/>
      <c r="D8" s="106"/>
      <c r="E8" s="106"/>
      <c r="F8" s="735"/>
      <c r="G8" s="113">
        <v>0.05</v>
      </c>
      <c r="H8" s="114">
        <v>-308054158.53602338</v>
      </c>
      <c r="I8" s="106"/>
      <c r="J8" s="735"/>
      <c r="K8" s="113">
        <v>0.05</v>
      </c>
      <c r="L8" s="114">
        <v>-327641083.96717864</v>
      </c>
      <c r="M8" s="106"/>
      <c r="N8" s="106"/>
      <c r="O8" s="106"/>
      <c r="P8" s="106"/>
      <c r="Q8" s="106"/>
      <c r="R8" s="106"/>
      <c r="S8" s="106"/>
      <c r="T8" s="106"/>
      <c r="U8" s="106"/>
      <c r="V8" s="106"/>
      <c r="W8" s="106"/>
      <c r="X8" s="106"/>
      <c r="Y8" s="106"/>
      <c r="Z8" s="106"/>
    </row>
    <row r="9" spans="1:26" ht="13.5" customHeight="1" x14ac:dyDescent="0.2">
      <c r="A9" s="115" t="str">
        <f>'Summary of CBA'!A6</f>
        <v>Inflation Rate</v>
      </c>
      <c r="B9" s="116">
        <v>0.02</v>
      </c>
      <c r="C9" s="106"/>
      <c r="D9" s="106"/>
      <c r="E9" s="106"/>
      <c r="F9" s="735"/>
      <c r="G9" s="113">
        <v>0.06</v>
      </c>
      <c r="H9" s="114">
        <v>-268393252.13444671</v>
      </c>
      <c r="I9" s="106"/>
      <c r="J9" s="735"/>
      <c r="K9" s="113">
        <v>0.06</v>
      </c>
      <c r="L9" s="114">
        <v>-254790803.42600095</v>
      </c>
      <c r="M9" s="106"/>
      <c r="N9" s="106"/>
      <c r="O9" s="106"/>
      <c r="P9" s="106"/>
      <c r="Q9" s="106"/>
      <c r="R9" s="106"/>
      <c r="S9" s="106"/>
      <c r="T9" s="106"/>
      <c r="U9" s="106"/>
      <c r="V9" s="106"/>
      <c r="W9" s="106"/>
      <c r="X9" s="106"/>
      <c r="Y9" s="106"/>
      <c r="Z9" s="106"/>
    </row>
    <row r="10" spans="1:26" ht="13.5" customHeight="1" x14ac:dyDescent="0.2">
      <c r="A10" s="119" t="str">
        <f>'Summary of CBA'!A7</f>
        <v>Fees / Savings</v>
      </c>
      <c r="B10" s="120">
        <v>0.8</v>
      </c>
      <c r="C10" s="106"/>
      <c r="D10" s="106"/>
      <c r="E10" s="106"/>
      <c r="F10" s="735"/>
      <c r="G10" s="113">
        <v>7.0000000000000007E-2</v>
      </c>
      <c r="H10" s="114">
        <v>-239812632.29964575</v>
      </c>
      <c r="I10" s="106"/>
      <c r="J10" s="735"/>
      <c r="K10" s="113">
        <v>7.0000000000000007E-2</v>
      </c>
      <c r="L10" s="114">
        <v>-206967383.41803598</v>
      </c>
      <c r="M10" s="106"/>
      <c r="N10" s="106"/>
      <c r="O10" s="106"/>
      <c r="P10" s="106"/>
      <c r="Q10" s="106"/>
      <c r="R10" s="106"/>
      <c r="S10" s="106"/>
      <c r="T10" s="106"/>
      <c r="U10" s="106"/>
      <c r="V10" s="106"/>
      <c r="W10" s="106"/>
      <c r="X10" s="106"/>
      <c r="Y10" s="106"/>
      <c r="Z10" s="106"/>
    </row>
    <row r="11" spans="1:26" ht="13.5" customHeight="1" x14ac:dyDescent="0.2">
      <c r="A11" s="115" t="str">
        <f>'Summary of CBA'!A8</f>
        <v>Trenching cost per foot</v>
      </c>
      <c r="B11" s="121">
        <v>800</v>
      </c>
      <c r="C11" s="106"/>
      <c r="D11" s="106"/>
      <c r="E11" s="106"/>
      <c r="F11" s="735"/>
      <c r="G11" s="113">
        <v>0.08</v>
      </c>
      <c r="H11" s="114">
        <v>-218334198.73214772</v>
      </c>
      <c r="I11" s="106"/>
      <c r="J11" s="735"/>
      <c r="K11" s="113">
        <v>0.08</v>
      </c>
      <c r="L11" s="114">
        <v>-173858864.9319284</v>
      </c>
      <c r="M11" s="106"/>
      <c r="N11" s="106"/>
      <c r="O11" s="106"/>
      <c r="P11" s="106"/>
      <c r="Q11" s="106"/>
      <c r="R11" s="106"/>
      <c r="S11" s="106"/>
      <c r="T11" s="106"/>
      <c r="U11" s="106"/>
      <c r="V11" s="106"/>
      <c r="W11" s="106"/>
      <c r="X11" s="106"/>
      <c r="Y11" s="106"/>
      <c r="Z11" s="106"/>
    </row>
    <row r="12" spans="1:26" ht="13.5" customHeight="1" x14ac:dyDescent="0.2">
      <c r="A12" s="119" t="str">
        <f>'Summary of CBA'!A9</f>
        <v>Bond Term</v>
      </c>
      <c r="B12" s="122">
        <v>25</v>
      </c>
      <c r="C12" s="106"/>
      <c r="D12" s="106"/>
      <c r="E12" s="106"/>
      <c r="F12" s="735"/>
      <c r="G12" s="113">
        <v>0.09</v>
      </c>
      <c r="H12" s="114">
        <v>-201628438.67372662</v>
      </c>
      <c r="I12" s="106"/>
      <c r="J12" s="735"/>
      <c r="K12" s="113">
        <v>0.09</v>
      </c>
      <c r="L12" s="114">
        <v>-149866025.08866495</v>
      </c>
      <c r="M12" s="106"/>
      <c r="N12" s="106"/>
      <c r="O12" s="106"/>
      <c r="P12" s="106"/>
      <c r="Q12" s="106"/>
      <c r="R12" s="106"/>
      <c r="S12" s="106"/>
      <c r="T12" s="106"/>
      <c r="U12" s="106"/>
      <c r="V12" s="106"/>
      <c r="W12" s="106"/>
      <c r="X12" s="106"/>
      <c r="Y12" s="106"/>
      <c r="Z12" s="106"/>
    </row>
    <row r="13" spans="1:26" ht="13.5" customHeight="1" x14ac:dyDescent="0.2">
      <c r="A13" s="119" t="str">
        <f>'Summary of CBA'!A10</f>
        <v>2nd Bond Term</v>
      </c>
      <c r="B13" s="122">
        <v>20</v>
      </c>
      <c r="C13" s="106"/>
      <c r="D13" s="106"/>
      <c r="E13" s="106"/>
      <c r="F13" s="740"/>
      <c r="G13" s="113">
        <v>0.1</v>
      </c>
      <c r="H13" s="114">
        <v>-188263137.69782758</v>
      </c>
      <c r="I13" s="106"/>
      <c r="J13" s="740"/>
      <c r="K13" s="113">
        <v>0.1</v>
      </c>
      <c r="L13" s="114">
        <v>-131799875.13074481</v>
      </c>
      <c r="M13" s="106"/>
      <c r="N13" s="106"/>
      <c r="O13" s="106"/>
      <c r="P13" s="106"/>
      <c r="Q13" s="106"/>
      <c r="R13" s="106"/>
      <c r="S13" s="106"/>
      <c r="T13" s="106"/>
      <c r="U13" s="106"/>
      <c r="V13" s="106"/>
      <c r="W13" s="106"/>
      <c r="X13" s="106"/>
      <c r="Y13" s="106"/>
      <c r="Z13" s="106"/>
    </row>
    <row r="14" spans="1:26" ht="13.5" customHeight="1" x14ac:dyDescent="0.2">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106"/>
    </row>
    <row r="15" spans="1:26" ht="13.5" customHeight="1" x14ac:dyDescent="0.2">
      <c r="A15" s="106" t="s">
        <v>99</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row>
    <row r="16" spans="1:26" ht="13.5" customHeight="1" x14ac:dyDescent="0.2">
      <c r="A16" s="123" t="str">
        <f>'Summary of CBA'!A33</f>
        <v>NPV of model</v>
      </c>
      <c r="B16" s="124">
        <f>'Summary of CBA'!B33</f>
        <v>-349209860.35524708</v>
      </c>
      <c r="C16" s="106"/>
      <c r="D16" s="106"/>
      <c r="E16" s="106"/>
      <c r="F16" s="106"/>
      <c r="G16" s="106"/>
      <c r="H16" s="106"/>
      <c r="I16" s="106"/>
      <c r="J16" s="106"/>
      <c r="K16" s="106"/>
      <c r="L16" s="106"/>
      <c r="M16" s="106"/>
      <c r="N16" s="106"/>
      <c r="O16" s="106"/>
      <c r="P16" s="106"/>
      <c r="Q16" s="106"/>
      <c r="R16" s="106"/>
      <c r="S16" s="106"/>
      <c r="T16" s="106"/>
      <c r="U16" s="106"/>
      <c r="V16" s="106"/>
      <c r="W16" s="106"/>
      <c r="X16" s="106"/>
      <c r="Y16" s="106"/>
      <c r="Z16" s="106"/>
    </row>
    <row r="17" spans="1:26" ht="13.5" customHeight="1" x14ac:dyDescent="0.2">
      <c r="A17" s="123" t="str">
        <f>'Summary of CBA'!A19</f>
        <v>NPV of counterfactual</v>
      </c>
      <c r="B17" s="124">
        <f>'Summary of CBA'!B19</f>
        <v>-445282823.48867738</v>
      </c>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row>
    <row r="18" spans="1:26" ht="13.5" customHeight="1" x14ac:dyDescent="0.2">
      <c r="A18" s="106"/>
      <c r="B18" s="106"/>
      <c r="C18" s="106"/>
      <c r="D18" s="106"/>
      <c r="E18" s="106"/>
      <c r="F18" s="106"/>
      <c r="G18" s="106"/>
      <c r="H18" s="106"/>
      <c r="I18" s="106"/>
      <c r="J18" s="106"/>
      <c r="K18" s="106"/>
      <c r="L18" s="106"/>
      <c r="M18" s="106"/>
      <c r="N18" s="106"/>
      <c r="O18" s="106"/>
      <c r="P18" s="106"/>
      <c r="Q18" s="106"/>
      <c r="R18" s="106"/>
      <c r="S18" s="106"/>
      <c r="T18" s="106"/>
      <c r="U18" s="106"/>
      <c r="V18" s="106"/>
      <c r="W18" s="106"/>
      <c r="X18" s="106"/>
      <c r="Y18" s="106"/>
      <c r="Z18" s="106"/>
    </row>
    <row r="19" spans="1:26" ht="13.5" customHeight="1" x14ac:dyDescent="0.25">
      <c r="A19" s="106" t="s">
        <v>100</v>
      </c>
      <c r="B19" s="106"/>
      <c r="C19" s="106"/>
      <c r="D19" s="106"/>
      <c r="E19" s="106"/>
      <c r="F19" s="107" t="s">
        <v>101</v>
      </c>
      <c r="G19" s="106"/>
      <c r="H19" s="106"/>
      <c r="I19" s="106"/>
      <c r="J19" s="107" t="s">
        <v>101</v>
      </c>
      <c r="K19" s="106"/>
      <c r="L19" s="106"/>
      <c r="M19" s="106"/>
      <c r="N19" s="106"/>
      <c r="O19" s="106"/>
      <c r="P19" s="106"/>
      <c r="Q19" s="106"/>
      <c r="R19" s="106"/>
      <c r="S19" s="106"/>
      <c r="T19" s="106"/>
      <c r="U19" s="106"/>
      <c r="V19" s="106"/>
      <c r="W19" s="106"/>
      <c r="X19" s="106"/>
      <c r="Y19" s="106"/>
      <c r="Z19" s="106"/>
    </row>
    <row r="20" spans="1:26" ht="13.5" customHeight="1" x14ac:dyDescent="0.2">
      <c r="A20" s="106"/>
      <c r="B20" s="106"/>
      <c r="C20" s="106"/>
      <c r="D20" s="106"/>
      <c r="E20" s="106"/>
      <c r="F20" s="125"/>
      <c r="G20" s="126"/>
      <c r="H20" s="127">
        <f>$B$16</f>
        <v>-349209860.35524708</v>
      </c>
      <c r="I20" s="106"/>
      <c r="J20" s="125"/>
      <c r="K20" s="126"/>
      <c r="L20" s="112">
        <f>$B$17</f>
        <v>-445282823.48867738</v>
      </c>
      <c r="M20" s="106"/>
      <c r="N20" s="106"/>
      <c r="O20" s="106"/>
      <c r="P20" s="106"/>
      <c r="Q20" s="106"/>
      <c r="R20" s="106"/>
      <c r="S20" s="106"/>
      <c r="T20" s="106"/>
      <c r="U20" s="106"/>
      <c r="V20" s="106"/>
      <c r="W20" s="106"/>
      <c r="X20" s="106"/>
      <c r="Y20" s="106"/>
      <c r="Z20" s="106"/>
    </row>
    <row r="21" spans="1:26" ht="13.5" customHeight="1" x14ac:dyDescent="0.2">
      <c r="A21" s="106"/>
      <c r="B21" s="106"/>
      <c r="C21" s="106"/>
      <c r="D21" s="106"/>
      <c r="E21" s="106"/>
      <c r="F21" s="747" t="s">
        <v>101</v>
      </c>
      <c r="G21" s="128">
        <v>0.2</v>
      </c>
      <c r="H21" s="124">
        <v>-342978536.62752408</v>
      </c>
      <c r="I21" s="106"/>
      <c r="J21" s="747" t="s">
        <v>101</v>
      </c>
      <c r="K21" s="128">
        <v>0.2</v>
      </c>
      <c r="L21" s="124">
        <v>-272056913.55987471</v>
      </c>
      <c r="M21" s="106"/>
      <c r="N21" s="106"/>
      <c r="O21" s="106"/>
      <c r="P21" s="106"/>
      <c r="Q21" s="106"/>
      <c r="R21" s="106"/>
      <c r="S21" s="106"/>
      <c r="T21" s="106"/>
      <c r="U21" s="106"/>
      <c r="V21" s="106"/>
      <c r="W21" s="106"/>
      <c r="X21" s="106"/>
      <c r="Y21" s="106"/>
      <c r="Z21" s="106"/>
    </row>
    <row r="22" spans="1:26" ht="13.5" customHeight="1" x14ac:dyDescent="0.2">
      <c r="A22" s="106"/>
      <c r="B22" s="106"/>
      <c r="C22" s="106"/>
      <c r="D22" s="106"/>
      <c r="E22" s="106"/>
      <c r="F22" s="735"/>
      <c r="G22" s="128">
        <v>0.21</v>
      </c>
      <c r="H22" s="124">
        <v>-343517350.45378017</v>
      </c>
      <c r="I22" s="106"/>
      <c r="J22" s="735"/>
      <c r="K22" s="128">
        <v>0.21</v>
      </c>
      <c r="L22" s="124">
        <v>-285381983.5543983</v>
      </c>
      <c r="M22" s="106"/>
      <c r="N22" s="106"/>
      <c r="O22" s="106"/>
      <c r="P22" s="106"/>
      <c r="Q22" s="106"/>
      <c r="R22" s="106"/>
      <c r="S22" s="106"/>
      <c r="T22" s="106"/>
      <c r="U22" s="106"/>
      <c r="V22" s="106"/>
      <c r="W22" s="106"/>
      <c r="X22" s="106"/>
      <c r="Y22" s="106"/>
      <c r="Z22" s="106"/>
    </row>
    <row r="23" spans="1:26" ht="13.5" customHeight="1" x14ac:dyDescent="0.2">
      <c r="A23" s="106"/>
      <c r="B23" s="106"/>
      <c r="C23" s="106"/>
      <c r="D23" s="106"/>
      <c r="E23" s="106"/>
      <c r="F23" s="735"/>
      <c r="G23" s="128">
        <v>0.22</v>
      </c>
      <c r="H23" s="124">
        <v>-344056164.28003627</v>
      </c>
      <c r="I23" s="106"/>
      <c r="J23" s="735"/>
      <c r="K23" s="128">
        <v>0.22</v>
      </c>
      <c r="L23" s="124">
        <v>-298707053.54892141</v>
      </c>
      <c r="M23" s="106"/>
      <c r="N23" s="106"/>
      <c r="O23" s="106"/>
      <c r="P23" s="106"/>
      <c r="Q23" s="106"/>
      <c r="R23" s="106"/>
      <c r="S23" s="106"/>
      <c r="T23" s="106"/>
      <c r="U23" s="106"/>
      <c r="V23" s="106"/>
      <c r="W23" s="106"/>
      <c r="X23" s="106"/>
      <c r="Y23" s="106"/>
      <c r="Z23" s="106"/>
    </row>
    <row r="24" spans="1:26" ht="13.5" customHeight="1" x14ac:dyDescent="0.2">
      <c r="A24" s="106"/>
      <c r="B24" s="106"/>
      <c r="C24" s="106"/>
      <c r="D24" s="106"/>
      <c r="E24" s="106"/>
      <c r="F24" s="735"/>
      <c r="G24" s="128">
        <v>0.23</v>
      </c>
      <c r="H24" s="124">
        <v>-344594978.10629237</v>
      </c>
      <c r="I24" s="106"/>
      <c r="J24" s="735"/>
      <c r="K24" s="128">
        <v>0.23</v>
      </c>
      <c r="L24" s="124">
        <v>-312032123.54344451</v>
      </c>
      <c r="M24" s="106"/>
      <c r="N24" s="106"/>
      <c r="O24" s="106"/>
      <c r="P24" s="106"/>
      <c r="Q24" s="106"/>
      <c r="R24" s="106"/>
      <c r="S24" s="106"/>
      <c r="T24" s="106"/>
      <c r="U24" s="106"/>
      <c r="V24" s="106"/>
      <c r="W24" s="106"/>
      <c r="X24" s="106"/>
      <c r="Y24" s="106"/>
      <c r="Z24" s="106"/>
    </row>
    <row r="25" spans="1:26" ht="13.5" customHeight="1" x14ac:dyDescent="0.2">
      <c r="A25" s="106"/>
      <c r="B25" s="106"/>
      <c r="C25" s="106"/>
      <c r="D25" s="106"/>
      <c r="E25" s="106"/>
      <c r="F25" s="735"/>
      <c r="G25" s="128">
        <v>0.24</v>
      </c>
      <c r="H25" s="124">
        <v>-345133791.93254852</v>
      </c>
      <c r="I25" s="106"/>
      <c r="J25" s="735"/>
      <c r="K25" s="128">
        <v>0.24</v>
      </c>
      <c r="L25" s="124">
        <v>-325357193.53796798</v>
      </c>
      <c r="M25" s="106"/>
      <c r="N25" s="106"/>
      <c r="O25" s="106"/>
      <c r="P25" s="106"/>
      <c r="Q25" s="106"/>
      <c r="R25" s="106"/>
      <c r="S25" s="106"/>
      <c r="T25" s="106"/>
      <c r="U25" s="106"/>
      <c r="V25" s="106"/>
      <c r="W25" s="106"/>
      <c r="X25" s="106"/>
      <c r="Y25" s="106"/>
      <c r="Z25" s="106"/>
    </row>
    <row r="26" spans="1:26" ht="13.5" customHeight="1" x14ac:dyDescent="0.2">
      <c r="A26" s="106"/>
      <c r="B26" s="106"/>
      <c r="C26" s="106"/>
      <c r="D26" s="106"/>
      <c r="E26" s="106"/>
      <c r="F26" s="735"/>
      <c r="G26" s="128">
        <v>0.25</v>
      </c>
      <c r="H26" s="124">
        <v>-345672605.75880462</v>
      </c>
      <c r="I26" s="106"/>
      <c r="J26" s="735"/>
      <c r="K26" s="128">
        <v>0.25</v>
      </c>
      <c r="L26" s="124">
        <v>-338682263.53249121</v>
      </c>
      <c r="M26" s="106"/>
      <c r="N26" s="106"/>
      <c r="O26" s="106"/>
      <c r="P26" s="106"/>
      <c r="Q26" s="106"/>
      <c r="R26" s="106"/>
      <c r="S26" s="106"/>
      <c r="T26" s="106"/>
      <c r="U26" s="106"/>
      <c r="V26" s="106"/>
      <c r="W26" s="106"/>
      <c r="X26" s="106"/>
      <c r="Y26" s="106"/>
      <c r="Z26" s="106"/>
    </row>
    <row r="27" spans="1:26" ht="13.5" customHeight="1" x14ac:dyDescent="0.2">
      <c r="A27" s="106"/>
      <c r="B27" s="106"/>
      <c r="C27" s="106"/>
      <c r="D27" s="106"/>
      <c r="E27" s="106"/>
      <c r="F27" s="735"/>
      <c r="G27" s="128">
        <v>0.26</v>
      </c>
      <c r="H27" s="124">
        <v>-346211419.58506072</v>
      </c>
      <c r="I27" s="106"/>
      <c r="J27" s="735"/>
      <c r="K27" s="128">
        <v>0.26</v>
      </c>
      <c r="L27" s="124">
        <v>-352007333.52701443</v>
      </c>
      <c r="M27" s="106"/>
      <c r="N27" s="106"/>
      <c r="O27" s="106"/>
      <c r="P27" s="106"/>
      <c r="Q27" s="106"/>
      <c r="R27" s="106"/>
      <c r="S27" s="106"/>
      <c r="T27" s="106"/>
      <c r="U27" s="106"/>
      <c r="V27" s="106"/>
      <c r="W27" s="106"/>
      <c r="X27" s="106"/>
      <c r="Y27" s="106"/>
      <c r="Z27" s="106"/>
    </row>
    <row r="28" spans="1:26" ht="13.5" customHeight="1" x14ac:dyDescent="0.2">
      <c r="A28" s="106"/>
      <c r="B28" s="106"/>
      <c r="C28" s="106"/>
      <c r="D28" s="106"/>
      <c r="E28" s="106"/>
      <c r="F28" s="735"/>
      <c r="G28" s="128">
        <v>0.27</v>
      </c>
      <c r="H28" s="124">
        <v>-346750233.41131687</v>
      </c>
      <c r="I28" s="106"/>
      <c r="J28" s="735"/>
      <c r="K28" s="128">
        <v>0.27</v>
      </c>
      <c r="L28" s="124">
        <v>-365332403.52153772</v>
      </c>
      <c r="M28" s="106"/>
      <c r="N28" s="106"/>
      <c r="O28" s="106"/>
      <c r="P28" s="106"/>
      <c r="Q28" s="106"/>
      <c r="R28" s="106"/>
      <c r="S28" s="106"/>
      <c r="T28" s="106"/>
      <c r="U28" s="106"/>
      <c r="V28" s="106"/>
      <c r="W28" s="106"/>
      <c r="X28" s="106"/>
      <c r="Y28" s="106"/>
      <c r="Z28" s="106"/>
    </row>
    <row r="29" spans="1:26" ht="13.5" customHeight="1" x14ac:dyDescent="0.2">
      <c r="A29" s="106"/>
      <c r="B29" s="106"/>
      <c r="C29" s="106"/>
      <c r="D29" s="106"/>
      <c r="E29" s="106"/>
      <c r="F29" s="735"/>
      <c r="G29" s="128">
        <v>0.28000000000000003</v>
      </c>
      <c r="H29" s="124">
        <v>-347289047.23757297</v>
      </c>
      <c r="I29" s="106"/>
      <c r="J29" s="735"/>
      <c r="K29" s="128">
        <v>0.28000000000000003</v>
      </c>
      <c r="L29" s="124">
        <v>-378657473.51606089</v>
      </c>
      <c r="M29" s="106"/>
      <c r="N29" s="106"/>
      <c r="O29" s="106"/>
      <c r="P29" s="106"/>
      <c r="Q29" s="106"/>
      <c r="R29" s="106"/>
      <c r="S29" s="106"/>
      <c r="T29" s="106"/>
      <c r="U29" s="106"/>
      <c r="V29" s="106"/>
      <c r="W29" s="106"/>
      <c r="X29" s="106"/>
      <c r="Y29" s="106"/>
      <c r="Z29" s="106"/>
    </row>
    <row r="30" spans="1:26" ht="13.5" customHeight="1" x14ac:dyDescent="0.2">
      <c r="A30" s="106"/>
      <c r="B30" s="106"/>
      <c r="C30" s="106"/>
      <c r="D30" s="106"/>
      <c r="E30" s="106"/>
      <c r="F30" s="735"/>
      <c r="G30" s="128">
        <v>0.28999999999999998</v>
      </c>
      <c r="H30" s="124">
        <v>-347827861.06382906</v>
      </c>
      <c r="I30" s="106"/>
      <c r="J30" s="735"/>
      <c r="K30" s="128">
        <v>0.28999999999999998</v>
      </c>
      <c r="L30" s="124">
        <v>-391982543.51058429</v>
      </c>
      <c r="M30" s="106"/>
      <c r="N30" s="106"/>
      <c r="O30" s="106"/>
      <c r="P30" s="106"/>
      <c r="Q30" s="106"/>
      <c r="R30" s="106"/>
      <c r="S30" s="106"/>
      <c r="T30" s="106"/>
      <c r="U30" s="106"/>
      <c r="V30" s="106"/>
      <c r="W30" s="106"/>
      <c r="X30" s="106"/>
      <c r="Y30" s="106"/>
      <c r="Z30" s="106"/>
    </row>
    <row r="31" spans="1:26" ht="13.5" customHeight="1" x14ac:dyDescent="0.2">
      <c r="A31" s="106"/>
      <c r="B31" s="106"/>
      <c r="C31" s="106"/>
      <c r="D31" s="106"/>
      <c r="E31" s="106"/>
      <c r="F31" s="735"/>
      <c r="G31" s="128">
        <v>0.3</v>
      </c>
      <c r="H31" s="124">
        <v>-348366674.89008522</v>
      </c>
      <c r="I31" s="106"/>
      <c r="J31" s="735"/>
      <c r="K31" s="128">
        <v>0.3</v>
      </c>
      <c r="L31" s="124">
        <v>-405307613.50510752</v>
      </c>
      <c r="M31" s="106"/>
      <c r="N31" s="106"/>
      <c r="O31" s="106"/>
      <c r="P31" s="106"/>
      <c r="Q31" s="106"/>
      <c r="R31" s="106"/>
      <c r="S31" s="106"/>
      <c r="T31" s="106"/>
      <c r="U31" s="106"/>
      <c r="V31" s="106"/>
      <c r="W31" s="106"/>
      <c r="X31" s="106"/>
      <c r="Y31" s="106"/>
      <c r="Z31" s="106"/>
    </row>
    <row r="32" spans="1:26" ht="13.5" customHeight="1" x14ac:dyDescent="0.2">
      <c r="A32" s="106"/>
      <c r="B32" s="106"/>
      <c r="C32" s="106"/>
      <c r="D32" s="106"/>
      <c r="E32" s="106"/>
      <c r="F32" s="735"/>
      <c r="G32" s="128">
        <v>0.31</v>
      </c>
      <c r="H32" s="124">
        <v>-348905488.71634132</v>
      </c>
      <c r="I32" s="106"/>
      <c r="J32" s="735"/>
      <c r="K32" s="128">
        <v>0.31</v>
      </c>
      <c r="L32" s="124">
        <v>-418632683.49963093</v>
      </c>
      <c r="M32" s="106"/>
      <c r="N32" s="106"/>
      <c r="O32" s="106"/>
      <c r="P32" s="106"/>
      <c r="Q32" s="106"/>
      <c r="R32" s="106"/>
      <c r="S32" s="106"/>
      <c r="T32" s="106"/>
      <c r="U32" s="106"/>
      <c r="V32" s="106"/>
      <c r="W32" s="106"/>
      <c r="X32" s="106"/>
      <c r="Y32" s="106"/>
      <c r="Z32" s="106"/>
    </row>
    <row r="33" spans="1:26" ht="13.5" customHeight="1" x14ac:dyDescent="0.2">
      <c r="A33" s="106"/>
      <c r="B33" s="106"/>
      <c r="C33" s="106"/>
      <c r="D33" s="106"/>
      <c r="E33" s="106"/>
      <c r="F33" s="735"/>
      <c r="G33" s="128">
        <v>0.32</v>
      </c>
      <c r="H33" s="124">
        <v>-349444302.54259741</v>
      </c>
      <c r="I33" s="106"/>
      <c r="J33" s="735"/>
      <c r="K33" s="128">
        <v>0.32</v>
      </c>
      <c r="L33" s="124">
        <v>-431957753.49415392</v>
      </c>
      <c r="M33" s="106"/>
      <c r="N33" s="106"/>
      <c r="O33" s="106"/>
      <c r="P33" s="106"/>
      <c r="Q33" s="106"/>
      <c r="R33" s="106"/>
      <c r="S33" s="106"/>
      <c r="T33" s="106"/>
      <c r="U33" s="106"/>
      <c r="V33" s="106"/>
      <c r="W33" s="106"/>
      <c r="X33" s="106"/>
      <c r="Y33" s="106"/>
      <c r="Z33" s="106"/>
    </row>
    <row r="34" spans="1:26" ht="13.5" customHeight="1" x14ac:dyDescent="0.25">
      <c r="A34" s="106"/>
      <c r="B34" s="106"/>
      <c r="C34" s="106"/>
      <c r="D34" s="106"/>
      <c r="E34" s="106"/>
      <c r="F34" s="735"/>
      <c r="G34" s="129">
        <v>0.33</v>
      </c>
      <c r="H34" s="130">
        <v>-349983116.36885357</v>
      </c>
      <c r="I34" s="106"/>
      <c r="J34" s="735"/>
      <c r="K34" s="129">
        <v>0.33</v>
      </c>
      <c r="L34" s="130">
        <v>-445282823.48867744</v>
      </c>
      <c r="M34" s="106"/>
      <c r="N34" s="106"/>
      <c r="O34" s="106"/>
      <c r="P34" s="106"/>
      <c r="Q34" s="106"/>
      <c r="R34" s="106"/>
      <c r="S34" s="106"/>
      <c r="T34" s="106"/>
      <c r="U34" s="106"/>
      <c r="V34" s="106"/>
      <c r="W34" s="106"/>
      <c r="X34" s="106"/>
      <c r="Y34" s="106"/>
      <c r="Z34" s="106"/>
    </row>
    <row r="35" spans="1:26" ht="13.5" customHeight="1" x14ac:dyDescent="0.2">
      <c r="A35" s="106"/>
      <c r="B35" s="106"/>
      <c r="C35" s="106"/>
      <c r="D35" s="106"/>
      <c r="E35" s="106"/>
      <c r="F35" s="735"/>
      <c r="G35" s="128">
        <v>0.34</v>
      </c>
      <c r="H35" s="124">
        <v>-350521930.19510967</v>
      </c>
      <c r="I35" s="106"/>
      <c r="J35" s="735"/>
      <c r="K35" s="128">
        <v>0.34</v>
      </c>
      <c r="L35" s="124">
        <v>-458607893.48320043</v>
      </c>
      <c r="M35" s="106"/>
      <c r="N35" s="106"/>
      <c r="O35" s="106"/>
      <c r="P35" s="106"/>
      <c r="Q35" s="106"/>
      <c r="R35" s="106"/>
      <c r="S35" s="106"/>
      <c r="T35" s="106"/>
      <c r="U35" s="106"/>
      <c r="V35" s="106"/>
      <c r="W35" s="106"/>
      <c r="X35" s="106"/>
      <c r="Y35" s="106"/>
      <c r="Z35" s="106"/>
    </row>
    <row r="36" spans="1:26" ht="13.5" customHeight="1" x14ac:dyDescent="0.2">
      <c r="A36" s="106"/>
      <c r="B36" s="106"/>
      <c r="C36" s="106"/>
      <c r="D36" s="106"/>
      <c r="E36" s="106"/>
      <c r="F36" s="735"/>
      <c r="G36" s="128">
        <v>0.35</v>
      </c>
      <c r="H36" s="124">
        <v>-351060744.02136576</v>
      </c>
      <c r="I36" s="106"/>
      <c r="J36" s="735"/>
      <c r="K36" s="128">
        <v>0.35</v>
      </c>
      <c r="L36" s="124">
        <v>-471932963.47772384</v>
      </c>
      <c r="M36" s="106"/>
      <c r="N36" s="106"/>
      <c r="O36" s="106"/>
      <c r="P36" s="106"/>
      <c r="Q36" s="106"/>
      <c r="R36" s="106"/>
      <c r="S36" s="106"/>
      <c r="T36" s="106"/>
      <c r="U36" s="106"/>
      <c r="V36" s="106"/>
      <c r="W36" s="106"/>
      <c r="X36" s="106"/>
      <c r="Y36" s="106"/>
      <c r="Z36" s="106"/>
    </row>
    <row r="37" spans="1:26" ht="13.5" customHeight="1" x14ac:dyDescent="0.2">
      <c r="A37" s="106"/>
      <c r="B37" s="106"/>
      <c r="C37" s="106"/>
      <c r="D37" s="106"/>
      <c r="E37" s="106"/>
      <c r="F37" s="735"/>
      <c r="G37" s="128">
        <v>0.36</v>
      </c>
      <c r="H37" s="124">
        <v>-351599557.84762192</v>
      </c>
      <c r="I37" s="106"/>
      <c r="J37" s="735"/>
      <c r="K37" s="128">
        <v>0.36</v>
      </c>
      <c r="L37" s="124">
        <v>-485258033.47224718</v>
      </c>
      <c r="M37" s="106"/>
      <c r="N37" s="106"/>
      <c r="O37" s="106"/>
      <c r="P37" s="106"/>
      <c r="Q37" s="106"/>
      <c r="R37" s="106"/>
      <c r="S37" s="106"/>
      <c r="T37" s="106"/>
      <c r="U37" s="106"/>
      <c r="V37" s="106"/>
      <c r="W37" s="106"/>
      <c r="X37" s="106"/>
      <c r="Y37" s="106"/>
      <c r="Z37" s="106"/>
    </row>
    <row r="38" spans="1:26" ht="13.5" customHeight="1" x14ac:dyDescent="0.2">
      <c r="A38" s="106"/>
      <c r="B38" s="106"/>
      <c r="C38" s="106"/>
      <c r="D38" s="106"/>
      <c r="E38" s="106"/>
      <c r="F38" s="735"/>
      <c r="G38" s="128">
        <v>0.37</v>
      </c>
      <c r="H38" s="124">
        <v>-352138371.67387801</v>
      </c>
      <c r="I38" s="106"/>
      <c r="J38" s="735"/>
      <c r="K38" s="128">
        <v>0.37</v>
      </c>
      <c r="L38" s="124">
        <v>-498583103.46677035</v>
      </c>
      <c r="M38" s="106"/>
      <c r="N38" s="106"/>
      <c r="O38" s="106"/>
      <c r="P38" s="106"/>
      <c r="Q38" s="106"/>
      <c r="R38" s="106"/>
      <c r="S38" s="106"/>
      <c r="T38" s="106"/>
      <c r="U38" s="106"/>
      <c r="V38" s="106"/>
      <c r="W38" s="106"/>
      <c r="X38" s="106"/>
      <c r="Y38" s="106"/>
      <c r="Z38" s="106"/>
    </row>
    <row r="39" spans="1:26" ht="13.5" customHeight="1" x14ac:dyDescent="0.2">
      <c r="A39" s="106"/>
      <c r="B39" s="106"/>
      <c r="C39" s="106"/>
      <c r="D39" s="106"/>
      <c r="E39" s="106"/>
      <c r="F39" s="735"/>
      <c r="G39" s="128">
        <v>0.38</v>
      </c>
      <c r="H39" s="124">
        <v>-352677185.50013411</v>
      </c>
      <c r="I39" s="106"/>
      <c r="J39" s="735"/>
      <c r="K39" s="128">
        <v>0.38</v>
      </c>
      <c r="L39" s="124">
        <v>-511908173.46129358</v>
      </c>
      <c r="M39" s="106"/>
      <c r="N39" s="106"/>
      <c r="O39" s="106"/>
      <c r="P39" s="106"/>
      <c r="Q39" s="106"/>
      <c r="R39" s="106"/>
      <c r="S39" s="106"/>
      <c r="T39" s="106"/>
      <c r="U39" s="106"/>
      <c r="V39" s="106"/>
      <c r="W39" s="106"/>
      <c r="X39" s="106"/>
      <c r="Y39" s="106"/>
      <c r="Z39" s="106"/>
    </row>
    <row r="40" spans="1:26" ht="13.5" customHeight="1" x14ac:dyDescent="0.2">
      <c r="A40" s="106"/>
      <c r="B40" s="106"/>
      <c r="C40" s="106"/>
      <c r="D40" s="106"/>
      <c r="E40" s="106"/>
      <c r="F40" s="735"/>
      <c r="G40" s="128">
        <v>0.39</v>
      </c>
      <c r="H40" s="124">
        <v>-353215999.32639027</v>
      </c>
      <c r="I40" s="106"/>
      <c r="J40" s="735"/>
      <c r="K40" s="128">
        <v>0.39</v>
      </c>
      <c r="L40" s="124">
        <v>-525233243.45581669</v>
      </c>
      <c r="M40" s="106"/>
      <c r="N40" s="106"/>
      <c r="O40" s="106"/>
      <c r="P40" s="106"/>
      <c r="Q40" s="106"/>
      <c r="R40" s="106"/>
      <c r="S40" s="106"/>
      <c r="T40" s="106"/>
      <c r="U40" s="106"/>
      <c r="V40" s="106"/>
      <c r="W40" s="106"/>
      <c r="X40" s="106"/>
      <c r="Y40" s="106"/>
      <c r="Z40" s="106"/>
    </row>
    <row r="41" spans="1:26" ht="13.5" customHeight="1" x14ac:dyDescent="0.2">
      <c r="A41" s="106"/>
      <c r="B41" s="106"/>
      <c r="C41" s="106"/>
      <c r="D41" s="106"/>
      <c r="E41" s="106"/>
      <c r="F41" s="740"/>
      <c r="G41" s="128">
        <v>0.4</v>
      </c>
      <c r="H41" s="124">
        <v>-353754813.15264636</v>
      </c>
      <c r="I41" s="106"/>
      <c r="J41" s="740"/>
      <c r="K41" s="128">
        <v>0.4</v>
      </c>
      <c r="L41" s="124">
        <v>-538558313.45034003</v>
      </c>
      <c r="M41" s="106"/>
      <c r="N41" s="106"/>
      <c r="O41" s="106"/>
      <c r="P41" s="106"/>
      <c r="Q41" s="106"/>
      <c r="R41" s="106"/>
      <c r="S41" s="106"/>
      <c r="T41" s="106"/>
      <c r="U41" s="106"/>
      <c r="V41" s="106"/>
      <c r="W41" s="106"/>
      <c r="X41" s="106"/>
      <c r="Y41" s="106"/>
      <c r="Z41" s="106"/>
    </row>
    <row r="42" spans="1:26" ht="13.5" customHeight="1" x14ac:dyDescent="0.2">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row>
    <row r="43" spans="1:26" ht="13.5" customHeight="1" x14ac:dyDescent="0.2">
      <c r="A43" s="106"/>
      <c r="B43" s="106"/>
      <c r="C43" s="106"/>
      <c r="D43" s="106"/>
      <c r="E43" s="106"/>
      <c r="F43" s="106"/>
      <c r="G43" s="106"/>
      <c r="H43" s="106"/>
      <c r="I43" s="106"/>
      <c r="J43" s="106"/>
      <c r="K43" s="106"/>
      <c r="L43" s="106"/>
      <c r="M43" s="106"/>
      <c r="N43" s="106"/>
      <c r="O43" s="106"/>
      <c r="P43" s="106"/>
      <c r="Q43" s="106"/>
      <c r="R43" s="106"/>
      <c r="S43" s="106"/>
      <c r="T43" s="106"/>
      <c r="U43" s="106"/>
      <c r="V43" s="106"/>
      <c r="W43" s="106"/>
      <c r="X43" s="106"/>
      <c r="Y43" s="106"/>
      <c r="Z43" s="106"/>
    </row>
    <row r="44" spans="1:26" ht="13.5" customHeight="1" x14ac:dyDescent="0.25">
      <c r="A44" s="106"/>
      <c r="B44" s="106"/>
      <c r="C44" s="106"/>
      <c r="D44" s="106"/>
      <c r="E44" s="106"/>
      <c r="F44" s="107" t="s">
        <v>102</v>
      </c>
      <c r="G44" s="106"/>
      <c r="H44" s="106"/>
      <c r="I44" s="106"/>
      <c r="J44" s="107" t="s">
        <v>102</v>
      </c>
      <c r="K44" s="106"/>
      <c r="L44" s="106"/>
      <c r="M44" s="106"/>
      <c r="N44" s="106"/>
      <c r="O44" s="106"/>
      <c r="P44" s="106"/>
      <c r="Q44" s="106"/>
      <c r="R44" s="106"/>
      <c r="S44" s="106"/>
      <c r="T44" s="106"/>
      <c r="U44" s="106"/>
      <c r="V44" s="106"/>
      <c r="W44" s="106"/>
      <c r="X44" s="106"/>
      <c r="Y44" s="106"/>
      <c r="Z44" s="106"/>
    </row>
    <row r="45" spans="1:26" ht="13.5" customHeight="1" x14ac:dyDescent="0.2">
      <c r="A45" s="106"/>
      <c r="B45" s="106"/>
      <c r="C45" s="106"/>
      <c r="D45" s="106"/>
      <c r="E45" s="106"/>
      <c r="F45" s="131"/>
      <c r="G45" s="126"/>
      <c r="H45" s="127">
        <f>$B$16</f>
        <v>-349209860.35524708</v>
      </c>
      <c r="I45" s="106"/>
      <c r="J45" s="131"/>
      <c r="K45" s="126"/>
      <c r="L45" s="112">
        <f>$B$17</f>
        <v>-445282823.48867738</v>
      </c>
      <c r="M45" s="106"/>
      <c r="N45" s="106"/>
      <c r="O45" s="106"/>
      <c r="P45" s="106"/>
      <c r="Q45" s="106"/>
      <c r="R45" s="106"/>
      <c r="S45" s="106"/>
      <c r="T45" s="106"/>
      <c r="U45" s="106"/>
      <c r="V45" s="106"/>
      <c r="W45" s="106"/>
      <c r="X45" s="106"/>
      <c r="Y45" s="106"/>
      <c r="Z45" s="106"/>
    </row>
    <row r="46" spans="1:26" ht="13.5" customHeight="1" x14ac:dyDescent="0.25">
      <c r="A46" s="106"/>
      <c r="B46" s="106"/>
      <c r="C46" s="106"/>
      <c r="D46" s="106"/>
      <c r="E46" s="106"/>
      <c r="F46" s="747" t="s">
        <v>102</v>
      </c>
      <c r="G46" s="132">
        <v>0.5</v>
      </c>
      <c r="H46" s="130">
        <v>-251977278.92524526</v>
      </c>
      <c r="I46" s="106"/>
      <c r="J46" s="747" t="s">
        <v>102</v>
      </c>
      <c r="K46" s="132">
        <v>0.5</v>
      </c>
      <c r="L46" s="130">
        <v>-445432932.14793164</v>
      </c>
      <c r="M46" s="106"/>
      <c r="N46" s="106"/>
      <c r="O46" s="106"/>
      <c r="P46" s="106"/>
      <c r="Q46" s="106"/>
      <c r="R46" s="106"/>
      <c r="S46" s="106"/>
      <c r="T46" s="106"/>
      <c r="U46" s="106"/>
      <c r="V46" s="106"/>
      <c r="W46" s="106"/>
      <c r="X46" s="106"/>
      <c r="Y46" s="106"/>
      <c r="Z46" s="106"/>
    </row>
    <row r="47" spans="1:26" ht="13.5" customHeight="1" x14ac:dyDescent="0.2">
      <c r="A47" s="106"/>
      <c r="B47" s="106"/>
      <c r="C47" s="106"/>
      <c r="D47" s="106"/>
      <c r="E47" s="106"/>
      <c r="F47" s="735"/>
      <c r="G47" s="133">
        <v>0.6</v>
      </c>
      <c r="H47" s="124">
        <v>-271578446.41396689</v>
      </c>
      <c r="I47" s="106"/>
      <c r="J47" s="735"/>
      <c r="K47" s="133">
        <v>0.6</v>
      </c>
      <c r="L47" s="124">
        <v>-445432932.14793164</v>
      </c>
      <c r="M47" s="106"/>
      <c r="N47" s="106"/>
      <c r="O47" s="106"/>
      <c r="P47" s="106"/>
      <c r="Q47" s="106"/>
      <c r="R47" s="106"/>
      <c r="S47" s="106"/>
      <c r="T47" s="106"/>
      <c r="U47" s="106"/>
      <c r="V47" s="106"/>
      <c r="W47" s="106"/>
      <c r="X47" s="106"/>
      <c r="Y47" s="106"/>
      <c r="Z47" s="106"/>
    </row>
    <row r="48" spans="1:26" ht="13.5" customHeight="1" x14ac:dyDescent="0.2">
      <c r="A48" s="106"/>
      <c r="B48" s="106"/>
      <c r="C48" s="106"/>
      <c r="D48" s="106"/>
      <c r="E48" s="106"/>
      <c r="F48" s="735"/>
      <c r="G48" s="133">
        <v>0.7</v>
      </c>
      <c r="H48" s="124">
        <v>-291179613.90268856</v>
      </c>
      <c r="I48" s="106"/>
      <c r="J48" s="735"/>
      <c r="K48" s="133">
        <v>0.7</v>
      </c>
      <c r="L48" s="124">
        <v>-445432932.14793164</v>
      </c>
      <c r="M48" s="106"/>
      <c r="N48" s="106"/>
      <c r="O48" s="106"/>
      <c r="P48" s="106"/>
      <c r="Q48" s="106"/>
      <c r="R48" s="106"/>
      <c r="S48" s="106"/>
      <c r="T48" s="106"/>
      <c r="U48" s="106"/>
      <c r="V48" s="106"/>
      <c r="W48" s="106"/>
      <c r="X48" s="106"/>
      <c r="Y48" s="106"/>
      <c r="Z48" s="106"/>
    </row>
    <row r="49" spans="1:26" ht="13.5" customHeight="1" x14ac:dyDescent="0.2">
      <c r="A49" s="106"/>
      <c r="B49" s="106"/>
      <c r="C49" s="106"/>
      <c r="D49" s="106"/>
      <c r="E49" s="106"/>
      <c r="F49" s="735"/>
      <c r="G49" s="133">
        <v>0.8</v>
      </c>
      <c r="H49" s="124">
        <v>-310780781.39141023</v>
      </c>
      <c r="I49" s="106"/>
      <c r="J49" s="735"/>
      <c r="K49" s="133">
        <v>0.8</v>
      </c>
      <c r="L49" s="124">
        <v>-445432932.14793164</v>
      </c>
      <c r="M49" s="106"/>
      <c r="N49" s="106"/>
      <c r="O49" s="106"/>
      <c r="P49" s="106"/>
      <c r="Q49" s="106"/>
      <c r="R49" s="106"/>
      <c r="S49" s="106"/>
      <c r="T49" s="106"/>
      <c r="U49" s="106"/>
      <c r="V49" s="106"/>
      <c r="W49" s="106"/>
      <c r="X49" s="106"/>
      <c r="Y49" s="106"/>
      <c r="Z49" s="106"/>
    </row>
    <row r="50" spans="1:26" ht="13.5" customHeight="1" x14ac:dyDescent="0.2">
      <c r="A50" s="106"/>
      <c r="B50" s="106"/>
      <c r="C50" s="106"/>
      <c r="D50" s="106"/>
      <c r="E50" s="106"/>
      <c r="F50" s="735"/>
      <c r="G50" s="133">
        <v>0.9</v>
      </c>
      <c r="H50" s="124">
        <v>-330381948.88013184</v>
      </c>
      <c r="I50" s="106"/>
      <c r="J50" s="735"/>
      <c r="K50" s="133">
        <v>0.9</v>
      </c>
      <c r="L50" s="124">
        <v>-445432932.14793164</v>
      </c>
      <c r="M50" s="106"/>
      <c r="N50" s="106"/>
      <c r="O50" s="106"/>
      <c r="P50" s="106"/>
      <c r="Q50" s="106"/>
      <c r="R50" s="106"/>
      <c r="S50" s="106"/>
      <c r="T50" s="106"/>
      <c r="U50" s="106"/>
      <c r="V50" s="106"/>
      <c r="W50" s="106"/>
      <c r="X50" s="106"/>
      <c r="Y50" s="106"/>
      <c r="Z50" s="106"/>
    </row>
    <row r="51" spans="1:26" ht="13.5" customHeight="1" x14ac:dyDescent="0.2">
      <c r="A51" s="106"/>
      <c r="B51" s="106"/>
      <c r="C51" s="106"/>
      <c r="D51" s="106"/>
      <c r="E51" s="106"/>
      <c r="F51" s="735"/>
      <c r="G51" s="133">
        <v>1</v>
      </c>
      <c r="H51" s="124">
        <v>-349983116.36885357</v>
      </c>
      <c r="I51" s="106"/>
      <c r="J51" s="735"/>
      <c r="K51" s="133">
        <v>1</v>
      </c>
      <c r="L51" s="124">
        <v>-445432932.14793164</v>
      </c>
      <c r="M51" s="106"/>
      <c r="N51" s="106"/>
      <c r="O51" s="106"/>
      <c r="P51" s="106"/>
      <c r="Q51" s="106"/>
      <c r="R51" s="106"/>
      <c r="S51" s="106"/>
      <c r="T51" s="106"/>
      <c r="U51" s="106"/>
      <c r="V51" s="106"/>
      <c r="W51" s="106"/>
      <c r="X51" s="106"/>
      <c r="Y51" s="106"/>
      <c r="Z51" s="106"/>
    </row>
    <row r="52" spans="1:26" ht="13.5" customHeight="1" x14ac:dyDescent="0.2">
      <c r="A52" s="106"/>
      <c r="B52" s="106"/>
      <c r="C52" s="106"/>
      <c r="D52" s="106"/>
      <c r="E52" s="106"/>
      <c r="F52" s="735"/>
      <c r="G52" s="133">
        <v>1.1000000000000001</v>
      </c>
      <c r="H52" s="124">
        <v>-369584283.85757518</v>
      </c>
      <c r="I52" s="106"/>
      <c r="J52" s="735"/>
      <c r="K52" s="133">
        <v>1.1000000000000001</v>
      </c>
      <c r="L52" s="124">
        <v>-445432932.14793164</v>
      </c>
      <c r="M52" s="106"/>
      <c r="N52" s="106"/>
      <c r="O52" s="106"/>
      <c r="P52" s="106"/>
      <c r="Q52" s="106"/>
      <c r="R52" s="106"/>
      <c r="S52" s="106"/>
      <c r="T52" s="106"/>
      <c r="U52" s="106"/>
      <c r="V52" s="106"/>
      <c r="W52" s="106"/>
      <c r="X52" s="106"/>
      <c r="Y52" s="106"/>
      <c r="Z52" s="106"/>
    </row>
    <row r="53" spans="1:26" ht="13.5" customHeight="1" x14ac:dyDescent="0.2">
      <c r="A53" s="106"/>
      <c r="B53" s="106"/>
      <c r="C53" s="106"/>
      <c r="D53" s="106"/>
      <c r="E53" s="106"/>
      <c r="F53" s="735"/>
      <c r="G53" s="133">
        <v>1.2</v>
      </c>
      <c r="H53" s="124">
        <v>-389185451.34629685</v>
      </c>
      <c r="I53" s="106"/>
      <c r="J53" s="735"/>
      <c r="K53" s="133">
        <v>1.2</v>
      </c>
      <c r="L53" s="124">
        <v>-445432932.14793164</v>
      </c>
      <c r="M53" s="106"/>
      <c r="N53" s="106"/>
      <c r="O53" s="106"/>
      <c r="P53" s="106"/>
      <c r="Q53" s="106"/>
      <c r="R53" s="106"/>
      <c r="S53" s="106"/>
      <c r="T53" s="106"/>
      <c r="U53" s="106"/>
      <c r="V53" s="106"/>
      <c r="W53" s="106"/>
      <c r="X53" s="106"/>
      <c r="Y53" s="106"/>
      <c r="Z53" s="106"/>
    </row>
    <row r="54" spans="1:26" ht="13.5" customHeight="1" x14ac:dyDescent="0.2">
      <c r="A54" s="106"/>
      <c r="B54" s="106"/>
      <c r="C54" s="106"/>
      <c r="D54" s="106"/>
      <c r="E54" s="106"/>
      <c r="F54" s="735"/>
      <c r="G54" s="133">
        <v>1.3</v>
      </c>
      <c r="H54" s="124">
        <v>-408786618.83501846</v>
      </c>
      <c r="I54" s="106"/>
      <c r="J54" s="735"/>
      <c r="K54" s="133">
        <v>1.3</v>
      </c>
      <c r="L54" s="124">
        <v>-445432932.14793164</v>
      </c>
      <c r="M54" s="106"/>
      <c r="N54" s="106"/>
      <c r="O54" s="106"/>
      <c r="P54" s="106"/>
      <c r="Q54" s="106"/>
      <c r="R54" s="106"/>
      <c r="S54" s="106"/>
      <c r="T54" s="106"/>
      <c r="U54" s="106"/>
      <c r="V54" s="106"/>
      <c r="W54" s="106"/>
      <c r="X54" s="106"/>
      <c r="Y54" s="106"/>
      <c r="Z54" s="106"/>
    </row>
    <row r="55" spans="1:26" ht="13.5" customHeight="1" x14ac:dyDescent="0.2">
      <c r="A55" s="106"/>
      <c r="B55" s="106"/>
      <c r="C55" s="106"/>
      <c r="D55" s="106"/>
      <c r="E55" s="106"/>
      <c r="F55" s="735"/>
      <c r="G55" s="133">
        <v>1.4</v>
      </c>
      <c r="H55" s="124">
        <v>-428387786.32374012</v>
      </c>
      <c r="I55" s="106"/>
      <c r="J55" s="735"/>
      <c r="K55" s="133">
        <v>1.4</v>
      </c>
      <c r="L55" s="124">
        <v>-445432932.14793164</v>
      </c>
      <c r="M55" s="106"/>
      <c r="N55" s="106"/>
      <c r="O55" s="106"/>
      <c r="P55" s="106"/>
      <c r="Q55" s="106"/>
      <c r="R55" s="106"/>
      <c r="S55" s="106"/>
      <c r="T55" s="106"/>
      <c r="U55" s="106"/>
      <c r="V55" s="106"/>
      <c r="W55" s="106"/>
      <c r="X55" s="106"/>
      <c r="Y55" s="106"/>
      <c r="Z55" s="106"/>
    </row>
    <row r="56" spans="1:26" ht="13.5" customHeight="1" x14ac:dyDescent="0.2">
      <c r="A56" s="106"/>
      <c r="B56" s="106"/>
      <c r="C56" s="106"/>
      <c r="D56" s="106"/>
      <c r="E56" s="106"/>
      <c r="F56" s="740"/>
      <c r="G56" s="133">
        <v>1.5</v>
      </c>
      <c r="H56" s="124">
        <v>-447988953.81246179</v>
      </c>
      <c r="I56" s="106"/>
      <c r="J56" s="740"/>
      <c r="K56" s="133">
        <v>1.5</v>
      </c>
      <c r="L56" s="124">
        <v>-445432932.14793164</v>
      </c>
      <c r="M56" s="106"/>
      <c r="N56" s="106"/>
      <c r="O56" s="106"/>
      <c r="P56" s="106"/>
      <c r="Q56" s="106"/>
      <c r="R56" s="106"/>
      <c r="S56" s="106"/>
      <c r="T56" s="106"/>
      <c r="U56" s="106"/>
      <c r="V56" s="106"/>
      <c r="W56" s="106"/>
      <c r="X56" s="106"/>
      <c r="Y56" s="106"/>
      <c r="Z56" s="106"/>
    </row>
    <row r="57" spans="1:26" ht="13.5" customHeight="1" x14ac:dyDescent="0.2">
      <c r="A57" s="106"/>
      <c r="B57" s="106"/>
      <c r="C57" s="106"/>
      <c r="D57" s="106"/>
      <c r="E57" s="106"/>
      <c r="F57" s="106"/>
      <c r="G57" s="106"/>
      <c r="H57" s="106"/>
      <c r="I57" s="106"/>
      <c r="J57" s="106"/>
      <c r="K57" s="106"/>
      <c r="L57" s="106"/>
      <c r="M57" s="106"/>
      <c r="N57" s="106"/>
      <c r="O57" s="106"/>
      <c r="P57" s="106"/>
      <c r="Q57" s="106"/>
      <c r="R57" s="106"/>
      <c r="S57" s="106"/>
      <c r="T57" s="106"/>
      <c r="U57" s="106"/>
      <c r="V57" s="106"/>
      <c r="W57" s="106"/>
      <c r="X57" s="106"/>
      <c r="Y57" s="106"/>
      <c r="Z57" s="106"/>
    </row>
    <row r="58" spans="1:26" ht="13.5" customHeight="1" x14ac:dyDescent="0.2">
      <c r="A58" s="106"/>
      <c r="B58" s="106"/>
      <c r="C58" s="106"/>
      <c r="D58" s="106"/>
      <c r="E58" s="106"/>
      <c r="F58" s="106"/>
      <c r="G58" s="106"/>
      <c r="H58" s="106"/>
      <c r="I58" s="106"/>
      <c r="J58" s="106"/>
      <c r="K58" s="106"/>
      <c r="L58" s="106"/>
      <c r="M58" s="106"/>
      <c r="N58" s="106"/>
      <c r="O58" s="106"/>
      <c r="P58" s="106"/>
      <c r="Q58" s="106"/>
      <c r="R58" s="106"/>
      <c r="S58" s="106"/>
      <c r="T58" s="106"/>
      <c r="U58" s="106"/>
      <c r="V58" s="106"/>
      <c r="W58" s="106"/>
      <c r="X58" s="106"/>
      <c r="Y58" s="106"/>
      <c r="Z58" s="106"/>
    </row>
    <row r="59" spans="1:26" ht="13.5" customHeight="1" x14ac:dyDescent="0.2">
      <c r="A59" s="106"/>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row>
    <row r="60" spans="1:26" ht="13.5" customHeight="1" x14ac:dyDescent="0.2">
      <c r="A60" s="106"/>
      <c r="B60" s="106"/>
      <c r="C60" s="106"/>
      <c r="D60" s="106"/>
      <c r="E60" s="106"/>
      <c r="F60" s="106"/>
      <c r="G60" s="106"/>
      <c r="H60" s="106"/>
      <c r="I60" s="106"/>
      <c r="J60" s="106"/>
      <c r="K60" s="106"/>
      <c r="L60" s="106"/>
      <c r="M60" s="106"/>
      <c r="N60" s="106"/>
      <c r="O60" s="106"/>
      <c r="P60" s="106"/>
      <c r="Q60" s="106"/>
      <c r="R60" s="106"/>
      <c r="S60" s="106"/>
      <c r="T60" s="106"/>
      <c r="U60" s="106"/>
      <c r="V60" s="106"/>
      <c r="W60" s="106"/>
      <c r="X60" s="106"/>
      <c r="Y60" s="106"/>
      <c r="Z60" s="106"/>
    </row>
    <row r="61" spans="1:26" ht="13.5" customHeight="1" x14ac:dyDescent="0.2">
      <c r="A61" s="106"/>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row>
    <row r="62" spans="1:26" ht="13.5" customHeight="1" x14ac:dyDescent="0.25">
      <c r="A62" s="106"/>
      <c r="B62" s="106"/>
      <c r="C62" s="106"/>
      <c r="D62" s="106"/>
      <c r="E62" s="106"/>
      <c r="F62" s="107" t="s">
        <v>103</v>
      </c>
      <c r="G62" s="107"/>
      <c r="H62" s="107"/>
      <c r="I62" s="107"/>
      <c r="J62" s="107" t="s">
        <v>103</v>
      </c>
      <c r="K62" s="106"/>
      <c r="L62" s="106"/>
      <c r="M62" s="106"/>
      <c r="N62" s="106"/>
      <c r="O62" s="106"/>
      <c r="P62" s="106"/>
      <c r="Q62" s="106"/>
      <c r="R62" s="106"/>
      <c r="S62" s="106"/>
      <c r="T62" s="106"/>
      <c r="U62" s="106"/>
      <c r="V62" s="106"/>
      <c r="W62" s="106"/>
      <c r="X62" s="106"/>
      <c r="Y62" s="106"/>
      <c r="Z62" s="106"/>
    </row>
    <row r="63" spans="1:26" ht="13.5" customHeight="1" x14ac:dyDescent="0.2">
      <c r="A63" s="106"/>
      <c r="B63" s="106"/>
      <c r="C63" s="106"/>
      <c r="D63" s="106"/>
      <c r="E63" s="106"/>
      <c r="F63" s="131"/>
      <c r="G63" s="126"/>
      <c r="H63" s="134">
        <f>$B$16</f>
        <v>-349209860.35524708</v>
      </c>
      <c r="I63" s="106"/>
      <c r="J63" s="131"/>
      <c r="K63" s="126"/>
      <c r="L63" s="112">
        <f>$B$17</f>
        <v>-445282823.48867738</v>
      </c>
      <c r="M63" s="106"/>
      <c r="N63" s="106"/>
      <c r="O63" s="106"/>
      <c r="P63" s="106"/>
      <c r="Q63" s="106"/>
      <c r="R63" s="106"/>
      <c r="S63" s="106"/>
      <c r="T63" s="106"/>
      <c r="U63" s="106"/>
      <c r="V63" s="106"/>
      <c r="W63" s="106"/>
      <c r="X63" s="106"/>
      <c r="Y63" s="106"/>
      <c r="Z63" s="106"/>
    </row>
    <row r="64" spans="1:26" ht="13.5" customHeight="1" x14ac:dyDescent="0.2">
      <c r="A64" s="106"/>
      <c r="B64" s="106"/>
      <c r="C64" s="106"/>
      <c r="D64" s="106"/>
      <c r="E64" s="106"/>
      <c r="F64" s="747" t="s">
        <v>103</v>
      </c>
      <c r="G64" s="133">
        <v>0.1</v>
      </c>
      <c r="H64" s="124">
        <v>-291957415.6037308</v>
      </c>
      <c r="I64" s="106"/>
      <c r="J64" s="747" t="s">
        <v>103</v>
      </c>
      <c r="K64" s="133">
        <v>0.1</v>
      </c>
      <c r="L64" s="124">
        <v>-445282823.48867744</v>
      </c>
      <c r="M64" s="106"/>
      <c r="N64" s="106"/>
      <c r="O64" s="106"/>
      <c r="P64" s="106"/>
      <c r="Q64" s="106"/>
      <c r="R64" s="106"/>
      <c r="S64" s="106"/>
      <c r="T64" s="106"/>
      <c r="U64" s="106"/>
      <c r="V64" s="106"/>
      <c r="W64" s="106"/>
      <c r="X64" s="106"/>
      <c r="Y64" s="106"/>
      <c r="Z64" s="106"/>
    </row>
    <row r="65" spans="1:26" ht="13.5" customHeight="1" x14ac:dyDescent="0.2">
      <c r="A65" s="106"/>
      <c r="B65" s="106"/>
      <c r="C65" s="106"/>
      <c r="D65" s="106"/>
      <c r="E65" s="106"/>
      <c r="F65" s="735"/>
      <c r="G65" s="133">
        <v>0.11</v>
      </c>
      <c r="H65" s="124">
        <v>-297759985.68024302</v>
      </c>
      <c r="I65" s="106"/>
      <c r="J65" s="735"/>
      <c r="K65" s="133">
        <v>0.11</v>
      </c>
      <c r="L65" s="124">
        <v>-445282823.48867744</v>
      </c>
      <c r="M65" s="106"/>
      <c r="N65" s="106"/>
      <c r="O65" s="106"/>
      <c r="P65" s="106"/>
      <c r="Q65" s="106"/>
      <c r="R65" s="106"/>
      <c r="S65" s="106"/>
      <c r="T65" s="106"/>
      <c r="U65" s="106"/>
      <c r="V65" s="106"/>
      <c r="W65" s="106"/>
      <c r="X65" s="106"/>
      <c r="Y65" s="106"/>
      <c r="Z65" s="106"/>
    </row>
    <row r="66" spans="1:26" ht="13.5" customHeight="1" x14ac:dyDescent="0.2">
      <c r="A66" s="106"/>
      <c r="B66" s="106"/>
      <c r="C66" s="106"/>
      <c r="D66" s="106"/>
      <c r="E66" s="106"/>
      <c r="F66" s="735"/>
      <c r="G66" s="133">
        <v>0.12</v>
      </c>
      <c r="H66" s="124">
        <v>-303562555.75675535</v>
      </c>
      <c r="I66" s="106"/>
      <c r="J66" s="735"/>
      <c r="K66" s="133">
        <v>0.12</v>
      </c>
      <c r="L66" s="124">
        <v>-445282823.48867744</v>
      </c>
      <c r="M66" s="106"/>
      <c r="N66" s="106"/>
      <c r="O66" s="106"/>
      <c r="P66" s="106"/>
      <c r="Q66" s="106"/>
      <c r="R66" s="106"/>
      <c r="S66" s="106"/>
      <c r="T66" s="106"/>
      <c r="U66" s="106"/>
      <c r="V66" s="106"/>
      <c r="W66" s="106"/>
      <c r="X66" s="106"/>
      <c r="Y66" s="106"/>
      <c r="Z66" s="106"/>
    </row>
    <row r="67" spans="1:26" ht="13.5" customHeight="1" x14ac:dyDescent="0.2">
      <c r="A67" s="106"/>
      <c r="B67" s="106"/>
      <c r="C67" s="106"/>
      <c r="D67" s="106"/>
      <c r="E67" s="106"/>
      <c r="F67" s="735"/>
      <c r="G67" s="133">
        <v>0.13</v>
      </c>
      <c r="H67" s="124">
        <v>-309365125.83326757</v>
      </c>
      <c r="I67" s="106"/>
      <c r="J67" s="735"/>
      <c r="K67" s="133">
        <v>0.13</v>
      </c>
      <c r="L67" s="124">
        <v>-445282823.48867744</v>
      </c>
      <c r="M67" s="106"/>
      <c r="N67" s="106"/>
      <c r="O67" s="106"/>
      <c r="P67" s="106"/>
      <c r="Q67" s="106"/>
      <c r="R67" s="106"/>
      <c r="S67" s="106"/>
      <c r="T67" s="106"/>
      <c r="U67" s="106"/>
      <c r="V67" s="106"/>
      <c r="W67" s="106"/>
      <c r="X67" s="106"/>
      <c r="Y67" s="106"/>
      <c r="Z67" s="106"/>
    </row>
    <row r="68" spans="1:26" ht="13.5" customHeight="1" x14ac:dyDescent="0.2">
      <c r="A68" s="106"/>
      <c r="B68" s="106"/>
      <c r="C68" s="106"/>
      <c r="D68" s="106"/>
      <c r="E68" s="106"/>
      <c r="F68" s="735"/>
      <c r="G68" s="133">
        <v>0.14000000000000001</v>
      </c>
      <c r="H68" s="124">
        <v>-315167695.90977985</v>
      </c>
      <c r="I68" s="106"/>
      <c r="J68" s="735"/>
      <c r="K68" s="133">
        <v>0.14000000000000001</v>
      </c>
      <c r="L68" s="124">
        <v>-445282823.48867744</v>
      </c>
      <c r="M68" s="106"/>
      <c r="N68" s="106"/>
      <c r="O68" s="106"/>
      <c r="P68" s="106"/>
      <c r="Q68" s="106"/>
      <c r="R68" s="106"/>
      <c r="S68" s="106"/>
      <c r="T68" s="106"/>
      <c r="U68" s="106"/>
      <c r="V68" s="106"/>
      <c r="W68" s="106"/>
      <c r="X68" s="106"/>
      <c r="Y68" s="106"/>
      <c r="Z68" s="106"/>
    </row>
    <row r="69" spans="1:26" ht="13.5" customHeight="1" x14ac:dyDescent="0.2">
      <c r="A69" s="106"/>
      <c r="B69" s="106"/>
      <c r="C69" s="106"/>
      <c r="D69" s="106"/>
      <c r="E69" s="106"/>
      <c r="F69" s="735"/>
      <c r="G69" s="133">
        <v>0.15</v>
      </c>
      <c r="H69" s="124">
        <v>-320970265.98629212</v>
      </c>
      <c r="I69" s="106"/>
      <c r="J69" s="735"/>
      <c r="K69" s="133">
        <v>0.15</v>
      </c>
      <c r="L69" s="124">
        <v>-445282823.48867744</v>
      </c>
      <c r="M69" s="106"/>
      <c r="N69" s="106"/>
      <c r="O69" s="106"/>
      <c r="P69" s="106"/>
      <c r="Q69" s="106"/>
      <c r="R69" s="106"/>
      <c r="S69" s="106"/>
      <c r="T69" s="106"/>
      <c r="U69" s="106"/>
      <c r="V69" s="106"/>
      <c r="W69" s="106"/>
      <c r="X69" s="106"/>
      <c r="Y69" s="106"/>
      <c r="Z69" s="106"/>
    </row>
    <row r="70" spans="1:26" ht="13.5" customHeight="1" x14ac:dyDescent="0.2">
      <c r="A70" s="106"/>
      <c r="B70" s="106"/>
      <c r="C70" s="106"/>
      <c r="D70" s="106"/>
      <c r="E70" s="106"/>
      <c r="F70" s="735"/>
      <c r="G70" s="133">
        <v>0.16</v>
      </c>
      <c r="H70" s="124">
        <v>-326772836.0628044</v>
      </c>
      <c r="I70" s="106"/>
      <c r="J70" s="735"/>
      <c r="K70" s="133">
        <v>0.16</v>
      </c>
      <c r="L70" s="124">
        <v>-445282823.48867744</v>
      </c>
      <c r="M70" s="106"/>
      <c r="N70" s="106"/>
      <c r="O70" s="106"/>
      <c r="P70" s="106"/>
      <c r="Q70" s="106"/>
      <c r="R70" s="106"/>
      <c r="S70" s="106"/>
      <c r="T70" s="106"/>
      <c r="U70" s="106"/>
      <c r="V70" s="106"/>
      <c r="W70" s="106"/>
      <c r="X70" s="106"/>
      <c r="Y70" s="106"/>
      <c r="Z70" s="106"/>
    </row>
    <row r="71" spans="1:26" ht="13.5" customHeight="1" x14ac:dyDescent="0.2">
      <c r="A71" s="106"/>
      <c r="B71" s="106"/>
      <c r="C71" s="106"/>
      <c r="D71" s="106"/>
      <c r="E71" s="106"/>
      <c r="F71" s="735"/>
      <c r="G71" s="133">
        <v>0.17</v>
      </c>
      <c r="H71" s="124">
        <v>-332575406.13931674</v>
      </c>
      <c r="I71" s="106"/>
      <c r="J71" s="735"/>
      <c r="K71" s="133">
        <v>0.17</v>
      </c>
      <c r="L71" s="124">
        <v>-445282823.48867744</v>
      </c>
      <c r="M71" s="106"/>
      <c r="N71" s="106"/>
      <c r="O71" s="106"/>
      <c r="P71" s="106"/>
      <c r="Q71" s="106"/>
      <c r="R71" s="106"/>
      <c r="S71" s="106"/>
      <c r="T71" s="106"/>
      <c r="U71" s="106"/>
      <c r="V71" s="106"/>
      <c r="W71" s="106"/>
      <c r="X71" s="106"/>
      <c r="Y71" s="106"/>
      <c r="Z71" s="106"/>
    </row>
    <row r="72" spans="1:26" ht="13.5" customHeight="1" x14ac:dyDescent="0.2">
      <c r="A72" s="106"/>
      <c r="B72" s="106"/>
      <c r="C72" s="106"/>
      <c r="D72" s="106"/>
      <c r="E72" s="106"/>
      <c r="F72" s="735"/>
      <c r="G72" s="133">
        <v>0.18</v>
      </c>
      <c r="H72" s="124">
        <v>-338377976.21582896</v>
      </c>
      <c r="I72" s="106"/>
      <c r="J72" s="735"/>
      <c r="K72" s="133">
        <v>0.18</v>
      </c>
      <c r="L72" s="124">
        <v>-445282823.48867744</v>
      </c>
      <c r="M72" s="106"/>
      <c r="N72" s="106"/>
      <c r="O72" s="106"/>
      <c r="P72" s="106"/>
      <c r="Q72" s="106"/>
      <c r="R72" s="106"/>
      <c r="S72" s="106"/>
      <c r="T72" s="106"/>
      <c r="U72" s="106"/>
      <c r="V72" s="106"/>
      <c r="W72" s="106"/>
      <c r="X72" s="106"/>
      <c r="Y72" s="106"/>
      <c r="Z72" s="106"/>
    </row>
    <row r="73" spans="1:26" ht="13.5" customHeight="1" x14ac:dyDescent="0.2">
      <c r="A73" s="106"/>
      <c r="B73" s="106"/>
      <c r="C73" s="106"/>
      <c r="D73" s="106"/>
      <c r="E73" s="106"/>
      <c r="F73" s="735"/>
      <c r="G73" s="133">
        <v>0.19</v>
      </c>
      <c r="H73" s="124">
        <v>-344180546.29234123</v>
      </c>
      <c r="I73" s="106"/>
      <c r="J73" s="735"/>
      <c r="K73" s="133">
        <v>0.19</v>
      </c>
      <c r="L73" s="124">
        <v>-445282823.48867744</v>
      </c>
      <c r="M73" s="106"/>
      <c r="N73" s="106"/>
      <c r="O73" s="106"/>
      <c r="P73" s="106"/>
      <c r="Q73" s="106"/>
      <c r="R73" s="106"/>
      <c r="S73" s="106"/>
      <c r="T73" s="106"/>
      <c r="U73" s="106"/>
      <c r="V73" s="106"/>
      <c r="W73" s="106"/>
      <c r="X73" s="106"/>
      <c r="Y73" s="106"/>
      <c r="Z73" s="106"/>
    </row>
    <row r="74" spans="1:26" ht="13.5" customHeight="1" x14ac:dyDescent="0.25">
      <c r="A74" s="106"/>
      <c r="B74" s="106"/>
      <c r="C74" s="106"/>
      <c r="D74" s="106"/>
      <c r="E74" s="106"/>
      <c r="F74" s="735"/>
      <c r="G74" s="132">
        <v>0.2</v>
      </c>
      <c r="H74" s="130">
        <v>-349983116.36885357</v>
      </c>
      <c r="I74" s="106"/>
      <c r="J74" s="735"/>
      <c r="K74" s="132">
        <v>0.2</v>
      </c>
      <c r="L74" s="130">
        <v>-445282823.48867744</v>
      </c>
      <c r="M74" s="106"/>
      <c r="N74" s="106"/>
      <c r="O74" s="106"/>
      <c r="P74" s="106"/>
      <c r="Q74" s="106"/>
      <c r="R74" s="106"/>
      <c r="S74" s="106"/>
      <c r="T74" s="106"/>
      <c r="U74" s="106"/>
      <c r="V74" s="106"/>
      <c r="W74" s="106"/>
      <c r="X74" s="106"/>
      <c r="Y74" s="106"/>
      <c r="Z74" s="106"/>
    </row>
    <row r="75" spans="1:26" ht="13.5" customHeight="1" x14ac:dyDescent="0.2">
      <c r="A75" s="106"/>
      <c r="B75" s="106"/>
      <c r="C75" s="106"/>
      <c r="D75" s="106"/>
      <c r="E75" s="106"/>
      <c r="F75" s="735"/>
      <c r="G75" s="133">
        <v>0.21</v>
      </c>
      <c r="H75" s="124">
        <v>-355785686.44536579</v>
      </c>
      <c r="I75" s="106"/>
      <c r="J75" s="735"/>
      <c r="K75" s="133">
        <v>0.21</v>
      </c>
      <c r="L75" s="124">
        <v>-445282823.48867744</v>
      </c>
      <c r="M75" s="106"/>
      <c r="N75" s="106"/>
      <c r="O75" s="106"/>
      <c r="P75" s="106"/>
      <c r="Q75" s="106"/>
      <c r="R75" s="106"/>
      <c r="S75" s="106"/>
      <c r="T75" s="106"/>
      <c r="U75" s="106"/>
      <c r="V75" s="106"/>
      <c r="W75" s="106"/>
      <c r="X75" s="106"/>
      <c r="Y75" s="106"/>
      <c r="Z75" s="106"/>
    </row>
    <row r="76" spans="1:26" ht="13.5" customHeight="1" x14ac:dyDescent="0.2">
      <c r="A76" s="106"/>
      <c r="B76" s="106"/>
      <c r="C76" s="106"/>
      <c r="D76" s="106"/>
      <c r="E76" s="106"/>
      <c r="F76" s="735"/>
      <c r="G76" s="133">
        <v>0.22</v>
      </c>
      <c r="H76" s="124">
        <v>-361588256.52187806</v>
      </c>
      <c r="I76" s="106"/>
      <c r="J76" s="735"/>
      <c r="K76" s="133">
        <v>0.22</v>
      </c>
      <c r="L76" s="124">
        <v>-445282823.48867744</v>
      </c>
      <c r="M76" s="106"/>
      <c r="N76" s="106"/>
      <c r="O76" s="106"/>
      <c r="P76" s="106"/>
      <c r="Q76" s="106"/>
      <c r="R76" s="106"/>
      <c r="S76" s="106"/>
      <c r="T76" s="106"/>
      <c r="U76" s="106"/>
      <c r="V76" s="106"/>
      <c r="W76" s="106"/>
      <c r="X76" s="106"/>
      <c r="Y76" s="106"/>
      <c r="Z76" s="106"/>
    </row>
    <row r="77" spans="1:26" ht="13.5" customHeight="1" x14ac:dyDescent="0.2">
      <c r="A77" s="106"/>
      <c r="B77" s="106"/>
      <c r="C77" s="106"/>
      <c r="D77" s="106"/>
      <c r="E77" s="106"/>
      <c r="F77" s="735"/>
      <c r="G77" s="133">
        <v>0.23</v>
      </c>
      <c r="H77" s="124">
        <v>-367390826.59839034</v>
      </c>
      <c r="I77" s="106"/>
      <c r="J77" s="735"/>
      <c r="K77" s="133">
        <v>0.23</v>
      </c>
      <c r="L77" s="124">
        <v>-445282823.48867744</v>
      </c>
      <c r="M77" s="106"/>
      <c r="N77" s="106"/>
      <c r="O77" s="106"/>
      <c r="P77" s="106"/>
      <c r="Q77" s="106"/>
      <c r="R77" s="106"/>
      <c r="S77" s="106"/>
      <c r="T77" s="106"/>
      <c r="U77" s="106"/>
      <c r="V77" s="106"/>
      <c r="W77" s="106"/>
      <c r="X77" s="106"/>
      <c r="Y77" s="106"/>
      <c r="Z77" s="106"/>
    </row>
    <row r="78" spans="1:26" ht="13.5" customHeight="1" x14ac:dyDescent="0.2">
      <c r="A78" s="106"/>
      <c r="B78" s="106"/>
      <c r="C78" s="106"/>
      <c r="D78" s="106"/>
      <c r="E78" s="106"/>
      <c r="F78" s="735"/>
      <c r="G78" s="133">
        <v>0.24</v>
      </c>
      <c r="H78" s="124">
        <v>-373193396.67490268</v>
      </c>
      <c r="I78" s="106"/>
      <c r="J78" s="735"/>
      <c r="K78" s="133">
        <v>0.24</v>
      </c>
      <c r="L78" s="124">
        <v>-445282823.48867744</v>
      </c>
      <c r="M78" s="106"/>
      <c r="N78" s="106"/>
      <c r="O78" s="106"/>
      <c r="P78" s="106"/>
      <c r="Q78" s="106"/>
      <c r="R78" s="106"/>
      <c r="S78" s="106"/>
      <c r="T78" s="106"/>
      <c r="U78" s="106"/>
      <c r="V78" s="106"/>
      <c r="W78" s="106"/>
      <c r="X78" s="106"/>
      <c r="Y78" s="106"/>
      <c r="Z78" s="106"/>
    </row>
    <row r="79" spans="1:26" ht="13.5" customHeight="1" x14ac:dyDescent="0.2">
      <c r="A79" s="106"/>
      <c r="B79" s="106"/>
      <c r="C79" s="106"/>
      <c r="D79" s="106"/>
      <c r="E79" s="106"/>
      <c r="F79" s="735"/>
      <c r="G79" s="133">
        <v>0.25</v>
      </c>
      <c r="H79" s="124">
        <v>-378995966.75141495</v>
      </c>
      <c r="I79" s="106"/>
      <c r="J79" s="735"/>
      <c r="K79" s="133">
        <v>0.25</v>
      </c>
      <c r="L79" s="124">
        <v>-445282823.48867744</v>
      </c>
      <c r="M79" s="106"/>
      <c r="N79" s="106"/>
      <c r="O79" s="106"/>
      <c r="P79" s="106"/>
      <c r="Q79" s="106"/>
      <c r="R79" s="106"/>
      <c r="S79" s="106"/>
      <c r="T79" s="106"/>
      <c r="U79" s="106"/>
      <c r="V79" s="106"/>
      <c r="W79" s="106"/>
      <c r="X79" s="106"/>
      <c r="Y79" s="106"/>
      <c r="Z79" s="106"/>
    </row>
    <row r="80" spans="1:26" ht="13.5" customHeight="1" x14ac:dyDescent="0.2">
      <c r="A80" s="106"/>
      <c r="B80" s="106"/>
      <c r="C80" s="106"/>
      <c r="D80" s="106"/>
      <c r="E80" s="106"/>
      <c r="F80" s="735"/>
      <c r="G80" s="133">
        <v>0.26</v>
      </c>
      <c r="H80" s="124">
        <v>-384798536.82792717</v>
      </c>
      <c r="I80" s="106"/>
      <c r="J80" s="735"/>
      <c r="K80" s="133">
        <v>0.26</v>
      </c>
      <c r="L80" s="124">
        <v>-445282823.48867744</v>
      </c>
      <c r="M80" s="106"/>
      <c r="N80" s="106"/>
      <c r="O80" s="106"/>
      <c r="P80" s="106"/>
      <c r="Q80" s="106"/>
      <c r="R80" s="106"/>
      <c r="S80" s="106"/>
      <c r="T80" s="106"/>
      <c r="U80" s="106"/>
      <c r="V80" s="106"/>
      <c r="W80" s="106"/>
      <c r="X80" s="106"/>
      <c r="Y80" s="106"/>
      <c r="Z80" s="106"/>
    </row>
    <row r="81" spans="1:26" ht="13.5" customHeight="1" x14ac:dyDescent="0.2">
      <c r="A81" s="106"/>
      <c r="B81" s="106"/>
      <c r="C81" s="106"/>
      <c r="D81" s="106"/>
      <c r="E81" s="106"/>
      <c r="F81" s="735"/>
      <c r="G81" s="133">
        <v>0.27</v>
      </c>
      <c r="H81" s="124">
        <v>-390601106.90443945</v>
      </c>
      <c r="I81" s="106"/>
      <c r="J81" s="735"/>
      <c r="K81" s="133">
        <v>0.27</v>
      </c>
      <c r="L81" s="124">
        <v>-445282823.48867744</v>
      </c>
      <c r="M81" s="106"/>
      <c r="N81" s="106"/>
      <c r="O81" s="106"/>
      <c r="P81" s="106"/>
      <c r="Q81" s="106"/>
      <c r="R81" s="106"/>
      <c r="S81" s="106"/>
      <c r="T81" s="106"/>
      <c r="U81" s="106"/>
      <c r="V81" s="106"/>
      <c r="W81" s="106"/>
      <c r="X81" s="106"/>
      <c r="Y81" s="106"/>
      <c r="Z81" s="106"/>
    </row>
    <row r="82" spans="1:26" ht="13.5" customHeight="1" x14ac:dyDescent="0.2">
      <c r="A82" s="106"/>
      <c r="B82" s="106"/>
      <c r="C82" s="106"/>
      <c r="D82" s="106"/>
      <c r="E82" s="106"/>
      <c r="F82" s="735"/>
      <c r="G82" s="133">
        <v>0.28000000000000003</v>
      </c>
      <c r="H82" s="124">
        <v>-396403676.98095173</v>
      </c>
      <c r="I82" s="106"/>
      <c r="J82" s="735"/>
      <c r="K82" s="133">
        <v>0.28000000000000003</v>
      </c>
      <c r="L82" s="124">
        <v>-445282823.48867744</v>
      </c>
      <c r="M82" s="106"/>
      <c r="N82" s="106"/>
      <c r="O82" s="106"/>
      <c r="P82" s="106"/>
      <c r="Q82" s="106"/>
      <c r="R82" s="106"/>
      <c r="S82" s="106"/>
      <c r="T82" s="106"/>
      <c r="U82" s="106"/>
      <c r="V82" s="106"/>
      <c r="W82" s="106"/>
      <c r="X82" s="106"/>
      <c r="Y82" s="106"/>
      <c r="Z82" s="106"/>
    </row>
    <row r="83" spans="1:26" ht="13.5" customHeight="1" x14ac:dyDescent="0.2">
      <c r="A83" s="106"/>
      <c r="B83" s="106"/>
      <c r="C83" s="106"/>
      <c r="D83" s="106"/>
      <c r="E83" s="106"/>
      <c r="F83" s="735"/>
      <c r="G83" s="133">
        <v>0.28999999999999998</v>
      </c>
      <c r="H83" s="124">
        <v>-402206247.05746406</v>
      </c>
      <c r="I83" s="106"/>
      <c r="J83" s="735"/>
      <c r="K83" s="133">
        <v>0.28999999999999998</v>
      </c>
      <c r="L83" s="124">
        <v>-445282823.48867744</v>
      </c>
      <c r="M83" s="106"/>
      <c r="N83" s="106"/>
      <c r="O83" s="106"/>
      <c r="P83" s="106"/>
      <c r="Q83" s="106"/>
      <c r="R83" s="106"/>
      <c r="S83" s="106"/>
      <c r="T83" s="106"/>
      <c r="U83" s="106"/>
      <c r="V83" s="106"/>
      <c r="W83" s="106"/>
      <c r="X83" s="106"/>
      <c r="Y83" s="106"/>
      <c r="Z83" s="106"/>
    </row>
    <row r="84" spans="1:26" ht="13.5" customHeight="1" x14ac:dyDescent="0.2">
      <c r="A84" s="106"/>
      <c r="B84" s="106"/>
      <c r="C84" s="106"/>
      <c r="D84" s="106"/>
      <c r="E84" s="106"/>
      <c r="F84" s="735"/>
      <c r="G84" s="133">
        <v>0.3</v>
      </c>
      <c r="H84" s="124">
        <v>-408008817.13397622</v>
      </c>
      <c r="I84" s="106"/>
      <c r="J84" s="735"/>
      <c r="K84" s="133">
        <v>0.3</v>
      </c>
      <c r="L84" s="124">
        <v>-445282823.48867744</v>
      </c>
      <c r="M84" s="106"/>
      <c r="N84" s="106"/>
      <c r="O84" s="106"/>
      <c r="P84" s="106"/>
      <c r="Q84" s="106"/>
      <c r="R84" s="106"/>
      <c r="S84" s="106"/>
      <c r="T84" s="106"/>
      <c r="U84" s="106"/>
      <c r="V84" s="106"/>
      <c r="W84" s="106"/>
      <c r="X84" s="106"/>
      <c r="Y84" s="106"/>
      <c r="Z84" s="106"/>
    </row>
    <row r="85" spans="1:26" ht="13.5" customHeight="1" x14ac:dyDescent="0.2">
      <c r="A85" s="106"/>
      <c r="B85" s="106"/>
      <c r="C85" s="106"/>
      <c r="D85" s="106"/>
      <c r="E85" s="106"/>
      <c r="F85" s="735"/>
      <c r="G85" s="133">
        <v>0.31</v>
      </c>
      <c r="H85" s="124">
        <v>-413811387.21048868</v>
      </c>
      <c r="I85" s="106"/>
      <c r="J85" s="735"/>
      <c r="K85" s="133">
        <v>0.31</v>
      </c>
      <c r="L85" s="124">
        <v>-445282823.48867744</v>
      </c>
      <c r="M85" s="106"/>
      <c r="N85" s="106"/>
      <c r="O85" s="106"/>
      <c r="P85" s="106"/>
      <c r="Q85" s="106"/>
      <c r="R85" s="106"/>
      <c r="S85" s="106"/>
      <c r="T85" s="106"/>
      <c r="U85" s="106"/>
      <c r="V85" s="106"/>
      <c r="W85" s="106"/>
      <c r="X85" s="106"/>
      <c r="Y85" s="106"/>
      <c r="Z85" s="106"/>
    </row>
    <row r="86" spans="1:26" ht="13.5" customHeight="1" x14ac:dyDescent="0.2">
      <c r="A86" s="106"/>
      <c r="B86" s="106"/>
      <c r="C86" s="106"/>
      <c r="D86" s="106"/>
      <c r="E86" s="106"/>
      <c r="F86" s="735"/>
      <c r="G86" s="133">
        <v>0.32</v>
      </c>
      <c r="H86" s="124">
        <v>-419613957.28700072</v>
      </c>
      <c r="I86" s="106"/>
      <c r="J86" s="735"/>
      <c r="K86" s="133">
        <v>0.32</v>
      </c>
      <c r="L86" s="124">
        <v>-445282823.48867744</v>
      </c>
      <c r="M86" s="106"/>
      <c r="N86" s="106"/>
      <c r="O86" s="106"/>
      <c r="P86" s="106"/>
      <c r="Q86" s="106"/>
      <c r="R86" s="106"/>
      <c r="S86" s="106"/>
      <c r="T86" s="106"/>
      <c r="U86" s="106"/>
      <c r="V86" s="106"/>
      <c r="W86" s="106"/>
      <c r="X86" s="106"/>
      <c r="Y86" s="106"/>
      <c r="Z86" s="106"/>
    </row>
    <row r="87" spans="1:26" ht="13.5" customHeight="1" x14ac:dyDescent="0.2">
      <c r="A87" s="106"/>
      <c r="B87" s="106"/>
      <c r="C87" s="106"/>
      <c r="D87" s="106"/>
      <c r="E87" s="106"/>
      <c r="F87" s="735"/>
      <c r="G87" s="133">
        <v>0.33</v>
      </c>
      <c r="H87" s="124">
        <v>-425416527.36351323</v>
      </c>
      <c r="I87" s="106"/>
      <c r="J87" s="735"/>
      <c r="K87" s="133">
        <v>0.33</v>
      </c>
      <c r="L87" s="124">
        <v>-445282823.48867744</v>
      </c>
      <c r="M87" s="106"/>
      <c r="N87" s="106"/>
      <c r="O87" s="106"/>
      <c r="P87" s="106"/>
      <c r="Q87" s="106"/>
      <c r="R87" s="106"/>
      <c r="S87" s="106"/>
      <c r="T87" s="106"/>
      <c r="U87" s="106"/>
      <c r="V87" s="106"/>
      <c r="W87" s="106"/>
      <c r="X87" s="106"/>
      <c r="Y87" s="106"/>
      <c r="Z87" s="106"/>
    </row>
    <row r="88" spans="1:26" ht="13.5" customHeight="1" x14ac:dyDescent="0.2">
      <c r="A88" s="106"/>
      <c r="B88" s="106"/>
      <c r="C88" s="106"/>
      <c r="D88" s="106"/>
      <c r="E88" s="106"/>
      <c r="F88" s="735"/>
      <c r="G88" s="133">
        <v>0.34</v>
      </c>
      <c r="H88" s="124">
        <v>-431219097.44002545</v>
      </c>
      <c r="I88" s="106"/>
      <c r="J88" s="735"/>
      <c r="K88" s="133">
        <v>0.34</v>
      </c>
      <c r="L88" s="124">
        <v>-445282823.48867744</v>
      </c>
      <c r="M88" s="106"/>
      <c r="N88" s="106"/>
      <c r="O88" s="106"/>
      <c r="P88" s="106"/>
      <c r="Q88" s="106"/>
      <c r="R88" s="106"/>
      <c r="S88" s="106"/>
      <c r="T88" s="106"/>
      <c r="U88" s="106"/>
      <c r="V88" s="106"/>
      <c r="W88" s="106"/>
      <c r="X88" s="106"/>
      <c r="Y88" s="106"/>
      <c r="Z88" s="106"/>
    </row>
    <row r="89" spans="1:26" ht="13.5" customHeight="1" x14ac:dyDescent="0.2">
      <c r="A89" s="106"/>
      <c r="B89" s="106"/>
      <c r="C89" s="106"/>
      <c r="D89" s="106"/>
      <c r="E89" s="106"/>
      <c r="F89" s="735"/>
      <c r="G89" s="133">
        <v>0.35</v>
      </c>
      <c r="H89" s="124">
        <v>-437021667.51653767</v>
      </c>
      <c r="I89" s="106"/>
      <c r="J89" s="735"/>
      <c r="K89" s="133">
        <v>0.35</v>
      </c>
      <c r="L89" s="124">
        <v>-445282823.48867744</v>
      </c>
      <c r="M89" s="106"/>
      <c r="N89" s="106"/>
      <c r="O89" s="106"/>
      <c r="P89" s="106"/>
      <c r="Q89" s="106"/>
      <c r="R89" s="106"/>
      <c r="S89" s="106"/>
      <c r="T89" s="106"/>
      <c r="U89" s="106"/>
      <c r="V89" s="106"/>
      <c r="W89" s="106"/>
      <c r="X89" s="106"/>
      <c r="Y89" s="106"/>
      <c r="Z89" s="106"/>
    </row>
    <row r="90" spans="1:26" ht="13.5" customHeight="1" x14ac:dyDescent="0.2">
      <c r="A90" s="106"/>
      <c r="B90" s="106"/>
      <c r="C90" s="106"/>
      <c r="D90" s="106"/>
      <c r="E90" s="106"/>
      <c r="F90" s="735"/>
      <c r="G90" s="133">
        <v>0.36</v>
      </c>
      <c r="H90" s="124">
        <v>-442824237.59304994</v>
      </c>
      <c r="I90" s="106"/>
      <c r="J90" s="735"/>
      <c r="K90" s="133">
        <v>0.36</v>
      </c>
      <c r="L90" s="124">
        <v>-445282823.48867744</v>
      </c>
      <c r="M90" s="106"/>
      <c r="N90" s="106"/>
      <c r="O90" s="106"/>
      <c r="P90" s="106"/>
      <c r="Q90" s="106"/>
      <c r="R90" s="106"/>
      <c r="S90" s="106"/>
      <c r="T90" s="106"/>
      <c r="U90" s="106"/>
      <c r="V90" s="106"/>
      <c r="W90" s="106"/>
      <c r="X90" s="106"/>
      <c r="Y90" s="106"/>
      <c r="Z90" s="106"/>
    </row>
    <row r="91" spans="1:26" ht="13.5" customHeight="1" x14ac:dyDescent="0.2">
      <c r="A91" s="106"/>
      <c r="B91" s="106"/>
      <c r="C91" s="106"/>
      <c r="D91" s="106"/>
      <c r="E91" s="106"/>
      <c r="F91" s="735"/>
      <c r="G91" s="133">
        <v>0.37</v>
      </c>
      <c r="H91" s="124">
        <v>-448626807.66956234</v>
      </c>
      <c r="I91" s="106"/>
      <c r="J91" s="735"/>
      <c r="K91" s="133">
        <v>0.37</v>
      </c>
      <c r="L91" s="124">
        <v>-445282823.48867744</v>
      </c>
      <c r="M91" s="106"/>
      <c r="N91" s="106"/>
      <c r="O91" s="106"/>
      <c r="P91" s="106"/>
      <c r="Q91" s="106"/>
      <c r="R91" s="106"/>
      <c r="S91" s="106"/>
      <c r="T91" s="106"/>
      <c r="U91" s="106"/>
      <c r="V91" s="106"/>
      <c r="W91" s="106"/>
      <c r="X91" s="106"/>
      <c r="Y91" s="106"/>
      <c r="Z91" s="106"/>
    </row>
    <row r="92" spans="1:26" ht="13.5" customHeight="1" x14ac:dyDescent="0.2">
      <c r="A92" s="106"/>
      <c r="B92" s="106"/>
      <c r="C92" s="106"/>
      <c r="D92" s="106"/>
      <c r="E92" s="106"/>
      <c r="F92" s="735"/>
      <c r="G92" s="133">
        <v>0.38</v>
      </c>
      <c r="H92" s="124">
        <v>-454429377.74607444</v>
      </c>
      <c r="I92" s="106"/>
      <c r="J92" s="735"/>
      <c r="K92" s="133">
        <v>0.38</v>
      </c>
      <c r="L92" s="124">
        <v>-445282823.48867744</v>
      </c>
      <c r="M92" s="106"/>
      <c r="N92" s="106"/>
      <c r="O92" s="106"/>
      <c r="P92" s="106"/>
      <c r="Q92" s="106"/>
      <c r="R92" s="106"/>
      <c r="S92" s="106"/>
      <c r="T92" s="106"/>
      <c r="U92" s="106"/>
      <c r="V92" s="106"/>
      <c r="W92" s="106"/>
      <c r="X92" s="106"/>
      <c r="Y92" s="106"/>
      <c r="Z92" s="106"/>
    </row>
    <row r="93" spans="1:26" ht="13.5" customHeight="1" x14ac:dyDescent="0.2">
      <c r="A93" s="106"/>
      <c r="B93" s="106"/>
      <c r="C93" s="106"/>
      <c r="D93" s="106"/>
      <c r="E93" s="106"/>
      <c r="F93" s="735"/>
      <c r="G93" s="133">
        <v>0.38999999999999901</v>
      </c>
      <c r="H93" s="124">
        <v>-460231947.82258636</v>
      </c>
      <c r="I93" s="106"/>
      <c r="J93" s="735"/>
      <c r="K93" s="133">
        <v>0.38999999999999901</v>
      </c>
      <c r="L93" s="124">
        <v>-445282823.48867744</v>
      </c>
      <c r="M93" s="106"/>
      <c r="N93" s="106"/>
      <c r="O93" s="106"/>
      <c r="P93" s="106"/>
      <c r="Q93" s="106"/>
      <c r="R93" s="106"/>
      <c r="S93" s="106"/>
      <c r="T93" s="106"/>
      <c r="U93" s="106"/>
      <c r="V93" s="106"/>
      <c r="W93" s="106"/>
      <c r="X93" s="106"/>
      <c r="Y93" s="106"/>
      <c r="Z93" s="106"/>
    </row>
    <row r="94" spans="1:26" ht="13.5" customHeight="1" x14ac:dyDescent="0.2">
      <c r="A94" s="106"/>
      <c r="B94" s="106"/>
      <c r="C94" s="106"/>
      <c r="D94" s="106"/>
      <c r="E94" s="106"/>
      <c r="F94" s="735"/>
      <c r="G94" s="133">
        <v>0.39999999999999902</v>
      </c>
      <c r="H94" s="124">
        <v>-466034517.89909852</v>
      </c>
      <c r="I94" s="106"/>
      <c r="J94" s="735"/>
      <c r="K94" s="133">
        <v>0.39999999999999902</v>
      </c>
      <c r="L94" s="124">
        <v>-445282823.48867744</v>
      </c>
      <c r="M94" s="106"/>
      <c r="N94" s="106"/>
      <c r="O94" s="106"/>
      <c r="P94" s="106"/>
      <c r="Q94" s="106"/>
      <c r="R94" s="106"/>
      <c r="S94" s="106"/>
      <c r="T94" s="106"/>
      <c r="U94" s="106"/>
      <c r="V94" s="106"/>
      <c r="W94" s="106"/>
      <c r="X94" s="106"/>
      <c r="Y94" s="106"/>
      <c r="Z94" s="106"/>
    </row>
    <row r="95" spans="1:26" ht="13.5" customHeight="1" x14ac:dyDescent="0.2">
      <c r="A95" s="106"/>
      <c r="B95" s="106"/>
      <c r="C95" s="106"/>
      <c r="D95" s="106"/>
      <c r="E95" s="106"/>
      <c r="F95" s="735"/>
      <c r="G95" s="133">
        <v>0.40999999999999898</v>
      </c>
      <c r="H95" s="124">
        <v>-471837087.97561073</v>
      </c>
      <c r="I95" s="106"/>
      <c r="J95" s="735"/>
      <c r="K95" s="133">
        <v>0.40999999999999898</v>
      </c>
      <c r="L95" s="124">
        <v>-445282823.48867744</v>
      </c>
      <c r="M95" s="106"/>
      <c r="N95" s="106"/>
      <c r="O95" s="106"/>
      <c r="P95" s="106"/>
      <c r="Q95" s="106"/>
      <c r="R95" s="106"/>
      <c r="S95" s="106"/>
      <c r="T95" s="106"/>
      <c r="U95" s="106"/>
      <c r="V95" s="106"/>
      <c r="W95" s="106"/>
      <c r="X95" s="106"/>
      <c r="Y95" s="106"/>
      <c r="Z95" s="106"/>
    </row>
    <row r="96" spans="1:26" ht="13.5" customHeight="1" x14ac:dyDescent="0.2">
      <c r="A96" s="106"/>
      <c r="B96" s="106"/>
      <c r="C96" s="106"/>
      <c r="D96" s="106"/>
      <c r="E96" s="106"/>
      <c r="F96" s="735"/>
      <c r="G96" s="133">
        <v>0.41999999999999899</v>
      </c>
      <c r="H96" s="124">
        <v>-477639658.05212307</v>
      </c>
      <c r="I96" s="106"/>
      <c r="J96" s="735"/>
      <c r="K96" s="133">
        <v>0.41999999999999899</v>
      </c>
      <c r="L96" s="124">
        <v>-445282823.48867744</v>
      </c>
      <c r="M96" s="106"/>
      <c r="N96" s="106"/>
      <c r="O96" s="106"/>
      <c r="P96" s="106"/>
      <c r="Q96" s="106"/>
      <c r="R96" s="106"/>
      <c r="S96" s="106"/>
      <c r="T96" s="106"/>
      <c r="U96" s="106"/>
      <c r="V96" s="106"/>
      <c r="W96" s="106"/>
      <c r="X96" s="106"/>
      <c r="Y96" s="106"/>
      <c r="Z96" s="106"/>
    </row>
    <row r="97" spans="1:26" ht="13.5" customHeight="1" x14ac:dyDescent="0.2">
      <c r="A97" s="106"/>
      <c r="B97" s="106"/>
      <c r="C97" s="106"/>
      <c r="D97" s="106"/>
      <c r="E97" s="106"/>
      <c r="F97" s="735"/>
      <c r="G97" s="133">
        <v>0.42999999999999899</v>
      </c>
      <c r="H97" s="124">
        <v>-483442228.12863529</v>
      </c>
      <c r="I97" s="106"/>
      <c r="J97" s="735"/>
      <c r="K97" s="133">
        <v>0.42999999999999899</v>
      </c>
      <c r="L97" s="124">
        <v>-445282823.48867744</v>
      </c>
      <c r="M97" s="106"/>
      <c r="N97" s="106"/>
      <c r="O97" s="106"/>
      <c r="P97" s="106"/>
      <c r="Q97" s="106"/>
      <c r="R97" s="106"/>
      <c r="S97" s="106"/>
      <c r="T97" s="106"/>
      <c r="U97" s="106"/>
      <c r="V97" s="106"/>
      <c r="W97" s="106"/>
      <c r="X97" s="106"/>
      <c r="Y97" s="106"/>
      <c r="Z97" s="106"/>
    </row>
    <row r="98" spans="1:26" ht="13.5" customHeight="1" x14ac:dyDescent="0.2">
      <c r="A98" s="106"/>
      <c r="B98" s="106"/>
      <c r="C98" s="106"/>
      <c r="D98" s="106"/>
      <c r="E98" s="106"/>
      <c r="F98" s="735"/>
      <c r="G98" s="133">
        <v>0.439999999999999</v>
      </c>
      <c r="H98" s="124">
        <v>-489244798.20514756</v>
      </c>
      <c r="I98" s="106"/>
      <c r="J98" s="735"/>
      <c r="K98" s="133">
        <v>0.439999999999999</v>
      </c>
      <c r="L98" s="124">
        <v>-445282823.48867744</v>
      </c>
      <c r="M98" s="106"/>
      <c r="N98" s="106"/>
      <c r="O98" s="106"/>
      <c r="P98" s="106"/>
      <c r="Q98" s="106"/>
      <c r="R98" s="106"/>
      <c r="S98" s="106"/>
      <c r="T98" s="106"/>
      <c r="U98" s="106"/>
      <c r="V98" s="106"/>
      <c r="W98" s="106"/>
      <c r="X98" s="106"/>
      <c r="Y98" s="106"/>
      <c r="Z98" s="106"/>
    </row>
    <row r="99" spans="1:26" ht="13.5" customHeight="1" x14ac:dyDescent="0.2">
      <c r="A99" s="106"/>
      <c r="B99" s="106"/>
      <c r="C99" s="106"/>
      <c r="D99" s="106"/>
      <c r="E99" s="106"/>
      <c r="F99" s="735"/>
      <c r="G99" s="133">
        <v>0.44999999999999901</v>
      </c>
      <c r="H99" s="124">
        <v>-495047368.28165984</v>
      </c>
      <c r="I99" s="106"/>
      <c r="J99" s="735"/>
      <c r="K99" s="133">
        <v>0.44999999999999901</v>
      </c>
      <c r="L99" s="124">
        <v>-445282823.48867744</v>
      </c>
      <c r="M99" s="106"/>
      <c r="N99" s="106"/>
      <c r="O99" s="106"/>
      <c r="P99" s="106"/>
      <c r="Q99" s="106"/>
      <c r="R99" s="106"/>
      <c r="S99" s="106"/>
      <c r="T99" s="106"/>
      <c r="U99" s="106"/>
      <c r="V99" s="106"/>
      <c r="W99" s="106"/>
      <c r="X99" s="106"/>
      <c r="Y99" s="106"/>
      <c r="Z99" s="106"/>
    </row>
    <row r="100" spans="1:26" ht="13.5" customHeight="1" x14ac:dyDescent="0.2">
      <c r="A100" s="106"/>
      <c r="B100" s="106"/>
      <c r="C100" s="106"/>
      <c r="D100" s="106"/>
      <c r="E100" s="106"/>
      <c r="F100" s="735"/>
      <c r="G100" s="133">
        <v>0.45999999999999902</v>
      </c>
      <c r="H100" s="124">
        <v>-500849938.35817218</v>
      </c>
      <c r="I100" s="106"/>
      <c r="J100" s="735"/>
      <c r="K100" s="133">
        <v>0.45999999999999902</v>
      </c>
      <c r="L100" s="124">
        <v>-445282823.48867744</v>
      </c>
      <c r="M100" s="106"/>
      <c r="N100" s="106"/>
      <c r="O100" s="106"/>
      <c r="P100" s="106"/>
      <c r="Q100" s="106"/>
      <c r="R100" s="106"/>
      <c r="S100" s="106"/>
      <c r="T100" s="106"/>
      <c r="U100" s="106"/>
      <c r="V100" s="106"/>
      <c r="W100" s="106"/>
      <c r="X100" s="106"/>
      <c r="Y100" s="106"/>
      <c r="Z100" s="106"/>
    </row>
    <row r="101" spans="1:26" ht="13.5" customHeight="1" x14ac:dyDescent="0.2">
      <c r="A101" s="106"/>
      <c r="B101" s="106"/>
      <c r="C101" s="106"/>
      <c r="D101" s="106"/>
      <c r="E101" s="106"/>
      <c r="F101" s="735"/>
      <c r="G101" s="133">
        <v>0.46999999999999897</v>
      </c>
      <c r="H101" s="124">
        <v>-506652508.4346844</v>
      </c>
      <c r="I101" s="106"/>
      <c r="J101" s="735"/>
      <c r="K101" s="133">
        <v>0.46999999999999897</v>
      </c>
      <c r="L101" s="124">
        <v>-445282823.48867744</v>
      </c>
      <c r="M101" s="106"/>
      <c r="N101" s="106"/>
      <c r="O101" s="106"/>
      <c r="P101" s="106"/>
      <c r="Q101" s="106"/>
      <c r="R101" s="106"/>
      <c r="S101" s="106"/>
      <c r="T101" s="106"/>
      <c r="U101" s="106"/>
      <c r="V101" s="106"/>
      <c r="W101" s="106"/>
      <c r="X101" s="106"/>
      <c r="Y101" s="106"/>
      <c r="Z101" s="106"/>
    </row>
    <row r="102" spans="1:26" ht="13.5" customHeight="1" x14ac:dyDescent="0.2">
      <c r="A102" s="106"/>
      <c r="B102" s="106"/>
      <c r="C102" s="106"/>
      <c r="D102" s="106"/>
      <c r="E102" s="106"/>
      <c r="F102" s="735"/>
      <c r="G102" s="133">
        <v>0.47999999999999898</v>
      </c>
      <c r="H102" s="124">
        <v>-512455078.51119667</v>
      </c>
      <c r="I102" s="106"/>
      <c r="J102" s="735"/>
      <c r="K102" s="133">
        <v>0.47999999999999898</v>
      </c>
      <c r="L102" s="124">
        <v>-445282823.48867744</v>
      </c>
      <c r="M102" s="106"/>
      <c r="N102" s="106"/>
      <c r="O102" s="106"/>
      <c r="P102" s="106"/>
      <c r="Q102" s="106"/>
      <c r="R102" s="106"/>
      <c r="S102" s="106"/>
      <c r="T102" s="106"/>
      <c r="U102" s="106"/>
      <c r="V102" s="106"/>
      <c r="W102" s="106"/>
      <c r="X102" s="106"/>
      <c r="Y102" s="106"/>
      <c r="Z102" s="106"/>
    </row>
    <row r="103" spans="1:26" ht="13.5" customHeight="1" x14ac:dyDescent="0.2">
      <c r="A103" s="106"/>
      <c r="B103" s="106"/>
      <c r="C103" s="106"/>
      <c r="D103" s="106"/>
      <c r="E103" s="106"/>
      <c r="F103" s="735"/>
      <c r="G103" s="133">
        <v>0.48999999999999899</v>
      </c>
      <c r="H103" s="124">
        <v>-518257648.58770907</v>
      </c>
      <c r="I103" s="106"/>
      <c r="J103" s="735"/>
      <c r="K103" s="133">
        <v>0.48999999999999899</v>
      </c>
      <c r="L103" s="124">
        <v>-445282823.48867744</v>
      </c>
      <c r="M103" s="106"/>
      <c r="N103" s="106"/>
      <c r="O103" s="106"/>
      <c r="P103" s="106"/>
      <c r="Q103" s="106"/>
      <c r="R103" s="106"/>
      <c r="S103" s="106"/>
      <c r="T103" s="106"/>
      <c r="U103" s="106"/>
      <c r="V103" s="106"/>
      <c r="W103" s="106"/>
      <c r="X103" s="106"/>
      <c r="Y103" s="106"/>
      <c r="Z103" s="106"/>
    </row>
    <row r="104" spans="1:26" ht="13.5" customHeight="1" x14ac:dyDescent="0.2">
      <c r="A104" s="106"/>
      <c r="B104" s="106"/>
      <c r="C104" s="106"/>
      <c r="D104" s="106"/>
      <c r="E104" s="106"/>
      <c r="F104" s="740"/>
      <c r="G104" s="133">
        <v>0.499999999999999</v>
      </c>
      <c r="H104" s="124">
        <v>-524060218.66422129</v>
      </c>
      <c r="I104" s="106"/>
      <c r="J104" s="740"/>
      <c r="K104" s="133">
        <v>0.499999999999999</v>
      </c>
      <c r="L104" s="124">
        <v>-445282823.48867744</v>
      </c>
      <c r="M104" s="106"/>
      <c r="N104" s="106"/>
      <c r="O104" s="106"/>
      <c r="P104" s="106"/>
      <c r="Q104" s="106"/>
      <c r="R104" s="106"/>
      <c r="S104" s="106"/>
      <c r="T104" s="106"/>
      <c r="U104" s="106"/>
      <c r="V104" s="106"/>
      <c r="W104" s="106"/>
      <c r="X104" s="106"/>
      <c r="Y104" s="106"/>
      <c r="Z104" s="106"/>
    </row>
    <row r="105" spans="1:26" ht="13.5" customHeight="1" x14ac:dyDescent="0.2">
      <c r="A105" s="106"/>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row>
    <row r="106" spans="1:26" ht="13.5" customHeight="1" x14ac:dyDescent="0.25">
      <c r="A106" s="106"/>
      <c r="B106" s="106"/>
      <c r="C106" s="106"/>
      <c r="D106" s="106"/>
      <c r="E106" s="106"/>
      <c r="F106" s="107" t="s">
        <v>104</v>
      </c>
      <c r="G106" s="107"/>
      <c r="H106" s="107"/>
      <c r="I106" s="107"/>
      <c r="J106" s="107" t="s">
        <v>104</v>
      </c>
      <c r="K106" s="106"/>
      <c r="L106" s="106"/>
      <c r="M106" s="106"/>
      <c r="N106" s="106"/>
      <c r="O106" s="106"/>
      <c r="P106" s="106"/>
      <c r="Q106" s="106"/>
      <c r="R106" s="106"/>
      <c r="S106" s="106"/>
      <c r="T106" s="106"/>
      <c r="U106" s="106"/>
      <c r="V106" s="106"/>
      <c r="W106" s="106"/>
      <c r="X106" s="106"/>
      <c r="Y106" s="106"/>
      <c r="Z106" s="106"/>
    </row>
    <row r="107" spans="1:26" ht="13.5" customHeight="1" x14ac:dyDescent="0.2">
      <c r="A107" s="106"/>
      <c r="B107" s="106"/>
      <c r="C107" s="106"/>
      <c r="D107" s="106"/>
      <c r="E107" s="106"/>
      <c r="F107" s="109"/>
      <c r="G107" s="110"/>
      <c r="H107" s="135">
        <f>$B$16</f>
        <v>-349209860.35524708</v>
      </c>
      <c r="I107" s="106"/>
      <c r="J107" s="109"/>
      <c r="K107" s="110"/>
      <c r="L107" s="112">
        <f>$B$17</f>
        <v>-445282823.48867738</v>
      </c>
      <c r="M107" s="106"/>
      <c r="N107" s="106"/>
      <c r="O107" s="106"/>
      <c r="P107" s="106"/>
      <c r="Q107" s="106"/>
      <c r="R107" s="106"/>
      <c r="S107" s="106"/>
      <c r="T107" s="106"/>
      <c r="U107" s="106"/>
      <c r="V107" s="106"/>
      <c r="W107" s="106"/>
      <c r="X107" s="106"/>
      <c r="Y107" s="106"/>
      <c r="Z107" s="106"/>
    </row>
    <row r="108" spans="1:26" ht="13.5" customHeight="1" x14ac:dyDescent="0.2">
      <c r="A108" s="106"/>
      <c r="B108" s="106"/>
      <c r="C108" s="106"/>
      <c r="D108" s="106"/>
      <c r="E108" s="106"/>
      <c r="F108" s="747" t="s">
        <v>105</v>
      </c>
      <c r="G108" s="113">
        <v>0.01</v>
      </c>
      <c r="H108" s="124">
        <v>-331722901.05018443</v>
      </c>
      <c r="I108" s="106"/>
      <c r="J108" s="747" t="s">
        <v>105</v>
      </c>
      <c r="K108" s="113">
        <v>0.01</v>
      </c>
      <c r="L108" s="124">
        <v>-325003599.33665526</v>
      </c>
      <c r="M108" s="106"/>
      <c r="N108" s="106"/>
      <c r="O108" s="106"/>
      <c r="P108" s="106"/>
      <c r="Q108" s="106"/>
      <c r="R108" s="106"/>
      <c r="S108" s="106"/>
      <c r="T108" s="106"/>
      <c r="U108" s="106"/>
      <c r="V108" s="106"/>
      <c r="W108" s="106"/>
      <c r="X108" s="106"/>
      <c r="Y108" s="106"/>
      <c r="Z108" s="106"/>
    </row>
    <row r="109" spans="1:26" ht="13.5" customHeight="1" x14ac:dyDescent="0.25">
      <c r="A109" s="106"/>
      <c r="B109" s="106"/>
      <c r="C109" s="106"/>
      <c r="D109" s="106"/>
      <c r="E109" s="106"/>
      <c r="F109" s="735"/>
      <c r="G109" s="117">
        <v>0.02</v>
      </c>
      <c r="H109" s="130">
        <v>-365952412.1448645</v>
      </c>
      <c r="I109" s="106"/>
      <c r="J109" s="735"/>
      <c r="K109" s="117">
        <v>0.02</v>
      </c>
      <c r="L109" s="130">
        <v>-445432932.14793164</v>
      </c>
      <c r="M109" s="106"/>
      <c r="N109" s="106"/>
      <c r="O109" s="106"/>
      <c r="P109" s="106"/>
      <c r="Q109" s="106"/>
      <c r="R109" s="106"/>
      <c r="S109" s="106"/>
      <c r="T109" s="106"/>
      <c r="U109" s="106"/>
      <c r="V109" s="106"/>
      <c r="W109" s="106"/>
      <c r="X109" s="106"/>
      <c r="Y109" s="106"/>
      <c r="Z109" s="106"/>
    </row>
    <row r="110" spans="1:26" ht="13.5" customHeight="1" x14ac:dyDescent="0.2">
      <c r="A110" s="106"/>
      <c r="B110" s="106"/>
      <c r="C110" s="106"/>
      <c r="D110" s="106"/>
      <c r="E110" s="106"/>
      <c r="F110" s="735"/>
      <c r="G110" s="113">
        <v>0.03</v>
      </c>
      <c r="H110" s="124">
        <v>-423626287.90287411</v>
      </c>
      <c r="I110" s="106"/>
      <c r="J110" s="735"/>
      <c r="K110" s="113">
        <v>0.03</v>
      </c>
      <c r="L110" s="124">
        <v>-650976677.46422946</v>
      </c>
      <c r="M110" s="106"/>
      <c r="N110" s="106"/>
      <c r="O110" s="106"/>
      <c r="P110" s="106"/>
      <c r="Q110" s="106"/>
      <c r="R110" s="106"/>
      <c r="S110" s="106"/>
      <c r="T110" s="106"/>
      <c r="U110" s="106"/>
      <c r="V110" s="106"/>
      <c r="W110" s="106"/>
      <c r="X110" s="106"/>
      <c r="Y110" s="106"/>
      <c r="Z110" s="106"/>
    </row>
    <row r="111" spans="1:26" ht="13.5" customHeight="1" x14ac:dyDescent="0.2">
      <c r="A111" s="106"/>
      <c r="B111" s="106"/>
      <c r="C111" s="106"/>
      <c r="D111" s="106"/>
      <c r="E111" s="106"/>
      <c r="F111" s="735"/>
      <c r="G111" s="113">
        <v>0.04</v>
      </c>
      <c r="H111" s="124">
        <v>-526700913.20298409</v>
      </c>
      <c r="I111" s="106"/>
      <c r="J111" s="735"/>
      <c r="K111" s="113">
        <v>0.04</v>
      </c>
      <c r="L111" s="124">
        <v>-1021425761.6372684</v>
      </c>
      <c r="M111" s="106"/>
      <c r="N111" s="106"/>
      <c r="O111" s="106"/>
      <c r="P111" s="106"/>
      <c r="Q111" s="106"/>
      <c r="R111" s="106"/>
      <c r="S111" s="106"/>
      <c r="T111" s="106"/>
      <c r="U111" s="106"/>
      <c r="V111" s="106"/>
      <c r="W111" s="106"/>
      <c r="X111" s="106"/>
      <c r="Y111" s="106"/>
      <c r="Z111" s="106"/>
    </row>
    <row r="112" spans="1:26" ht="13.5" customHeight="1" x14ac:dyDescent="0.2">
      <c r="A112" s="106"/>
      <c r="B112" s="106"/>
      <c r="C112" s="106"/>
      <c r="D112" s="106"/>
      <c r="E112" s="106"/>
      <c r="F112" s="735"/>
      <c r="G112" s="113">
        <v>0.05</v>
      </c>
      <c r="H112" s="124">
        <v>-720722131.37942183</v>
      </c>
      <c r="I112" s="106"/>
      <c r="J112" s="735"/>
      <c r="K112" s="113">
        <v>0.05</v>
      </c>
      <c r="L112" s="124">
        <v>-1722302193.6290734</v>
      </c>
      <c r="M112" s="106"/>
      <c r="N112" s="106"/>
      <c r="O112" s="106"/>
      <c r="P112" s="106"/>
      <c r="Q112" s="106"/>
      <c r="R112" s="106"/>
      <c r="S112" s="106"/>
      <c r="T112" s="106"/>
      <c r="U112" s="106"/>
      <c r="V112" s="106"/>
      <c r="W112" s="106"/>
      <c r="X112" s="106"/>
      <c r="Y112" s="106"/>
      <c r="Z112" s="106"/>
    </row>
    <row r="113" spans="1:26" ht="13.5" customHeight="1" x14ac:dyDescent="0.2">
      <c r="A113" s="106"/>
      <c r="B113" s="106"/>
      <c r="C113" s="106"/>
      <c r="D113" s="106"/>
      <c r="E113" s="106"/>
      <c r="F113" s="735"/>
      <c r="G113" s="113">
        <v>0.06</v>
      </c>
      <c r="H113" s="124">
        <v>-1101973442.9443092</v>
      </c>
      <c r="I113" s="106"/>
      <c r="J113" s="735"/>
      <c r="K113" s="113">
        <v>0.06</v>
      </c>
      <c r="L113" s="124">
        <v>-3103516404.4911289</v>
      </c>
      <c r="M113" s="106"/>
      <c r="N113" s="106"/>
      <c r="O113" s="106"/>
      <c r="P113" s="106"/>
      <c r="Q113" s="106"/>
      <c r="R113" s="106"/>
      <c r="S113" s="106"/>
      <c r="T113" s="106"/>
      <c r="U113" s="106"/>
      <c r="V113" s="106"/>
      <c r="W113" s="106"/>
      <c r="X113" s="106"/>
      <c r="Y113" s="106"/>
      <c r="Z113" s="106"/>
    </row>
    <row r="114" spans="1:26" ht="13.5" customHeight="1" x14ac:dyDescent="0.2">
      <c r="A114" s="106"/>
      <c r="B114" s="106"/>
      <c r="C114" s="106"/>
      <c r="D114" s="106"/>
      <c r="E114" s="106"/>
      <c r="F114" s="735"/>
      <c r="G114" s="113">
        <v>7.0000000000000007E-2</v>
      </c>
      <c r="H114" s="124">
        <v>-1876957608.1573822</v>
      </c>
      <c r="I114" s="106"/>
      <c r="J114" s="735"/>
      <c r="K114" s="113">
        <v>7.0000000000000007E-2</v>
      </c>
      <c r="L114" s="124">
        <v>-5915514178.8804712</v>
      </c>
      <c r="M114" s="106"/>
      <c r="N114" s="106"/>
      <c r="O114" s="106"/>
      <c r="P114" s="106"/>
      <c r="Q114" s="106"/>
      <c r="R114" s="106"/>
      <c r="S114" s="106"/>
      <c r="T114" s="106"/>
      <c r="U114" s="106"/>
      <c r="V114" s="106"/>
      <c r="W114" s="106"/>
      <c r="X114" s="106"/>
      <c r="Y114" s="106"/>
      <c r="Z114" s="106"/>
    </row>
    <row r="115" spans="1:26" ht="13.5" customHeight="1" x14ac:dyDescent="0.2">
      <c r="A115" s="106"/>
      <c r="B115" s="106"/>
      <c r="C115" s="106"/>
      <c r="D115" s="106"/>
      <c r="E115" s="106"/>
      <c r="F115" s="735"/>
      <c r="G115" s="113">
        <v>0.08</v>
      </c>
      <c r="H115" s="124">
        <v>-3493313781.8762245</v>
      </c>
      <c r="I115" s="106"/>
      <c r="J115" s="735"/>
      <c r="K115" s="113">
        <v>0.08</v>
      </c>
      <c r="L115" s="124">
        <v>-11784984688.532621</v>
      </c>
      <c r="M115" s="106"/>
      <c r="N115" s="106"/>
      <c r="O115" s="106"/>
      <c r="P115" s="106"/>
      <c r="Q115" s="106"/>
      <c r="R115" s="106"/>
      <c r="S115" s="106"/>
      <c r="T115" s="106"/>
      <c r="U115" s="106"/>
      <c r="V115" s="106"/>
      <c r="W115" s="106"/>
      <c r="X115" s="106"/>
      <c r="Y115" s="106"/>
      <c r="Z115" s="106"/>
    </row>
    <row r="116" spans="1:26" ht="13.5" customHeight="1" x14ac:dyDescent="0.2">
      <c r="A116" s="106"/>
      <c r="B116" s="106"/>
      <c r="C116" s="106"/>
      <c r="D116" s="106"/>
      <c r="E116" s="106"/>
      <c r="F116" s="735"/>
      <c r="G116" s="113">
        <v>0.09</v>
      </c>
      <c r="H116" s="124">
        <v>-6928749136.8256912</v>
      </c>
      <c r="I116" s="106"/>
      <c r="J116" s="735"/>
      <c r="K116" s="113">
        <v>0.09</v>
      </c>
      <c r="L116" s="124">
        <v>-24264684549.450142</v>
      </c>
      <c r="M116" s="106"/>
      <c r="N116" s="106"/>
      <c r="O116" s="106"/>
      <c r="P116" s="106"/>
      <c r="Q116" s="106"/>
      <c r="R116" s="106"/>
      <c r="S116" s="106"/>
      <c r="T116" s="106"/>
      <c r="U116" s="106"/>
      <c r="V116" s="106"/>
      <c r="W116" s="106"/>
      <c r="X116" s="106"/>
      <c r="Y116" s="106"/>
      <c r="Z116" s="106"/>
    </row>
    <row r="117" spans="1:26" ht="13.5" customHeight="1" x14ac:dyDescent="0.2">
      <c r="A117" s="106"/>
      <c r="B117" s="106"/>
      <c r="C117" s="106"/>
      <c r="D117" s="106"/>
      <c r="E117" s="106"/>
      <c r="F117" s="740"/>
      <c r="G117" s="113">
        <v>0.1</v>
      </c>
      <c r="H117" s="124">
        <v>-14329503427.562929</v>
      </c>
      <c r="I117" s="106"/>
      <c r="J117" s="740"/>
      <c r="K117" s="113">
        <v>0.1</v>
      </c>
      <c r="L117" s="124">
        <v>-51153158986.553246</v>
      </c>
      <c r="M117" s="106"/>
      <c r="N117" s="106"/>
      <c r="O117" s="106"/>
      <c r="P117" s="106"/>
      <c r="Q117" s="106"/>
      <c r="R117" s="106"/>
      <c r="S117" s="106"/>
      <c r="T117" s="106"/>
      <c r="U117" s="106"/>
      <c r="V117" s="106"/>
      <c r="W117" s="106"/>
      <c r="X117" s="106"/>
      <c r="Y117" s="106"/>
      <c r="Z117" s="106"/>
    </row>
    <row r="118" spans="1:26" ht="13.5" customHeight="1" x14ac:dyDescent="0.2">
      <c r="A118" s="106"/>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row>
    <row r="119" spans="1:26" ht="13.5" customHeight="1" x14ac:dyDescent="0.2">
      <c r="A119" s="106"/>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row>
    <row r="120" spans="1:26" ht="13.5" customHeight="1" x14ac:dyDescent="0.2">
      <c r="A120" s="106"/>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row>
    <row r="121" spans="1:26" ht="13.5" customHeight="1" x14ac:dyDescent="0.2">
      <c r="A121" s="106"/>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row>
    <row r="122" spans="1:26" ht="13.5" customHeight="1" x14ac:dyDescent="0.2">
      <c r="A122" s="106"/>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row>
    <row r="123" spans="1:26" ht="13.5" customHeight="1" x14ac:dyDescent="0.2">
      <c r="A123" s="106"/>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row>
    <row r="124" spans="1:26" ht="13.5" customHeight="1" x14ac:dyDescent="0.2">
      <c r="A124" s="106"/>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row>
    <row r="125" spans="1:26" ht="13.5" customHeight="1" x14ac:dyDescent="0.25">
      <c r="A125" s="106"/>
      <c r="B125" s="106"/>
      <c r="C125" s="106"/>
      <c r="D125" s="106"/>
      <c r="E125" s="106"/>
      <c r="F125" s="107" t="s">
        <v>106</v>
      </c>
      <c r="G125" s="106"/>
      <c r="H125" s="106"/>
      <c r="I125" s="106"/>
      <c r="J125" s="107" t="s">
        <v>106</v>
      </c>
      <c r="K125" s="106"/>
      <c r="L125" s="106"/>
      <c r="M125" s="106"/>
      <c r="N125" s="106"/>
      <c r="O125" s="106"/>
      <c r="P125" s="106"/>
      <c r="Q125" s="106"/>
      <c r="R125" s="106"/>
      <c r="S125" s="106"/>
      <c r="T125" s="106"/>
      <c r="U125" s="106"/>
      <c r="V125" s="106"/>
      <c r="W125" s="106"/>
      <c r="X125" s="106"/>
      <c r="Y125" s="106"/>
      <c r="Z125" s="106"/>
    </row>
    <row r="126" spans="1:26" ht="13.5" customHeight="1" x14ac:dyDescent="0.2">
      <c r="A126" s="106"/>
      <c r="B126" s="106"/>
      <c r="C126" s="106"/>
      <c r="D126" s="106"/>
      <c r="E126" s="106"/>
      <c r="F126" s="125"/>
      <c r="G126" s="126"/>
      <c r="H126" s="134">
        <f>$B$16</f>
        <v>-349209860.35524708</v>
      </c>
      <c r="I126" s="106"/>
      <c r="J126" s="125"/>
      <c r="K126" s="126"/>
      <c r="L126" s="136">
        <f>$B$17</f>
        <v>-445282823.48867738</v>
      </c>
      <c r="M126" s="106"/>
      <c r="N126" s="106"/>
      <c r="O126" s="106"/>
      <c r="P126" s="106"/>
      <c r="Q126" s="106"/>
      <c r="R126" s="106"/>
      <c r="S126" s="106"/>
      <c r="T126" s="106"/>
      <c r="U126" s="106"/>
      <c r="V126" s="106"/>
      <c r="W126" s="106"/>
      <c r="X126" s="106"/>
      <c r="Y126" s="106"/>
      <c r="Z126" s="106"/>
    </row>
    <row r="127" spans="1:26" ht="13.5" customHeight="1" x14ac:dyDescent="0.2">
      <c r="A127" s="106"/>
      <c r="B127" s="106"/>
      <c r="C127" s="106"/>
      <c r="D127" s="106"/>
      <c r="E127" s="106"/>
      <c r="F127" s="747" t="s">
        <v>106</v>
      </c>
      <c r="G127" s="137">
        <v>600</v>
      </c>
      <c r="H127" s="124">
        <v>-345537902.30224061</v>
      </c>
      <c r="I127" s="106"/>
      <c r="J127" s="747" t="s">
        <v>106</v>
      </c>
      <c r="K127" s="138">
        <v>600</v>
      </c>
      <c r="L127" s="124">
        <v>-335358066.91652864</v>
      </c>
      <c r="M127" s="106"/>
      <c r="N127" s="106"/>
      <c r="O127" s="106"/>
      <c r="P127" s="106"/>
      <c r="Q127" s="106"/>
      <c r="R127" s="106"/>
      <c r="S127" s="106"/>
      <c r="T127" s="106"/>
      <c r="U127" s="106"/>
      <c r="V127" s="106"/>
      <c r="W127" s="106"/>
      <c r="X127" s="106"/>
      <c r="Y127" s="106"/>
      <c r="Z127" s="106"/>
    </row>
    <row r="128" spans="1:26" ht="13.5" customHeight="1" x14ac:dyDescent="0.2">
      <c r="A128" s="106"/>
      <c r="B128" s="106"/>
      <c r="C128" s="106"/>
      <c r="D128" s="106"/>
      <c r="E128" s="106"/>
      <c r="F128" s="735"/>
      <c r="G128" s="126">
        <v>610</v>
      </c>
      <c r="H128" s="124">
        <v>-345760163.00557125</v>
      </c>
      <c r="I128" s="106"/>
      <c r="J128" s="735"/>
      <c r="K128" s="139">
        <v>610</v>
      </c>
      <c r="L128" s="124">
        <v>-340854304.74513638</v>
      </c>
      <c r="M128" s="106"/>
      <c r="N128" s="106"/>
      <c r="O128" s="106"/>
      <c r="P128" s="106"/>
      <c r="Q128" s="106"/>
      <c r="R128" s="106"/>
      <c r="S128" s="106"/>
      <c r="T128" s="106"/>
      <c r="U128" s="106"/>
      <c r="V128" s="106"/>
      <c r="W128" s="106"/>
      <c r="X128" s="106"/>
      <c r="Y128" s="106"/>
      <c r="Z128" s="106"/>
    </row>
    <row r="129" spans="1:26" ht="13.5" customHeight="1" x14ac:dyDescent="0.2">
      <c r="A129" s="106"/>
      <c r="B129" s="106"/>
      <c r="C129" s="106"/>
      <c r="D129" s="106"/>
      <c r="E129" s="106"/>
      <c r="F129" s="735"/>
      <c r="G129" s="126">
        <v>620</v>
      </c>
      <c r="H129" s="124">
        <v>-345982423.70890188</v>
      </c>
      <c r="I129" s="106"/>
      <c r="J129" s="735"/>
      <c r="K129" s="139">
        <v>620</v>
      </c>
      <c r="L129" s="124">
        <v>-346350542.57374346</v>
      </c>
      <c r="M129" s="106"/>
      <c r="N129" s="106"/>
      <c r="O129" s="106"/>
      <c r="P129" s="106"/>
      <c r="Q129" s="106"/>
      <c r="R129" s="106"/>
      <c r="S129" s="106"/>
      <c r="T129" s="106"/>
      <c r="U129" s="106"/>
      <c r="V129" s="106"/>
      <c r="W129" s="106"/>
      <c r="X129" s="106"/>
      <c r="Y129" s="106"/>
      <c r="Z129" s="106"/>
    </row>
    <row r="130" spans="1:26" ht="13.5" customHeight="1" x14ac:dyDescent="0.2">
      <c r="A130" s="106"/>
      <c r="B130" s="106"/>
      <c r="C130" s="106"/>
      <c r="D130" s="106"/>
      <c r="E130" s="106"/>
      <c r="F130" s="735"/>
      <c r="G130" s="137">
        <v>630</v>
      </c>
      <c r="H130" s="124">
        <v>-346204684.41223252</v>
      </c>
      <c r="I130" s="106"/>
      <c r="J130" s="735"/>
      <c r="K130" s="138">
        <v>630</v>
      </c>
      <c r="L130" s="124">
        <v>-351846780.40235066</v>
      </c>
      <c r="M130" s="106"/>
      <c r="N130" s="106"/>
      <c r="O130" s="106"/>
      <c r="P130" s="106"/>
      <c r="Q130" s="106"/>
      <c r="R130" s="106"/>
      <c r="S130" s="106"/>
      <c r="T130" s="106"/>
      <c r="U130" s="106"/>
      <c r="V130" s="106"/>
      <c r="W130" s="106"/>
      <c r="X130" s="106"/>
      <c r="Y130" s="106"/>
      <c r="Z130" s="106"/>
    </row>
    <row r="131" spans="1:26" ht="13.5" customHeight="1" x14ac:dyDescent="0.2">
      <c r="A131" s="106"/>
      <c r="B131" s="106"/>
      <c r="C131" s="106"/>
      <c r="D131" s="106"/>
      <c r="E131" s="106"/>
      <c r="F131" s="735"/>
      <c r="G131" s="126">
        <v>640</v>
      </c>
      <c r="H131" s="124">
        <v>-346426945.11556321</v>
      </c>
      <c r="I131" s="106"/>
      <c r="J131" s="735"/>
      <c r="K131" s="139">
        <v>640</v>
      </c>
      <c r="L131" s="124">
        <v>-357343018.23095846</v>
      </c>
      <c r="M131" s="106"/>
      <c r="N131" s="106"/>
      <c r="O131" s="106"/>
      <c r="P131" s="106"/>
      <c r="Q131" s="106"/>
      <c r="R131" s="106"/>
      <c r="S131" s="106"/>
      <c r="T131" s="106"/>
      <c r="U131" s="106"/>
      <c r="V131" s="106"/>
      <c r="W131" s="106"/>
      <c r="X131" s="106"/>
      <c r="Y131" s="106"/>
      <c r="Z131" s="106"/>
    </row>
    <row r="132" spans="1:26" ht="13.5" customHeight="1" x14ac:dyDescent="0.2">
      <c r="A132" s="106"/>
      <c r="B132" s="106"/>
      <c r="C132" s="106"/>
      <c r="D132" s="106"/>
      <c r="E132" s="106"/>
      <c r="F132" s="735"/>
      <c r="G132" s="126">
        <v>650</v>
      </c>
      <c r="H132" s="124">
        <v>-346649205.81889385</v>
      </c>
      <c r="I132" s="106"/>
      <c r="J132" s="735"/>
      <c r="K132" s="139">
        <v>650</v>
      </c>
      <c r="L132" s="124">
        <v>-362839256.05956566</v>
      </c>
      <c r="M132" s="106"/>
      <c r="N132" s="106"/>
      <c r="O132" s="106"/>
      <c r="P132" s="106"/>
      <c r="Q132" s="106"/>
      <c r="R132" s="106"/>
      <c r="S132" s="106"/>
      <c r="T132" s="106"/>
      <c r="U132" s="106"/>
      <c r="V132" s="106"/>
      <c r="W132" s="106"/>
      <c r="X132" s="106"/>
      <c r="Y132" s="106"/>
      <c r="Z132" s="106"/>
    </row>
    <row r="133" spans="1:26" ht="13.5" customHeight="1" x14ac:dyDescent="0.2">
      <c r="A133" s="106"/>
      <c r="B133" s="106"/>
      <c r="C133" s="106"/>
      <c r="D133" s="106"/>
      <c r="E133" s="106"/>
      <c r="F133" s="735"/>
      <c r="G133" s="137">
        <v>660</v>
      </c>
      <c r="H133" s="124">
        <v>-346871466.52222449</v>
      </c>
      <c r="I133" s="106"/>
      <c r="J133" s="735"/>
      <c r="K133" s="138">
        <v>660</v>
      </c>
      <c r="L133" s="124">
        <v>-368335493.8881731</v>
      </c>
      <c r="M133" s="106"/>
      <c r="N133" s="106"/>
      <c r="O133" s="106"/>
      <c r="P133" s="106"/>
      <c r="Q133" s="106"/>
      <c r="R133" s="106"/>
      <c r="S133" s="106"/>
      <c r="T133" s="106"/>
      <c r="U133" s="106"/>
      <c r="V133" s="106"/>
      <c r="W133" s="106"/>
      <c r="X133" s="106"/>
      <c r="Y133" s="106"/>
      <c r="Z133" s="106"/>
    </row>
    <row r="134" spans="1:26" ht="13.5" customHeight="1" x14ac:dyDescent="0.2">
      <c r="A134" s="106"/>
      <c r="B134" s="106"/>
      <c r="C134" s="106"/>
      <c r="D134" s="106"/>
      <c r="E134" s="106"/>
      <c r="F134" s="735"/>
      <c r="G134" s="126">
        <v>670</v>
      </c>
      <c r="H134" s="140">
        <v>-347093727.22555512</v>
      </c>
      <c r="I134" s="106"/>
      <c r="J134" s="735"/>
      <c r="K134" s="139">
        <v>670</v>
      </c>
      <c r="L134" s="140">
        <v>-373831731.7167809</v>
      </c>
      <c r="M134" s="106"/>
      <c r="N134" s="106"/>
      <c r="O134" s="106"/>
      <c r="P134" s="106"/>
      <c r="Q134" s="106"/>
      <c r="R134" s="106"/>
      <c r="S134" s="106"/>
      <c r="T134" s="106"/>
      <c r="U134" s="106"/>
      <c r="V134" s="106"/>
      <c r="W134" s="106"/>
      <c r="X134" s="106"/>
      <c r="Y134" s="106"/>
      <c r="Z134" s="106"/>
    </row>
    <row r="135" spans="1:26" ht="13.5" customHeight="1" x14ac:dyDescent="0.2">
      <c r="A135" s="106"/>
      <c r="B135" s="106"/>
      <c r="C135" s="106"/>
      <c r="D135" s="106"/>
      <c r="E135" s="106"/>
      <c r="F135" s="735"/>
      <c r="G135" s="126">
        <v>680</v>
      </c>
      <c r="H135" s="124">
        <v>-347315987.92888576</v>
      </c>
      <c r="I135" s="106"/>
      <c r="J135" s="735"/>
      <c r="K135" s="139">
        <v>680</v>
      </c>
      <c r="L135" s="124">
        <v>-379327969.5453881</v>
      </c>
      <c r="M135" s="106"/>
      <c r="N135" s="106"/>
      <c r="O135" s="106"/>
      <c r="P135" s="106"/>
      <c r="Q135" s="106"/>
      <c r="R135" s="106"/>
      <c r="S135" s="106"/>
      <c r="T135" s="106"/>
      <c r="U135" s="106"/>
      <c r="V135" s="106"/>
      <c r="W135" s="106"/>
      <c r="X135" s="106"/>
      <c r="Y135" s="106"/>
      <c r="Z135" s="106"/>
    </row>
    <row r="136" spans="1:26" ht="13.5" customHeight="1" x14ac:dyDescent="0.2">
      <c r="A136" s="106"/>
      <c r="B136" s="106"/>
      <c r="C136" s="106"/>
      <c r="D136" s="106"/>
      <c r="E136" s="106"/>
      <c r="F136" s="735"/>
      <c r="G136" s="137">
        <v>690</v>
      </c>
      <c r="H136" s="124">
        <v>-347538248.63221645</v>
      </c>
      <c r="I136" s="106"/>
      <c r="J136" s="735"/>
      <c r="K136" s="138">
        <v>690</v>
      </c>
      <c r="L136" s="124">
        <v>-384824207.37399542</v>
      </c>
      <c r="M136" s="106"/>
      <c r="N136" s="106"/>
      <c r="O136" s="106"/>
      <c r="P136" s="106"/>
      <c r="Q136" s="106"/>
      <c r="R136" s="106"/>
      <c r="S136" s="106"/>
      <c r="T136" s="106"/>
      <c r="U136" s="106"/>
      <c r="V136" s="106"/>
      <c r="W136" s="106"/>
      <c r="X136" s="106"/>
      <c r="Y136" s="106"/>
      <c r="Z136" s="106"/>
    </row>
    <row r="137" spans="1:26" ht="13.5" customHeight="1" x14ac:dyDescent="0.2">
      <c r="A137" s="106"/>
      <c r="B137" s="106"/>
      <c r="C137" s="106"/>
      <c r="D137" s="106"/>
      <c r="E137" s="106"/>
      <c r="F137" s="735"/>
      <c r="G137" s="126">
        <v>700</v>
      </c>
      <c r="H137" s="124">
        <v>-347760509.33554709</v>
      </c>
      <c r="I137" s="106"/>
      <c r="J137" s="735"/>
      <c r="K137" s="139">
        <v>700</v>
      </c>
      <c r="L137" s="124">
        <v>-390320445.2026028</v>
      </c>
      <c r="M137" s="106"/>
      <c r="N137" s="106"/>
      <c r="O137" s="106"/>
      <c r="P137" s="106"/>
      <c r="Q137" s="106"/>
      <c r="R137" s="106"/>
      <c r="S137" s="106"/>
      <c r="T137" s="106"/>
      <c r="U137" s="106"/>
      <c r="V137" s="106"/>
      <c r="W137" s="106"/>
      <c r="X137" s="106"/>
      <c r="Y137" s="106"/>
      <c r="Z137" s="106"/>
    </row>
    <row r="138" spans="1:26" ht="13.5" customHeight="1" x14ac:dyDescent="0.2">
      <c r="A138" s="106"/>
      <c r="B138" s="106"/>
      <c r="C138" s="106"/>
      <c r="D138" s="106"/>
      <c r="E138" s="106"/>
      <c r="F138" s="735"/>
      <c r="G138" s="126">
        <v>710</v>
      </c>
      <c r="H138" s="124">
        <v>-347982770.03887773</v>
      </c>
      <c r="I138" s="106"/>
      <c r="J138" s="735"/>
      <c r="K138" s="139">
        <v>710</v>
      </c>
      <c r="L138" s="124">
        <v>-395816683.03121012</v>
      </c>
      <c r="M138" s="106"/>
      <c r="N138" s="106"/>
      <c r="O138" s="106"/>
      <c r="P138" s="106"/>
      <c r="Q138" s="106"/>
      <c r="R138" s="106"/>
      <c r="S138" s="106"/>
      <c r="T138" s="106"/>
      <c r="U138" s="106"/>
      <c r="V138" s="106"/>
      <c r="W138" s="106"/>
      <c r="X138" s="106"/>
      <c r="Y138" s="106"/>
      <c r="Z138" s="106"/>
    </row>
    <row r="139" spans="1:26" ht="13.5" customHeight="1" x14ac:dyDescent="0.2">
      <c r="A139" s="106"/>
      <c r="B139" s="106"/>
      <c r="C139" s="106"/>
      <c r="D139" s="106"/>
      <c r="E139" s="106"/>
      <c r="F139" s="735"/>
      <c r="G139" s="137">
        <v>720</v>
      </c>
      <c r="H139" s="124">
        <v>-348205030.74220836</v>
      </c>
      <c r="I139" s="106"/>
      <c r="J139" s="735"/>
      <c r="K139" s="138">
        <v>720</v>
      </c>
      <c r="L139" s="124">
        <v>-401312920.85981792</v>
      </c>
      <c r="M139" s="106"/>
      <c r="N139" s="106"/>
      <c r="O139" s="106"/>
      <c r="P139" s="106"/>
      <c r="Q139" s="106"/>
      <c r="R139" s="106"/>
      <c r="S139" s="106"/>
      <c r="T139" s="106"/>
      <c r="U139" s="106"/>
      <c r="V139" s="106"/>
      <c r="W139" s="106"/>
      <c r="X139" s="106"/>
      <c r="Y139" s="106"/>
      <c r="Z139" s="106"/>
    </row>
    <row r="140" spans="1:26" ht="13.5" customHeight="1" x14ac:dyDescent="0.2">
      <c r="A140" s="106"/>
      <c r="B140" s="106"/>
      <c r="C140" s="106"/>
      <c r="D140" s="106"/>
      <c r="E140" s="106"/>
      <c r="F140" s="735"/>
      <c r="G140" s="126">
        <v>730</v>
      </c>
      <c r="H140" s="124">
        <v>-348427291.445539</v>
      </c>
      <c r="I140" s="106"/>
      <c r="J140" s="735"/>
      <c r="K140" s="139">
        <v>730</v>
      </c>
      <c r="L140" s="124">
        <v>-406809158.68842524</v>
      </c>
      <c r="M140" s="106"/>
      <c r="N140" s="106"/>
      <c r="O140" s="106"/>
      <c r="P140" s="106"/>
      <c r="Q140" s="106"/>
      <c r="R140" s="106"/>
      <c r="S140" s="106"/>
      <c r="T140" s="106"/>
      <c r="U140" s="106"/>
      <c r="V140" s="106"/>
      <c r="W140" s="106"/>
      <c r="X140" s="106"/>
      <c r="Y140" s="106"/>
      <c r="Z140" s="106"/>
    </row>
    <row r="141" spans="1:26" ht="13.5" customHeight="1" x14ac:dyDescent="0.2">
      <c r="A141" s="106"/>
      <c r="B141" s="106"/>
      <c r="C141" s="106"/>
      <c r="D141" s="106"/>
      <c r="E141" s="106"/>
      <c r="F141" s="735"/>
      <c r="G141" s="126">
        <v>740</v>
      </c>
      <c r="H141" s="124">
        <v>-348649552.14886963</v>
      </c>
      <c r="I141" s="106"/>
      <c r="J141" s="735"/>
      <c r="K141" s="139">
        <v>740</v>
      </c>
      <c r="L141" s="124">
        <v>-412305396.51703256</v>
      </c>
      <c r="M141" s="106"/>
      <c r="N141" s="106"/>
      <c r="O141" s="106"/>
      <c r="P141" s="106"/>
      <c r="Q141" s="106"/>
      <c r="R141" s="106"/>
      <c r="S141" s="106"/>
      <c r="T141" s="106"/>
      <c r="U141" s="106"/>
      <c r="V141" s="106"/>
      <c r="W141" s="106"/>
      <c r="X141" s="106"/>
      <c r="Y141" s="106"/>
      <c r="Z141" s="106"/>
    </row>
    <row r="142" spans="1:26" ht="13.5" customHeight="1" x14ac:dyDescent="0.2">
      <c r="A142" s="106"/>
      <c r="B142" s="106"/>
      <c r="C142" s="106"/>
      <c r="D142" s="106"/>
      <c r="E142" s="106"/>
      <c r="F142" s="735"/>
      <c r="G142" s="126">
        <v>750</v>
      </c>
      <c r="H142" s="124">
        <v>-348871812.85220033</v>
      </c>
      <c r="I142" s="106"/>
      <c r="J142" s="735"/>
      <c r="K142" s="139">
        <v>750</v>
      </c>
      <c r="L142" s="124">
        <v>-417801634.34563994</v>
      </c>
      <c r="M142" s="106"/>
      <c r="N142" s="106"/>
      <c r="O142" s="106"/>
      <c r="P142" s="106"/>
      <c r="Q142" s="106"/>
      <c r="R142" s="106"/>
      <c r="S142" s="106"/>
      <c r="T142" s="106"/>
      <c r="U142" s="106"/>
      <c r="V142" s="106"/>
      <c r="W142" s="106"/>
      <c r="X142" s="106"/>
      <c r="Y142" s="106"/>
      <c r="Z142" s="106"/>
    </row>
    <row r="143" spans="1:26" ht="13.5" customHeight="1" x14ac:dyDescent="0.2">
      <c r="A143" s="106"/>
      <c r="B143" s="106"/>
      <c r="C143" s="106"/>
      <c r="D143" s="106"/>
      <c r="E143" s="106"/>
      <c r="F143" s="735"/>
      <c r="G143" s="137">
        <v>760</v>
      </c>
      <c r="H143" s="124">
        <v>-349094073.55553097</v>
      </c>
      <c r="I143" s="106"/>
      <c r="J143" s="735"/>
      <c r="K143" s="138">
        <v>760</v>
      </c>
      <c r="L143" s="124">
        <v>-423297872.1742475</v>
      </c>
      <c r="M143" s="106"/>
      <c r="N143" s="106"/>
      <c r="O143" s="106"/>
      <c r="P143" s="106"/>
      <c r="Q143" s="106"/>
      <c r="R143" s="106"/>
      <c r="S143" s="106"/>
      <c r="T143" s="106"/>
      <c r="U143" s="106"/>
      <c r="V143" s="106"/>
      <c r="W143" s="106"/>
      <c r="X143" s="106"/>
      <c r="Y143" s="106"/>
      <c r="Z143" s="106"/>
    </row>
    <row r="144" spans="1:26" ht="13.5" customHeight="1" x14ac:dyDescent="0.2">
      <c r="A144" s="106"/>
      <c r="B144" s="106"/>
      <c r="C144" s="106"/>
      <c r="D144" s="106"/>
      <c r="E144" s="106"/>
      <c r="F144" s="735"/>
      <c r="G144" s="126">
        <v>770</v>
      </c>
      <c r="H144" s="124">
        <v>-349316334.2588616</v>
      </c>
      <c r="I144" s="106"/>
      <c r="J144" s="735"/>
      <c r="K144" s="139">
        <v>770</v>
      </c>
      <c r="L144" s="124">
        <v>-428794110.00285506</v>
      </c>
      <c r="M144" s="106"/>
      <c r="N144" s="106"/>
      <c r="O144" s="106"/>
      <c r="P144" s="106"/>
      <c r="Q144" s="106"/>
      <c r="R144" s="106"/>
      <c r="S144" s="106"/>
      <c r="T144" s="106"/>
      <c r="U144" s="106"/>
      <c r="V144" s="106"/>
      <c r="W144" s="106"/>
      <c r="X144" s="106"/>
      <c r="Y144" s="106"/>
      <c r="Z144" s="106"/>
    </row>
    <row r="145" spans="1:26" ht="13.5" customHeight="1" x14ac:dyDescent="0.2">
      <c r="A145" s="106"/>
      <c r="B145" s="106"/>
      <c r="C145" s="106"/>
      <c r="D145" s="106"/>
      <c r="E145" s="106"/>
      <c r="F145" s="735"/>
      <c r="G145" s="126">
        <v>780</v>
      </c>
      <c r="H145" s="124">
        <v>-349538594.96219224</v>
      </c>
      <c r="I145" s="106"/>
      <c r="J145" s="735"/>
      <c r="K145" s="139">
        <v>780</v>
      </c>
      <c r="L145" s="124">
        <v>-434290347.8314625</v>
      </c>
      <c r="M145" s="106"/>
      <c r="N145" s="106"/>
      <c r="O145" s="106"/>
      <c r="P145" s="106"/>
      <c r="Q145" s="106"/>
      <c r="R145" s="106"/>
      <c r="S145" s="106"/>
      <c r="T145" s="106"/>
      <c r="U145" s="106"/>
      <c r="V145" s="106"/>
      <c r="W145" s="106"/>
      <c r="X145" s="106"/>
      <c r="Y145" s="106"/>
      <c r="Z145" s="106"/>
    </row>
    <row r="146" spans="1:26" ht="13.5" customHeight="1" x14ac:dyDescent="0.2">
      <c r="A146" s="106"/>
      <c r="B146" s="106"/>
      <c r="C146" s="106"/>
      <c r="D146" s="106"/>
      <c r="E146" s="106"/>
      <c r="F146" s="735"/>
      <c r="G146" s="137">
        <v>790</v>
      </c>
      <c r="H146" s="124">
        <v>-349760855.66552293</v>
      </c>
      <c r="I146" s="106"/>
      <c r="J146" s="735"/>
      <c r="K146" s="138">
        <v>790</v>
      </c>
      <c r="L146" s="124">
        <v>-439786585.66006964</v>
      </c>
      <c r="M146" s="106"/>
      <c r="N146" s="106"/>
      <c r="O146" s="106"/>
      <c r="P146" s="106"/>
      <c r="Q146" s="106"/>
      <c r="R146" s="106"/>
      <c r="S146" s="106"/>
      <c r="T146" s="106"/>
      <c r="U146" s="106"/>
      <c r="V146" s="106"/>
      <c r="W146" s="106"/>
      <c r="X146" s="106"/>
      <c r="Y146" s="106"/>
      <c r="Z146" s="106"/>
    </row>
    <row r="147" spans="1:26" ht="13.5" customHeight="1" x14ac:dyDescent="0.25">
      <c r="A147" s="106"/>
      <c r="B147" s="106"/>
      <c r="C147" s="106"/>
      <c r="D147" s="106"/>
      <c r="E147" s="106"/>
      <c r="F147" s="735"/>
      <c r="G147" s="141">
        <v>800</v>
      </c>
      <c r="H147" s="130">
        <v>-349983116.36885357</v>
      </c>
      <c r="I147" s="106"/>
      <c r="J147" s="735"/>
      <c r="K147" s="142">
        <v>800</v>
      </c>
      <c r="L147" s="130">
        <v>-445282823.48867744</v>
      </c>
      <c r="M147" s="106"/>
      <c r="N147" s="106"/>
      <c r="O147" s="106"/>
      <c r="P147" s="106"/>
      <c r="Q147" s="106"/>
      <c r="R147" s="106"/>
      <c r="S147" s="106"/>
      <c r="T147" s="106"/>
      <c r="U147" s="106"/>
      <c r="V147" s="106"/>
      <c r="W147" s="106"/>
      <c r="X147" s="106"/>
      <c r="Y147" s="106"/>
      <c r="Z147" s="106"/>
    </row>
    <row r="148" spans="1:26" ht="13.5" customHeight="1" x14ac:dyDescent="0.2">
      <c r="A148" s="106"/>
      <c r="B148" s="106"/>
      <c r="C148" s="106"/>
      <c r="D148" s="106"/>
      <c r="E148" s="106"/>
      <c r="F148" s="735"/>
      <c r="G148" s="126">
        <v>810</v>
      </c>
      <c r="H148" s="124">
        <v>-350205377.07218421</v>
      </c>
      <c r="I148" s="106"/>
      <c r="J148" s="735"/>
      <c r="K148" s="139">
        <v>810</v>
      </c>
      <c r="L148" s="124">
        <v>-450779061.31728476</v>
      </c>
      <c r="M148" s="106"/>
      <c r="N148" s="106"/>
      <c r="O148" s="106"/>
      <c r="P148" s="106"/>
      <c r="Q148" s="106"/>
      <c r="R148" s="106"/>
      <c r="S148" s="106"/>
      <c r="T148" s="106"/>
      <c r="U148" s="106"/>
      <c r="V148" s="106"/>
      <c r="W148" s="106"/>
      <c r="X148" s="106"/>
      <c r="Y148" s="106"/>
      <c r="Z148" s="106"/>
    </row>
    <row r="149" spans="1:26" ht="13.5" customHeight="1" x14ac:dyDescent="0.2">
      <c r="A149" s="106"/>
      <c r="B149" s="106"/>
      <c r="C149" s="106"/>
      <c r="D149" s="106"/>
      <c r="E149" s="106"/>
      <c r="F149" s="735"/>
      <c r="G149" s="126">
        <v>820</v>
      </c>
      <c r="H149" s="124">
        <v>-350427637.77551484</v>
      </c>
      <c r="I149" s="106"/>
      <c r="J149" s="735"/>
      <c r="K149" s="139">
        <v>820</v>
      </c>
      <c r="L149" s="124">
        <v>-456275299.14589226</v>
      </c>
      <c r="M149" s="106"/>
      <c r="N149" s="106"/>
      <c r="O149" s="106"/>
      <c r="P149" s="106"/>
      <c r="Q149" s="106"/>
      <c r="R149" s="106"/>
      <c r="S149" s="106"/>
      <c r="T149" s="106"/>
      <c r="U149" s="106"/>
      <c r="V149" s="106"/>
      <c r="W149" s="106"/>
      <c r="X149" s="106"/>
      <c r="Y149" s="106"/>
      <c r="Z149" s="106"/>
    </row>
    <row r="150" spans="1:26" ht="13.5" customHeight="1" x14ac:dyDescent="0.2">
      <c r="A150" s="106"/>
      <c r="B150" s="106"/>
      <c r="C150" s="106"/>
      <c r="D150" s="106"/>
      <c r="E150" s="106"/>
      <c r="F150" s="735"/>
      <c r="G150" s="137">
        <v>830</v>
      </c>
      <c r="H150" s="124">
        <v>-350649898.47884548</v>
      </c>
      <c r="I150" s="106"/>
      <c r="J150" s="735"/>
      <c r="K150" s="138">
        <v>830</v>
      </c>
      <c r="L150" s="124">
        <v>-461771536.97449952</v>
      </c>
      <c r="M150" s="106"/>
      <c r="N150" s="106"/>
      <c r="O150" s="106"/>
      <c r="P150" s="106"/>
      <c r="Q150" s="106"/>
      <c r="R150" s="106"/>
      <c r="S150" s="106"/>
      <c r="T150" s="106"/>
      <c r="U150" s="106"/>
      <c r="V150" s="106"/>
      <c r="W150" s="106"/>
      <c r="X150" s="106"/>
      <c r="Y150" s="106"/>
      <c r="Z150" s="106"/>
    </row>
    <row r="151" spans="1:26" ht="13.5" customHeight="1" x14ac:dyDescent="0.2">
      <c r="A151" s="106"/>
      <c r="B151" s="106"/>
      <c r="C151" s="106"/>
      <c r="D151" s="106"/>
      <c r="E151" s="106"/>
      <c r="F151" s="735"/>
      <c r="G151" s="126">
        <v>840</v>
      </c>
      <c r="H151" s="124">
        <v>-350872159.18217611</v>
      </c>
      <c r="I151" s="106"/>
      <c r="J151" s="735"/>
      <c r="K151" s="139">
        <v>840</v>
      </c>
      <c r="L151" s="124">
        <v>-467267774.80310708</v>
      </c>
      <c r="M151" s="106"/>
      <c r="N151" s="106"/>
      <c r="O151" s="106"/>
      <c r="P151" s="106"/>
      <c r="Q151" s="106"/>
      <c r="R151" s="106"/>
      <c r="S151" s="106"/>
      <c r="T151" s="106"/>
      <c r="U151" s="106"/>
      <c r="V151" s="106"/>
      <c r="W151" s="106"/>
      <c r="X151" s="106"/>
      <c r="Y151" s="106"/>
      <c r="Z151" s="106"/>
    </row>
    <row r="152" spans="1:26" ht="13.5" customHeight="1" x14ac:dyDescent="0.2">
      <c r="A152" s="106"/>
      <c r="B152" s="106"/>
      <c r="C152" s="106"/>
      <c r="D152" s="106"/>
      <c r="E152" s="106"/>
      <c r="F152" s="735"/>
      <c r="G152" s="126">
        <v>850</v>
      </c>
      <c r="H152" s="124">
        <v>-351094419.88550681</v>
      </c>
      <c r="I152" s="106"/>
      <c r="J152" s="735"/>
      <c r="K152" s="139">
        <v>850</v>
      </c>
      <c r="L152" s="124">
        <v>-472764012.63171458</v>
      </c>
      <c r="M152" s="106"/>
      <c r="N152" s="106"/>
      <c r="O152" s="106"/>
      <c r="P152" s="106"/>
      <c r="Q152" s="106"/>
      <c r="R152" s="106"/>
      <c r="S152" s="106"/>
      <c r="T152" s="106"/>
      <c r="U152" s="106"/>
      <c r="V152" s="106"/>
      <c r="W152" s="106"/>
      <c r="X152" s="106"/>
      <c r="Y152" s="106"/>
      <c r="Z152" s="106"/>
    </row>
    <row r="153" spans="1:26" ht="13.5" customHeight="1" x14ac:dyDescent="0.2">
      <c r="A153" s="106"/>
      <c r="B153" s="106"/>
      <c r="C153" s="106"/>
      <c r="D153" s="106"/>
      <c r="E153" s="106"/>
      <c r="F153" s="735"/>
      <c r="G153" s="137">
        <v>860</v>
      </c>
      <c r="H153" s="124">
        <v>-351316680.58883744</v>
      </c>
      <c r="I153" s="106"/>
      <c r="J153" s="735"/>
      <c r="K153" s="138">
        <v>860</v>
      </c>
      <c r="L153" s="124">
        <v>-478260250.46032172</v>
      </c>
      <c r="M153" s="106"/>
      <c r="N153" s="106"/>
      <c r="O153" s="106"/>
      <c r="P153" s="106"/>
      <c r="Q153" s="106"/>
      <c r="R153" s="106"/>
      <c r="S153" s="106"/>
      <c r="T153" s="106"/>
      <c r="U153" s="106"/>
      <c r="V153" s="106"/>
      <c r="W153" s="106"/>
      <c r="X153" s="106"/>
      <c r="Y153" s="106"/>
      <c r="Z153" s="106"/>
    </row>
    <row r="154" spans="1:26" ht="13.5" customHeight="1" x14ac:dyDescent="0.2">
      <c r="A154" s="106"/>
      <c r="B154" s="106"/>
      <c r="C154" s="106"/>
      <c r="D154" s="106"/>
      <c r="E154" s="106"/>
      <c r="F154" s="735"/>
      <c r="G154" s="126">
        <v>870</v>
      </c>
      <c r="H154" s="124">
        <v>-351538941.29216808</v>
      </c>
      <c r="I154" s="106"/>
      <c r="J154" s="735"/>
      <c r="K154" s="139">
        <v>870</v>
      </c>
      <c r="L154" s="124">
        <v>-483756488.28892946</v>
      </c>
      <c r="M154" s="106"/>
      <c r="N154" s="106"/>
      <c r="O154" s="106"/>
      <c r="P154" s="106"/>
      <c r="Q154" s="106"/>
      <c r="R154" s="106"/>
      <c r="S154" s="106"/>
      <c r="T154" s="106"/>
      <c r="U154" s="106"/>
      <c r="V154" s="106"/>
      <c r="W154" s="106"/>
      <c r="X154" s="106"/>
      <c r="Y154" s="106"/>
      <c r="Z154" s="106"/>
    </row>
    <row r="155" spans="1:26" ht="13.5" customHeight="1" x14ac:dyDescent="0.2">
      <c r="A155" s="106"/>
      <c r="B155" s="106"/>
      <c r="C155" s="106"/>
      <c r="D155" s="106"/>
      <c r="E155" s="106"/>
      <c r="F155" s="735"/>
      <c r="G155" s="126">
        <v>880</v>
      </c>
      <c r="H155" s="124">
        <v>-351761201.99549872</v>
      </c>
      <c r="I155" s="106"/>
      <c r="J155" s="735"/>
      <c r="K155" s="139">
        <v>880</v>
      </c>
      <c r="L155" s="124">
        <v>-489252726.1175366</v>
      </c>
      <c r="M155" s="106"/>
      <c r="N155" s="106"/>
      <c r="O155" s="106"/>
      <c r="P155" s="106"/>
      <c r="Q155" s="106"/>
      <c r="R155" s="106"/>
      <c r="S155" s="106"/>
      <c r="T155" s="106"/>
      <c r="U155" s="106"/>
      <c r="V155" s="106"/>
      <c r="W155" s="106"/>
      <c r="X155" s="106"/>
      <c r="Y155" s="106"/>
      <c r="Z155" s="106"/>
    </row>
    <row r="156" spans="1:26" ht="13.5" customHeight="1" x14ac:dyDescent="0.2">
      <c r="A156" s="106"/>
      <c r="B156" s="106"/>
      <c r="C156" s="106"/>
      <c r="D156" s="106"/>
      <c r="E156" s="106"/>
      <c r="F156" s="735"/>
      <c r="G156" s="126">
        <v>890</v>
      </c>
      <c r="H156" s="124">
        <v>-351983462.69882935</v>
      </c>
      <c r="I156" s="106"/>
      <c r="J156" s="735"/>
      <c r="K156" s="139">
        <v>890</v>
      </c>
      <c r="L156" s="124">
        <v>-494748963.94614422</v>
      </c>
      <c r="M156" s="106"/>
      <c r="N156" s="106"/>
      <c r="O156" s="106"/>
      <c r="P156" s="106"/>
      <c r="Q156" s="106"/>
      <c r="R156" s="106"/>
      <c r="S156" s="106"/>
      <c r="T156" s="106"/>
      <c r="U156" s="106"/>
      <c r="V156" s="106"/>
      <c r="W156" s="106"/>
      <c r="X156" s="106"/>
      <c r="Y156" s="106"/>
      <c r="Z156" s="106"/>
    </row>
    <row r="157" spans="1:26" ht="13.5" customHeight="1" x14ac:dyDescent="0.2">
      <c r="A157" s="106"/>
      <c r="B157" s="106"/>
      <c r="C157" s="106"/>
      <c r="D157" s="106"/>
      <c r="E157" s="106"/>
      <c r="F157" s="735"/>
      <c r="G157" s="137">
        <v>900</v>
      </c>
      <c r="H157" s="124">
        <v>-352205723.40216005</v>
      </c>
      <c r="I157" s="106"/>
      <c r="J157" s="735"/>
      <c r="K157" s="138">
        <v>900</v>
      </c>
      <c r="L157" s="124">
        <v>-500245201.77475166</v>
      </c>
      <c r="M157" s="106"/>
      <c r="N157" s="106"/>
      <c r="O157" s="106"/>
      <c r="P157" s="106"/>
      <c r="Q157" s="106"/>
      <c r="R157" s="106"/>
      <c r="S157" s="106"/>
      <c r="T157" s="106"/>
      <c r="U157" s="106"/>
      <c r="V157" s="106"/>
      <c r="W157" s="106"/>
      <c r="X157" s="106"/>
      <c r="Y157" s="106"/>
      <c r="Z157" s="106"/>
    </row>
    <row r="158" spans="1:26" ht="13.5" customHeight="1" x14ac:dyDescent="0.2">
      <c r="A158" s="106"/>
      <c r="B158" s="106"/>
      <c r="C158" s="106"/>
      <c r="D158" s="106"/>
      <c r="E158" s="106"/>
      <c r="F158" s="735"/>
      <c r="G158" s="137">
        <v>910</v>
      </c>
      <c r="H158" s="124">
        <v>-352427984.10549068</v>
      </c>
      <c r="I158" s="106"/>
      <c r="J158" s="735"/>
      <c r="K158" s="138">
        <v>910</v>
      </c>
      <c r="L158" s="124">
        <v>-505741439.60335904</v>
      </c>
      <c r="M158" s="106"/>
      <c r="N158" s="106"/>
      <c r="O158" s="106"/>
      <c r="P158" s="106"/>
      <c r="Q158" s="106"/>
      <c r="R158" s="106"/>
      <c r="S158" s="106"/>
      <c r="T158" s="106"/>
      <c r="U158" s="106"/>
      <c r="V158" s="106"/>
      <c r="W158" s="106"/>
      <c r="X158" s="106"/>
      <c r="Y158" s="106"/>
      <c r="Z158" s="106"/>
    </row>
    <row r="159" spans="1:26" ht="13.5" customHeight="1" x14ac:dyDescent="0.2">
      <c r="A159" s="106"/>
      <c r="B159" s="106"/>
      <c r="C159" s="106"/>
      <c r="D159" s="106"/>
      <c r="E159" s="106"/>
      <c r="F159" s="735"/>
      <c r="G159" s="126">
        <v>920</v>
      </c>
      <c r="H159" s="124">
        <v>-352650244.80882132</v>
      </c>
      <c r="I159" s="106"/>
      <c r="J159" s="735"/>
      <c r="K159" s="139">
        <v>920</v>
      </c>
      <c r="L159" s="124">
        <v>-511237677.43196672</v>
      </c>
      <c r="M159" s="106"/>
      <c r="N159" s="106"/>
      <c r="O159" s="106"/>
      <c r="P159" s="106"/>
      <c r="Q159" s="106"/>
      <c r="R159" s="106"/>
      <c r="S159" s="106"/>
      <c r="T159" s="106"/>
      <c r="U159" s="106"/>
      <c r="V159" s="106"/>
      <c r="W159" s="106"/>
      <c r="X159" s="106"/>
      <c r="Y159" s="106"/>
      <c r="Z159" s="106"/>
    </row>
    <row r="160" spans="1:26" ht="13.5" customHeight="1" x14ac:dyDescent="0.2">
      <c r="A160" s="106"/>
      <c r="B160" s="106"/>
      <c r="C160" s="106"/>
      <c r="D160" s="106"/>
      <c r="E160" s="106"/>
      <c r="F160" s="735"/>
      <c r="G160" s="126">
        <v>930</v>
      </c>
      <c r="H160" s="124">
        <v>-352872505.51215196</v>
      </c>
      <c r="I160" s="106"/>
      <c r="J160" s="735"/>
      <c r="K160" s="139">
        <v>930</v>
      </c>
      <c r="L160" s="124">
        <v>-516733915.2605741</v>
      </c>
      <c r="M160" s="106"/>
      <c r="N160" s="106"/>
      <c r="O160" s="106"/>
      <c r="P160" s="106"/>
      <c r="Q160" s="106"/>
      <c r="R160" s="106"/>
      <c r="S160" s="106"/>
      <c r="T160" s="106"/>
      <c r="U160" s="106"/>
      <c r="V160" s="106"/>
      <c r="W160" s="106"/>
      <c r="X160" s="106"/>
      <c r="Y160" s="106"/>
      <c r="Z160" s="106"/>
    </row>
    <row r="161" spans="1:26" ht="13.5" customHeight="1" x14ac:dyDescent="0.2">
      <c r="A161" s="106"/>
      <c r="B161" s="106"/>
      <c r="C161" s="106"/>
      <c r="D161" s="106"/>
      <c r="E161" s="106"/>
      <c r="F161" s="735"/>
      <c r="G161" s="126">
        <v>940</v>
      </c>
      <c r="H161" s="124">
        <v>-353094766.21548259</v>
      </c>
      <c r="I161" s="106"/>
      <c r="J161" s="735"/>
      <c r="K161" s="139">
        <v>940</v>
      </c>
      <c r="L161" s="124">
        <v>-522230153.0891816</v>
      </c>
      <c r="M161" s="106"/>
      <c r="N161" s="106"/>
      <c r="O161" s="106"/>
      <c r="P161" s="106"/>
      <c r="Q161" s="106"/>
      <c r="R161" s="106"/>
      <c r="S161" s="106"/>
      <c r="T161" s="106"/>
      <c r="U161" s="106"/>
      <c r="V161" s="106"/>
      <c r="W161" s="106"/>
      <c r="X161" s="106"/>
      <c r="Y161" s="106"/>
      <c r="Z161" s="106"/>
    </row>
    <row r="162" spans="1:26" ht="13.5" customHeight="1" x14ac:dyDescent="0.2">
      <c r="A162" s="106"/>
      <c r="B162" s="106"/>
      <c r="C162" s="106"/>
      <c r="D162" s="106"/>
      <c r="E162" s="106"/>
      <c r="F162" s="735"/>
      <c r="G162" s="137">
        <v>950</v>
      </c>
      <c r="H162" s="124">
        <v>-353317026.91881323</v>
      </c>
      <c r="I162" s="106"/>
      <c r="J162" s="735"/>
      <c r="K162" s="138">
        <v>950</v>
      </c>
      <c r="L162" s="124">
        <v>-527726390.91778892</v>
      </c>
      <c r="M162" s="106"/>
      <c r="N162" s="106"/>
      <c r="O162" s="106"/>
      <c r="P162" s="106"/>
      <c r="Q162" s="106"/>
      <c r="R162" s="106"/>
      <c r="S162" s="106"/>
      <c r="T162" s="106"/>
      <c r="U162" s="106"/>
      <c r="V162" s="106"/>
      <c r="W162" s="106"/>
      <c r="X162" s="106"/>
      <c r="Y162" s="106"/>
      <c r="Z162" s="106"/>
    </row>
    <row r="163" spans="1:26" ht="13.5" customHeight="1" x14ac:dyDescent="0.2">
      <c r="A163" s="106"/>
      <c r="B163" s="106"/>
      <c r="C163" s="106"/>
      <c r="D163" s="106"/>
      <c r="E163" s="106"/>
      <c r="F163" s="735"/>
      <c r="G163" s="137">
        <v>960</v>
      </c>
      <c r="H163" s="124">
        <v>-353539287.62214392</v>
      </c>
      <c r="I163" s="106"/>
      <c r="J163" s="735"/>
      <c r="K163" s="138">
        <v>960</v>
      </c>
      <c r="L163" s="124">
        <v>-533222628.7463966</v>
      </c>
      <c r="M163" s="106"/>
      <c r="N163" s="106"/>
      <c r="O163" s="106"/>
      <c r="P163" s="106"/>
      <c r="Q163" s="106"/>
      <c r="R163" s="106"/>
      <c r="S163" s="106"/>
      <c r="T163" s="106"/>
      <c r="U163" s="106"/>
      <c r="V163" s="106"/>
      <c r="W163" s="106"/>
      <c r="X163" s="106"/>
      <c r="Y163" s="106"/>
      <c r="Z163" s="106"/>
    </row>
    <row r="164" spans="1:26" ht="13.5" customHeight="1" x14ac:dyDescent="0.2">
      <c r="A164" s="106"/>
      <c r="B164" s="106"/>
      <c r="C164" s="106"/>
      <c r="D164" s="106"/>
      <c r="E164" s="106"/>
      <c r="F164" s="735"/>
      <c r="G164" s="126">
        <v>970</v>
      </c>
      <c r="H164" s="124">
        <v>-353761548.32547456</v>
      </c>
      <c r="I164" s="106"/>
      <c r="J164" s="735"/>
      <c r="K164" s="139">
        <v>970</v>
      </c>
      <c r="L164" s="124">
        <v>-538718866.57500374</v>
      </c>
      <c r="M164" s="106"/>
      <c r="N164" s="106"/>
      <c r="O164" s="106"/>
      <c r="P164" s="106"/>
      <c r="Q164" s="106"/>
      <c r="R164" s="106"/>
      <c r="S164" s="106"/>
      <c r="T164" s="106"/>
      <c r="U164" s="106"/>
      <c r="V164" s="106"/>
      <c r="W164" s="106"/>
      <c r="X164" s="106"/>
      <c r="Y164" s="106"/>
      <c r="Z164" s="106"/>
    </row>
    <row r="165" spans="1:26" ht="13.5" customHeight="1" x14ac:dyDescent="0.2">
      <c r="A165" s="106"/>
      <c r="B165" s="106"/>
      <c r="C165" s="106"/>
      <c r="D165" s="106"/>
      <c r="E165" s="106"/>
      <c r="F165" s="735"/>
      <c r="G165" s="126">
        <v>980</v>
      </c>
      <c r="H165" s="124">
        <v>-353983809.0288052</v>
      </c>
      <c r="I165" s="106"/>
      <c r="J165" s="735"/>
      <c r="K165" s="139">
        <v>980</v>
      </c>
      <c r="L165" s="124">
        <v>-544215104.40361142</v>
      </c>
      <c r="M165" s="106"/>
      <c r="N165" s="106"/>
      <c r="O165" s="106"/>
      <c r="P165" s="106"/>
      <c r="Q165" s="106"/>
      <c r="R165" s="106"/>
      <c r="S165" s="106"/>
      <c r="T165" s="106"/>
      <c r="U165" s="106"/>
      <c r="V165" s="106"/>
      <c r="W165" s="106"/>
      <c r="X165" s="106"/>
      <c r="Y165" s="106"/>
      <c r="Z165" s="106"/>
    </row>
    <row r="166" spans="1:26" ht="13.5" customHeight="1" x14ac:dyDescent="0.2">
      <c r="A166" s="106"/>
      <c r="B166" s="106"/>
      <c r="C166" s="106"/>
      <c r="D166" s="106"/>
      <c r="E166" s="106"/>
      <c r="F166" s="735"/>
      <c r="G166" s="126">
        <v>990</v>
      </c>
      <c r="H166" s="124">
        <v>-354206069.73213583</v>
      </c>
      <c r="I166" s="106"/>
      <c r="J166" s="735"/>
      <c r="K166" s="139">
        <v>990</v>
      </c>
      <c r="L166" s="124">
        <v>-549711342.23221838</v>
      </c>
      <c r="M166" s="106"/>
      <c r="N166" s="106"/>
      <c r="O166" s="106"/>
      <c r="P166" s="106"/>
      <c r="Q166" s="106"/>
      <c r="R166" s="106"/>
      <c r="S166" s="106"/>
      <c r="T166" s="106"/>
      <c r="U166" s="106"/>
      <c r="V166" s="106"/>
      <c r="W166" s="106"/>
      <c r="X166" s="106"/>
      <c r="Y166" s="106"/>
      <c r="Z166" s="106"/>
    </row>
    <row r="167" spans="1:26" ht="13.5" customHeight="1" x14ac:dyDescent="0.2">
      <c r="A167" s="106"/>
      <c r="B167" s="106"/>
      <c r="C167" s="106"/>
      <c r="D167" s="106"/>
      <c r="E167" s="106"/>
      <c r="F167" s="740"/>
      <c r="G167" s="137">
        <v>1000</v>
      </c>
      <c r="H167" s="124">
        <v>-354428330.43546653</v>
      </c>
      <c r="I167" s="106"/>
      <c r="J167" s="740"/>
      <c r="K167" s="138">
        <v>1000</v>
      </c>
      <c r="L167" s="124">
        <v>-555207580.06082606</v>
      </c>
      <c r="M167" s="106"/>
      <c r="N167" s="106"/>
      <c r="O167" s="106"/>
      <c r="P167" s="106"/>
      <c r="Q167" s="106"/>
      <c r="R167" s="106"/>
      <c r="S167" s="106"/>
      <c r="T167" s="106"/>
      <c r="U167" s="106"/>
      <c r="V167" s="106"/>
      <c r="W167" s="106"/>
      <c r="X167" s="106"/>
      <c r="Y167" s="106"/>
      <c r="Z167" s="106"/>
    </row>
    <row r="168" spans="1:26" ht="13.5" customHeight="1" x14ac:dyDescent="0.2">
      <c r="A168" s="106"/>
      <c r="B168" s="106"/>
      <c r="C168" s="106"/>
      <c r="D168" s="106"/>
      <c r="E168" s="106"/>
      <c r="F168" s="143"/>
      <c r="G168" s="106"/>
      <c r="H168" s="144"/>
      <c r="I168" s="106"/>
      <c r="J168" s="143"/>
      <c r="K168" s="106"/>
      <c r="L168" s="144"/>
      <c r="M168" s="106"/>
      <c r="N168" s="106"/>
      <c r="O168" s="106"/>
      <c r="P168" s="106"/>
      <c r="Q168" s="106"/>
      <c r="R168" s="106"/>
      <c r="S168" s="106"/>
      <c r="T168" s="106"/>
      <c r="U168" s="106"/>
      <c r="V168" s="106"/>
      <c r="W168" s="106"/>
      <c r="X168" s="106"/>
      <c r="Y168" s="106"/>
      <c r="Z168" s="106"/>
    </row>
    <row r="169" spans="1:26" ht="13.5" customHeight="1" x14ac:dyDescent="0.2">
      <c r="A169" s="106"/>
      <c r="B169" s="106"/>
      <c r="C169" s="106"/>
      <c r="D169" s="106"/>
      <c r="E169" s="106"/>
      <c r="F169" s="143"/>
      <c r="G169" s="106"/>
      <c r="H169" s="144"/>
      <c r="I169" s="106"/>
      <c r="J169" s="143"/>
      <c r="K169" s="106"/>
      <c r="L169" s="144"/>
      <c r="M169" s="106"/>
      <c r="N169" s="106"/>
      <c r="O169" s="106"/>
      <c r="P169" s="106"/>
      <c r="Q169" s="106"/>
      <c r="R169" s="106"/>
      <c r="S169" s="106"/>
      <c r="T169" s="106"/>
      <c r="U169" s="106"/>
      <c r="V169" s="106"/>
      <c r="W169" s="106"/>
      <c r="X169" s="106"/>
      <c r="Y169" s="106"/>
      <c r="Z169" s="106"/>
    </row>
    <row r="170" spans="1:26" ht="13.5" customHeight="1" x14ac:dyDescent="0.2">
      <c r="A170" s="106"/>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row>
    <row r="171" spans="1:26" ht="13.5" customHeight="1" x14ac:dyDescent="0.2">
      <c r="A171" s="106"/>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row>
    <row r="172" spans="1:26" ht="13.5" customHeight="1" x14ac:dyDescent="0.2">
      <c r="A172" s="106"/>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row>
    <row r="173" spans="1:26" ht="13.5" customHeight="1" x14ac:dyDescent="0.2">
      <c r="A173" s="106"/>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row>
    <row r="174" spans="1:26" ht="13.5" customHeight="1" x14ac:dyDescent="0.2">
      <c r="A174" s="106"/>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row>
    <row r="175" spans="1:26" ht="13.5" customHeight="1" x14ac:dyDescent="0.2">
      <c r="A175" s="106"/>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row>
    <row r="176" spans="1:26" ht="13.5" customHeight="1" x14ac:dyDescent="0.2">
      <c r="A176" s="106"/>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row>
    <row r="177" spans="1:26" ht="13.5" customHeight="1" x14ac:dyDescent="0.2">
      <c r="A177" s="106"/>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row>
    <row r="178" spans="1:26" ht="13.5" customHeight="1" x14ac:dyDescent="0.2">
      <c r="A178" s="106"/>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row>
    <row r="179" spans="1:26" ht="13.5" customHeight="1" x14ac:dyDescent="0.2">
      <c r="A179" s="106"/>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row>
    <row r="180" spans="1:26" ht="13.5" customHeight="1" x14ac:dyDescent="0.2">
      <c r="A180" s="106"/>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row>
    <row r="181" spans="1:26" ht="13.5" customHeight="1" x14ac:dyDescent="0.2">
      <c r="A181" s="106"/>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row>
    <row r="182" spans="1:26" ht="13.5" customHeight="1" x14ac:dyDescent="0.2">
      <c r="A182" s="106"/>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row>
    <row r="183" spans="1:26" ht="13.5" customHeight="1" x14ac:dyDescent="0.2">
      <c r="A183" s="106"/>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c r="Z183" s="106"/>
    </row>
    <row r="184" spans="1:26" ht="13.5" customHeight="1" x14ac:dyDescent="0.2">
      <c r="A184" s="106"/>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106"/>
    </row>
    <row r="185" spans="1:26" ht="13.5" customHeight="1" x14ac:dyDescent="0.2">
      <c r="A185" s="106"/>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row>
    <row r="186" spans="1:26" ht="13.5" customHeight="1" x14ac:dyDescent="0.2">
      <c r="A186" s="106"/>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106"/>
    </row>
    <row r="187" spans="1:26" ht="13.5" customHeight="1" x14ac:dyDescent="0.2">
      <c r="A187" s="106"/>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c r="Z187" s="106"/>
    </row>
    <row r="188" spans="1:26" ht="13.5" customHeight="1" x14ac:dyDescent="0.2">
      <c r="A188" s="106"/>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c r="Z188" s="106"/>
    </row>
    <row r="189" spans="1:26" ht="13.5" customHeight="1" x14ac:dyDescent="0.2">
      <c r="A189" s="106"/>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c r="Z189" s="106"/>
    </row>
    <row r="190" spans="1:26" ht="13.5" customHeight="1" x14ac:dyDescent="0.2">
      <c r="A190" s="106"/>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row>
    <row r="191" spans="1:26" ht="13.5" customHeight="1" x14ac:dyDescent="0.2">
      <c r="A191" s="106"/>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row>
    <row r="192" spans="1:26" ht="13.5" customHeight="1" x14ac:dyDescent="0.2">
      <c r="A192" s="106"/>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c r="Z192" s="106"/>
    </row>
    <row r="193" spans="1:26" ht="13.5" customHeight="1" x14ac:dyDescent="0.2">
      <c r="A193" s="106"/>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row>
    <row r="194" spans="1:26" ht="13.5" customHeight="1" x14ac:dyDescent="0.2">
      <c r="A194" s="106"/>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row>
    <row r="195" spans="1:26" ht="13.5" customHeight="1" x14ac:dyDescent="0.2">
      <c r="A195" s="106"/>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row>
    <row r="196" spans="1:26" ht="13.5" customHeight="1" x14ac:dyDescent="0.2">
      <c r="A196" s="106"/>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row>
    <row r="197" spans="1:26" ht="13.5" customHeight="1" x14ac:dyDescent="0.2">
      <c r="A197" s="106"/>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row>
    <row r="198" spans="1:26" ht="13.5" customHeight="1" x14ac:dyDescent="0.2">
      <c r="A198" s="106"/>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row>
    <row r="199" spans="1:26" ht="13.5" customHeight="1" x14ac:dyDescent="0.2">
      <c r="A199" s="106"/>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row>
    <row r="200" spans="1:26" ht="13.5" customHeight="1" x14ac:dyDescent="0.2">
      <c r="A200" s="106"/>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row>
    <row r="201" spans="1:26" ht="13.5" customHeight="1" x14ac:dyDescent="0.2">
      <c r="A201" s="106"/>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row>
    <row r="202" spans="1:26" ht="13.5" customHeight="1" x14ac:dyDescent="0.2">
      <c r="A202" s="106"/>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row>
    <row r="203" spans="1:26" ht="13.5" customHeight="1" x14ac:dyDescent="0.2">
      <c r="A203" s="106"/>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row>
    <row r="204" spans="1:26" ht="13.5" customHeight="1" x14ac:dyDescent="0.2">
      <c r="A204" s="106"/>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row>
    <row r="205" spans="1:26" ht="13.5" customHeight="1" x14ac:dyDescent="0.2">
      <c r="A205" s="106"/>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row>
    <row r="206" spans="1:26" ht="13.5" customHeight="1" x14ac:dyDescent="0.2">
      <c r="A206" s="106"/>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row>
    <row r="207" spans="1:26" ht="13.5" customHeight="1" x14ac:dyDescent="0.2">
      <c r="A207" s="106"/>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row>
    <row r="208" spans="1:26" ht="13.5" customHeight="1" x14ac:dyDescent="0.2">
      <c r="A208" s="106"/>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row>
    <row r="209" spans="1:26" ht="13.5" customHeight="1" x14ac:dyDescent="0.2">
      <c r="A209" s="106"/>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row>
    <row r="210" spans="1:26" ht="13.5" customHeight="1" x14ac:dyDescent="0.2">
      <c r="A210" s="106"/>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row>
    <row r="211" spans="1:26" ht="13.5" customHeight="1" x14ac:dyDescent="0.2">
      <c r="A211" s="106"/>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row>
    <row r="212" spans="1:26" ht="13.5" customHeight="1" x14ac:dyDescent="0.2">
      <c r="A212" s="106"/>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row>
    <row r="213" spans="1:26" ht="13.5" customHeight="1" x14ac:dyDescent="0.2">
      <c r="A213" s="106"/>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row>
    <row r="214" spans="1:26" ht="13.5" customHeight="1" x14ac:dyDescent="0.2">
      <c r="A214" s="106"/>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row>
    <row r="215" spans="1:26" ht="13.5" customHeight="1" x14ac:dyDescent="0.2">
      <c r="A215" s="106"/>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row>
    <row r="216" spans="1:26" ht="13.5" customHeight="1" x14ac:dyDescent="0.2">
      <c r="A216" s="106"/>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6"/>
      <c r="Z216" s="106"/>
    </row>
    <row r="217" spans="1:26" ht="13.5" customHeight="1" x14ac:dyDescent="0.2">
      <c r="A217" s="106"/>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c r="Z217" s="106"/>
    </row>
    <row r="218" spans="1:26" ht="13.5" customHeight="1" x14ac:dyDescent="0.2">
      <c r="A218" s="106"/>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6"/>
      <c r="Z218" s="106"/>
    </row>
    <row r="219" spans="1:26" ht="13.5" customHeight="1" x14ac:dyDescent="0.2">
      <c r="A219" s="106"/>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row>
    <row r="220" spans="1:26" ht="13.5" customHeight="1" x14ac:dyDescent="0.2">
      <c r="A220" s="106"/>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6"/>
      <c r="Z220" s="106"/>
    </row>
    <row r="221" spans="1:26" ht="13.5" customHeight="1" x14ac:dyDescent="0.2">
      <c r="A221" s="106"/>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c r="Z221" s="106"/>
    </row>
    <row r="222" spans="1:26" ht="13.5" customHeight="1" x14ac:dyDescent="0.2">
      <c r="A222" s="106"/>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c r="Z222" s="106"/>
    </row>
    <row r="223" spans="1:26" ht="13.5" customHeight="1" x14ac:dyDescent="0.2">
      <c r="A223" s="106"/>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row>
    <row r="224" spans="1:26" ht="13.5" customHeight="1" x14ac:dyDescent="0.2">
      <c r="A224" s="106"/>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row>
    <row r="225" spans="1:26" ht="13.5" customHeight="1" x14ac:dyDescent="0.2">
      <c r="A225" s="106"/>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row>
    <row r="226" spans="1:26" ht="13.5" customHeight="1" x14ac:dyDescent="0.2">
      <c r="A226" s="106"/>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row>
    <row r="227" spans="1:26" ht="13.5" customHeight="1" x14ac:dyDescent="0.2">
      <c r="A227" s="106"/>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row>
    <row r="228" spans="1:26" ht="13.5" customHeight="1" x14ac:dyDescent="0.2">
      <c r="A228" s="106"/>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row>
    <row r="229" spans="1:26" ht="13.5" customHeight="1" x14ac:dyDescent="0.2">
      <c r="A229" s="106"/>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row>
    <row r="230" spans="1:26" ht="13.5" customHeight="1" x14ac:dyDescent="0.2">
      <c r="A230" s="106"/>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row>
    <row r="231" spans="1:26" ht="13.5" customHeight="1" x14ac:dyDescent="0.2">
      <c r="A231" s="106"/>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row>
    <row r="232" spans="1:26" ht="13.5" customHeight="1" x14ac:dyDescent="0.2">
      <c r="A232" s="106"/>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row>
    <row r="233" spans="1:26" ht="13.5" customHeight="1" x14ac:dyDescent="0.2">
      <c r="A233" s="106"/>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row>
    <row r="234" spans="1:26" ht="13.5" customHeight="1" x14ac:dyDescent="0.2">
      <c r="A234" s="106"/>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row>
    <row r="235" spans="1:26" ht="13.5" customHeight="1" x14ac:dyDescent="0.2">
      <c r="A235" s="106"/>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c r="Z235" s="106"/>
    </row>
    <row r="236" spans="1:26" ht="13.5" customHeight="1" x14ac:dyDescent="0.2">
      <c r="A236" s="106"/>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row>
    <row r="237" spans="1:26" ht="13.5" customHeight="1" x14ac:dyDescent="0.2">
      <c r="A237" s="106"/>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c r="Z237" s="106"/>
    </row>
    <row r="238" spans="1:26" ht="13.5" customHeight="1" x14ac:dyDescent="0.2">
      <c r="A238" s="106"/>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c r="Z238" s="106"/>
    </row>
    <row r="239" spans="1:26" ht="13.5" customHeight="1" x14ac:dyDescent="0.2">
      <c r="A239" s="106"/>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c r="Z239" s="106"/>
    </row>
    <row r="240" spans="1:26" ht="13.5" customHeight="1" x14ac:dyDescent="0.2">
      <c r="A240" s="106"/>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row>
    <row r="241" spans="1:26" ht="13.5" customHeight="1" x14ac:dyDescent="0.2">
      <c r="A241" s="106"/>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row>
    <row r="242" spans="1:26" ht="13.5" customHeight="1" x14ac:dyDescent="0.2">
      <c r="A242" s="106"/>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row>
    <row r="243" spans="1:26" ht="13.5" customHeight="1" x14ac:dyDescent="0.2">
      <c r="A243" s="106"/>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c r="Z243" s="106"/>
    </row>
    <row r="244" spans="1:26" ht="13.5" customHeight="1" x14ac:dyDescent="0.2">
      <c r="A244" s="106"/>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c r="Z244" s="106"/>
    </row>
    <row r="245" spans="1:26" ht="13.5" customHeight="1" x14ac:dyDescent="0.2">
      <c r="A245" s="106"/>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c r="Z245" s="106"/>
    </row>
    <row r="246" spans="1:26" ht="13.5" customHeight="1" x14ac:dyDescent="0.2">
      <c r="A246" s="106"/>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c r="Z246" s="106"/>
    </row>
    <row r="247" spans="1:26" ht="13.5" customHeight="1" x14ac:dyDescent="0.2">
      <c r="A247" s="106"/>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c r="Z247" s="106"/>
    </row>
    <row r="248" spans="1:26" ht="13.5" customHeight="1" x14ac:dyDescent="0.2">
      <c r="A248" s="106"/>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c r="Z248" s="106"/>
    </row>
    <row r="249" spans="1:26" ht="13.5" customHeight="1" x14ac:dyDescent="0.2">
      <c r="A249" s="106"/>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c r="Z249" s="106"/>
    </row>
    <row r="250" spans="1:26" ht="13.5" customHeight="1" x14ac:dyDescent="0.2">
      <c r="A250" s="106"/>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c r="Z250" s="106"/>
    </row>
    <row r="251" spans="1:26" ht="13.5" customHeight="1" x14ac:dyDescent="0.2">
      <c r="A251" s="106"/>
      <c r="B251" s="106"/>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c r="Z251" s="106"/>
    </row>
    <row r="252" spans="1:26" ht="13.5" customHeight="1" x14ac:dyDescent="0.2">
      <c r="A252" s="106"/>
      <c r="B252" s="106"/>
      <c r="C252" s="106"/>
      <c r="D252" s="106"/>
      <c r="E252" s="106"/>
      <c r="F252" s="106"/>
      <c r="G252" s="106"/>
      <c r="H252" s="106"/>
      <c r="I252" s="106"/>
      <c r="J252" s="106"/>
      <c r="K252" s="106"/>
      <c r="L252" s="106"/>
      <c r="M252" s="106"/>
      <c r="N252" s="106"/>
      <c r="O252" s="106"/>
      <c r="P252" s="106"/>
      <c r="Q252" s="106"/>
      <c r="R252" s="106"/>
      <c r="S252" s="106"/>
      <c r="T252" s="106"/>
      <c r="U252" s="106"/>
      <c r="V252" s="106"/>
      <c r="W252" s="106"/>
      <c r="X252" s="106"/>
      <c r="Y252" s="106"/>
      <c r="Z252" s="106"/>
    </row>
    <row r="253" spans="1:26" ht="13.5" customHeight="1" x14ac:dyDescent="0.2">
      <c r="A253" s="106"/>
      <c r="B253" s="106"/>
      <c r="C253" s="106"/>
      <c r="D253" s="106"/>
      <c r="E253" s="106"/>
      <c r="F253" s="106"/>
      <c r="G253" s="106"/>
      <c r="H253" s="106"/>
      <c r="I253" s="106"/>
      <c r="J253" s="106"/>
      <c r="K253" s="106"/>
      <c r="L253" s="106"/>
      <c r="M253" s="106"/>
      <c r="N253" s="106"/>
      <c r="O253" s="106"/>
      <c r="P253" s="106"/>
      <c r="Q253" s="106"/>
      <c r="R253" s="106"/>
      <c r="S253" s="106"/>
      <c r="T253" s="106"/>
      <c r="U253" s="106"/>
      <c r="V253" s="106"/>
      <c r="W253" s="106"/>
      <c r="X253" s="106"/>
      <c r="Y253" s="106"/>
      <c r="Z253" s="106"/>
    </row>
    <row r="254" spans="1:26" ht="13.5" customHeight="1" x14ac:dyDescent="0.2">
      <c r="A254" s="106"/>
      <c r="B254" s="106"/>
      <c r="C254" s="106"/>
      <c r="D254" s="106"/>
      <c r="E254" s="106"/>
      <c r="F254" s="106"/>
      <c r="G254" s="106"/>
      <c r="H254" s="106"/>
      <c r="I254" s="106"/>
      <c r="J254" s="106"/>
      <c r="K254" s="106"/>
      <c r="L254" s="106"/>
      <c r="M254" s="106"/>
      <c r="N254" s="106"/>
      <c r="O254" s="106"/>
      <c r="P254" s="106"/>
      <c r="Q254" s="106"/>
      <c r="R254" s="106"/>
      <c r="S254" s="106"/>
      <c r="T254" s="106"/>
      <c r="U254" s="106"/>
      <c r="V254" s="106"/>
      <c r="W254" s="106"/>
      <c r="X254" s="106"/>
      <c r="Y254" s="106"/>
      <c r="Z254" s="106"/>
    </row>
    <row r="255" spans="1:26" ht="13.5" customHeight="1" x14ac:dyDescent="0.2">
      <c r="A255" s="106"/>
      <c r="B255" s="106"/>
      <c r="C255" s="106"/>
      <c r="D255" s="106"/>
      <c r="E255" s="106"/>
      <c r="F255" s="106"/>
      <c r="G255" s="106"/>
      <c r="H255" s="106"/>
      <c r="I255" s="106"/>
      <c r="J255" s="106"/>
      <c r="K255" s="106"/>
      <c r="L255" s="106"/>
      <c r="M255" s="106"/>
      <c r="N255" s="106"/>
      <c r="O255" s="106"/>
      <c r="P255" s="106"/>
      <c r="Q255" s="106"/>
      <c r="R255" s="106"/>
      <c r="S255" s="106"/>
      <c r="T255" s="106"/>
      <c r="U255" s="106"/>
      <c r="V255" s="106"/>
      <c r="W255" s="106"/>
      <c r="X255" s="106"/>
      <c r="Y255" s="106"/>
      <c r="Z255" s="106"/>
    </row>
    <row r="256" spans="1:26" ht="13.5" customHeight="1" x14ac:dyDescent="0.2">
      <c r="A256" s="106"/>
      <c r="B256" s="106"/>
      <c r="C256" s="106"/>
      <c r="D256" s="106"/>
      <c r="E256" s="106"/>
      <c r="F256" s="106"/>
      <c r="G256" s="106"/>
      <c r="H256" s="106"/>
      <c r="I256" s="106"/>
      <c r="J256" s="106"/>
      <c r="K256" s="106"/>
      <c r="L256" s="106"/>
      <c r="M256" s="106"/>
      <c r="N256" s="106"/>
      <c r="O256" s="106"/>
      <c r="P256" s="106"/>
      <c r="Q256" s="106"/>
      <c r="R256" s="106"/>
      <c r="S256" s="106"/>
      <c r="T256" s="106"/>
      <c r="U256" s="106"/>
      <c r="V256" s="106"/>
      <c r="W256" s="106"/>
      <c r="X256" s="106"/>
      <c r="Y256" s="106"/>
      <c r="Z256" s="106"/>
    </row>
    <row r="257" spans="1:26" ht="13.5" customHeight="1" x14ac:dyDescent="0.2">
      <c r="A257" s="106"/>
      <c r="B257" s="106"/>
      <c r="C257" s="106"/>
      <c r="D257" s="106"/>
      <c r="E257" s="106"/>
      <c r="F257" s="106"/>
      <c r="G257" s="106"/>
      <c r="H257" s="106"/>
      <c r="I257" s="106"/>
      <c r="J257" s="106"/>
      <c r="K257" s="106"/>
      <c r="L257" s="106"/>
      <c r="M257" s="106"/>
      <c r="N257" s="106"/>
      <c r="O257" s="106"/>
      <c r="P257" s="106"/>
      <c r="Q257" s="106"/>
      <c r="R257" s="106"/>
      <c r="S257" s="106"/>
      <c r="T257" s="106"/>
      <c r="U257" s="106"/>
      <c r="V257" s="106"/>
      <c r="W257" s="106"/>
      <c r="X257" s="106"/>
      <c r="Y257" s="106"/>
      <c r="Z257" s="106"/>
    </row>
    <row r="258" spans="1:26" ht="13.5" customHeight="1" x14ac:dyDescent="0.2">
      <c r="A258" s="106"/>
      <c r="B258" s="106"/>
      <c r="C258" s="106"/>
      <c r="D258" s="106"/>
      <c r="E258" s="106"/>
      <c r="F258" s="106"/>
      <c r="G258" s="106"/>
      <c r="H258" s="106"/>
      <c r="I258" s="106"/>
      <c r="J258" s="106"/>
      <c r="K258" s="106"/>
      <c r="L258" s="106"/>
      <c r="M258" s="106"/>
      <c r="N258" s="106"/>
      <c r="O258" s="106"/>
      <c r="P258" s="106"/>
      <c r="Q258" s="106"/>
      <c r="R258" s="106"/>
      <c r="S258" s="106"/>
      <c r="T258" s="106"/>
      <c r="U258" s="106"/>
      <c r="V258" s="106"/>
      <c r="W258" s="106"/>
      <c r="X258" s="106"/>
      <c r="Y258" s="106"/>
      <c r="Z258" s="106"/>
    </row>
    <row r="259" spans="1:26" ht="13.5" customHeight="1" x14ac:dyDescent="0.2">
      <c r="A259" s="106"/>
      <c r="B259" s="106"/>
      <c r="C259" s="106"/>
      <c r="D259" s="106"/>
      <c r="E259" s="106"/>
      <c r="F259" s="106"/>
      <c r="G259" s="106"/>
      <c r="H259" s="106"/>
      <c r="I259" s="106"/>
      <c r="J259" s="106"/>
      <c r="K259" s="106"/>
      <c r="L259" s="106"/>
      <c r="M259" s="106"/>
      <c r="N259" s="106"/>
      <c r="O259" s="106"/>
      <c r="P259" s="106"/>
      <c r="Q259" s="106"/>
      <c r="R259" s="106"/>
      <c r="S259" s="106"/>
      <c r="T259" s="106"/>
      <c r="U259" s="106"/>
      <c r="V259" s="106"/>
      <c r="W259" s="106"/>
      <c r="X259" s="106"/>
      <c r="Y259" s="106"/>
      <c r="Z259" s="106"/>
    </row>
    <row r="260" spans="1:26" ht="13.5" customHeight="1" x14ac:dyDescent="0.2">
      <c r="A260" s="106"/>
      <c r="B260" s="106"/>
      <c r="C260" s="106"/>
      <c r="D260" s="106"/>
      <c r="E260" s="106"/>
      <c r="F260" s="106"/>
      <c r="G260" s="106"/>
      <c r="H260" s="106"/>
      <c r="I260" s="106"/>
      <c r="J260" s="106"/>
      <c r="K260" s="106"/>
      <c r="L260" s="106"/>
      <c r="M260" s="106"/>
      <c r="N260" s="106"/>
      <c r="O260" s="106"/>
      <c r="P260" s="106"/>
      <c r="Q260" s="106"/>
      <c r="R260" s="106"/>
      <c r="S260" s="106"/>
      <c r="T260" s="106"/>
      <c r="U260" s="106"/>
      <c r="V260" s="106"/>
      <c r="W260" s="106"/>
      <c r="X260" s="106"/>
      <c r="Y260" s="106"/>
      <c r="Z260" s="106"/>
    </row>
    <row r="261" spans="1:26" ht="13.5" customHeight="1" x14ac:dyDescent="0.2">
      <c r="A261" s="106"/>
      <c r="B261" s="106"/>
      <c r="C261" s="106"/>
      <c r="D261" s="106"/>
      <c r="E261" s="106"/>
      <c r="F261" s="106"/>
      <c r="G261" s="106"/>
      <c r="H261" s="106"/>
      <c r="I261" s="106"/>
      <c r="J261" s="106"/>
      <c r="K261" s="106"/>
      <c r="L261" s="106"/>
      <c r="M261" s="106"/>
      <c r="N261" s="106"/>
      <c r="O261" s="106"/>
      <c r="P261" s="106"/>
      <c r="Q261" s="106"/>
      <c r="R261" s="106"/>
      <c r="S261" s="106"/>
      <c r="T261" s="106"/>
      <c r="U261" s="106"/>
      <c r="V261" s="106"/>
      <c r="W261" s="106"/>
      <c r="X261" s="106"/>
      <c r="Y261" s="106"/>
      <c r="Z261" s="106"/>
    </row>
    <row r="262" spans="1:26" ht="13.5" customHeight="1" x14ac:dyDescent="0.2">
      <c r="A262" s="106"/>
      <c r="B262" s="106"/>
      <c r="C262" s="106"/>
      <c r="D262" s="106"/>
      <c r="E262" s="106"/>
      <c r="F262" s="106"/>
      <c r="G262" s="106"/>
      <c r="H262" s="106"/>
      <c r="I262" s="106"/>
      <c r="J262" s="106"/>
      <c r="K262" s="106"/>
      <c r="L262" s="106"/>
      <c r="M262" s="106"/>
      <c r="N262" s="106"/>
      <c r="O262" s="106"/>
      <c r="P262" s="106"/>
      <c r="Q262" s="106"/>
      <c r="R262" s="106"/>
      <c r="S262" s="106"/>
      <c r="T262" s="106"/>
      <c r="U262" s="106"/>
      <c r="V262" s="106"/>
      <c r="W262" s="106"/>
      <c r="X262" s="106"/>
      <c r="Y262" s="106"/>
      <c r="Z262" s="106"/>
    </row>
    <row r="263" spans="1:26" ht="13.5" customHeight="1" x14ac:dyDescent="0.2">
      <c r="A263" s="106"/>
      <c r="B263" s="106"/>
      <c r="C263" s="106"/>
      <c r="D263" s="106"/>
      <c r="E263" s="106"/>
      <c r="F263" s="106"/>
      <c r="G263" s="106"/>
      <c r="H263" s="106"/>
      <c r="I263" s="106"/>
      <c r="J263" s="106"/>
      <c r="K263" s="106"/>
      <c r="L263" s="106"/>
      <c r="M263" s="106"/>
      <c r="N263" s="106"/>
      <c r="O263" s="106"/>
      <c r="P263" s="106"/>
      <c r="Q263" s="106"/>
      <c r="R263" s="106"/>
      <c r="S263" s="106"/>
      <c r="T263" s="106"/>
      <c r="U263" s="106"/>
      <c r="V263" s="106"/>
      <c r="W263" s="106"/>
      <c r="X263" s="106"/>
      <c r="Y263" s="106"/>
      <c r="Z263" s="106"/>
    </row>
    <row r="264" spans="1:26" ht="13.5" customHeight="1" x14ac:dyDescent="0.2">
      <c r="A264" s="106"/>
      <c r="B264" s="106"/>
      <c r="C264" s="106"/>
      <c r="D264" s="106"/>
      <c r="E264" s="106"/>
      <c r="F264" s="106"/>
      <c r="G264" s="106"/>
      <c r="H264" s="106"/>
      <c r="I264" s="106"/>
      <c r="J264" s="106"/>
      <c r="K264" s="106"/>
      <c r="L264" s="106"/>
      <c r="M264" s="106"/>
      <c r="N264" s="106"/>
      <c r="O264" s="106"/>
      <c r="P264" s="106"/>
      <c r="Q264" s="106"/>
      <c r="R264" s="106"/>
      <c r="S264" s="106"/>
      <c r="T264" s="106"/>
      <c r="U264" s="106"/>
      <c r="V264" s="106"/>
      <c r="W264" s="106"/>
      <c r="X264" s="106"/>
      <c r="Y264" s="106"/>
      <c r="Z264" s="106"/>
    </row>
    <row r="265" spans="1:26" ht="13.5" customHeight="1" x14ac:dyDescent="0.2">
      <c r="A265" s="106"/>
      <c r="B265" s="106"/>
      <c r="C265" s="106"/>
      <c r="D265" s="106"/>
      <c r="E265" s="106"/>
      <c r="F265" s="106"/>
      <c r="G265" s="106"/>
      <c r="H265" s="106"/>
      <c r="I265" s="106"/>
      <c r="J265" s="106"/>
      <c r="K265" s="106"/>
      <c r="L265" s="106"/>
      <c r="M265" s="106"/>
      <c r="N265" s="106"/>
      <c r="O265" s="106"/>
      <c r="P265" s="106"/>
      <c r="Q265" s="106"/>
      <c r="R265" s="106"/>
      <c r="S265" s="106"/>
      <c r="T265" s="106"/>
      <c r="U265" s="106"/>
      <c r="V265" s="106"/>
      <c r="W265" s="106"/>
      <c r="X265" s="106"/>
      <c r="Y265" s="106"/>
      <c r="Z265" s="106"/>
    </row>
    <row r="266" spans="1:26" ht="13.5" customHeight="1" x14ac:dyDescent="0.2">
      <c r="A266" s="106"/>
      <c r="B266" s="106"/>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c r="Z266" s="106"/>
    </row>
    <row r="267" spans="1:26" ht="13.5" customHeight="1" x14ac:dyDescent="0.2">
      <c r="A267" s="106"/>
      <c r="B267" s="106"/>
      <c r="C267" s="106"/>
      <c r="D267" s="106"/>
      <c r="E267" s="106"/>
      <c r="F267" s="106"/>
      <c r="G267" s="106"/>
      <c r="H267" s="106"/>
      <c r="I267" s="106"/>
      <c r="J267" s="106"/>
      <c r="K267" s="106"/>
      <c r="L267" s="106"/>
      <c r="M267" s="106"/>
      <c r="N267" s="106"/>
      <c r="O267" s="106"/>
      <c r="P267" s="106"/>
      <c r="Q267" s="106"/>
      <c r="R267" s="106"/>
      <c r="S267" s="106"/>
      <c r="T267" s="106"/>
      <c r="U267" s="106"/>
      <c r="V267" s="106"/>
      <c r="W267" s="106"/>
      <c r="X267" s="106"/>
      <c r="Y267" s="106"/>
      <c r="Z267" s="106"/>
    </row>
    <row r="268" spans="1:26" ht="13.5" customHeight="1" x14ac:dyDescent="0.2">
      <c r="A268" s="106"/>
      <c r="B268" s="106"/>
      <c r="C268" s="106"/>
      <c r="D268" s="106"/>
      <c r="E268" s="106"/>
      <c r="F268" s="106"/>
      <c r="G268" s="106"/>
      <c r="H268" s="106"/>
      <c r="I268" s="106"/>
      <c r="J268" s="106"/>
      <c r="K268" s="106"/>
      <c r="L268" s="106"/>
      <c r="M268" s="106"/>
      <c r="N268" s="106"/>
      <c r="O268" s="106"/>
      <c r="P268" s="106"/>
      <c r="Q268" s="106"/>
      <c r="R268" s="106"/>
      <c r="S268" s="106"/>
      <c r="T268" s="106"/>
      <c r="U268" s="106"/>
      <c r="V268" s="106"/>
      <c r="W268" s="106"/>
      <c r="X268" s="106"/>
      <c r="Y268" s="106"/>
      <c r="Z268" s="106"/>
    </row>
    <row r="269" spans="1:26" ht="13.5" customHeight="1" x14ac:dyDescent="0.2">
      <c r="A269" s="106"/>
      <c r="B269" s="106"/>
      <c r="C269" s="106"/>
      <c r="D269" s="106"/>
      <c r="E269" s="106"/>
      <c r="F269" s="106"/>
      <c r="G269" s="106"/>
      <c r="H269" s="106"/>
      <c r="I269" s="106"/>
      <c r="J269" s="106"/>
      <c r="K269" s="106"/>
      <c r="L269" s="106"/>
      <c r="M269" s="106"/>
      <c r="N269" s="106"/>
      <c r="O269" s="106"/>
      <c r="P269" s="106"/>
      <c r="Q269" s="106"/>
      <c r="R269" s="106"/>
      <c r="S269" s="106"/>
      <c r="T269" s="106"/>
      <c r="U269" s="106"/>
      <c r="V269" s="106"/>
      <c r="W269" s="106"/>
      <c r="X269" s="106"/>
      <c r="Y269" s="106"/>
      <c r="Z269" s="106"/>
    </row>
    <row r="270" spans="1:26" ht="13.5" customHeight="1" x14ac:dyDescent="0.2">
      <c r="A270" s="106"/>
      <c r="B270" s="106"/>
      <c r="C270" s="106"/>
      <c r="D270" s="106"/>
      <c r="E270" s="106"/>
      <c r="F270" s="106"/>
      <c r="G270" s="106"/>
      <c r="H270" s="106"/>
      <c r="I270" s="106"/>
      <c r="J270" s="106"/>
      <c r="K270" s="106"/>
      <c r="L270" s="106"/>
      <c r="M270" s="106"/>
      <c r="N270" s="106"/>
      <c r="O270" s="106"/>
      <c r="P270" s="106"/>
      <c r="Q270" s="106"/>
      <c r="R270" s="106"/>
      <c r="S270" s="106"/>
      <c r="T270" s="106"/>
      <c r="U270" s="106"/>
      <c r="V270" s="106"/>
      <c r="W270" s="106"/>
      <c r="X270" s="106"/>
      <c r="Y270" s="106"/>
      <c r="Z270" s="106"/>
    </row>
    <row r="271" spans="1:26" ht="13.5" customHeight="1" x14ac:dyDescent="0.2">
      <c r="A271" s="106"/>
      <c r="B271" s="106"/>
      <c r="C271" s="106"/>
      <c r="D271" s="106"/>
      <c r="E271" s="106"/>
      <c r="F271" s="106"/>
      <c r="G271" s="106"/>
      <c r="H271" s="106"/>
      <c r="I271" s="106"/>
      <c r="J271" s="106"/>
      <c r="K271" s="106"/>
      <c r="L271" s="106"/>
      <c r="M271" s="106"/>
      <c r="N271" s="106"/>
      <c r="O271" s="106"/>
      <c r="P271" s="106"/>
      <c r="Q271" s="106"/>
      <c r="R271" s="106"/>
      <c r="S271" s="106"/>
      <c r="T271" s="106"/>
      <c r="U271" s="106"/>
      <c r="V271" s="106"/>
      <c r="W271" s="106"/>
      <c r="X271" s="106"/>
      <c r="Y271" s="106"/>
      <c r="Z271" s="106"/>
    </row>
    <row r="272" spans="1:26" ht="13.5" customHeight="1" x14ac:dyDescent="0.2">
      <c r="A272" s="106"/>
      <c r="B272" s="106"/>
      <c r="C272" s="106"/>
      <c r="D272" s="106"/>
      <c r="E272" s="106"/>
      <c r="F272" s="106"/>
      <c r="G272" s="106"/>
      <c r="H272" s="106"/>
      <c r="I272" s="106"/>
      <c r="J272" s="106"/>
      <c r="K272" s="106"/>
      <c r="L272" s="106"/>
      <c r="M272" s="106"/>
      <c r="N272" s="106"/>
      <c r="O272" s="106"/>
      <c r="P272" s="106"/>
      <c r="Q272" s="106"/>
      <c r="R272" s="106"/>
      <c r="S272" s="106"/>
      <c r="T272" s="106"/>
      <c r="U272" s="106"/>
      <c r="V272" s="106"/>
      <c r="W272" s="106"/>
      <c r="X272" s="106"/>
      <c r="Y272" s="106"/>
      <c r="Z272" s="106"/>
    </row>
    <row r="273" spans="1:26" ht="13.5" customHeight="1" x14ac:dyDescent="0.2">
      <c r="A273" s="106"/>
      <c r="B273" s="106"/>
      <c r="C273" s="106"/>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6"/>
      <c r="Z273" s="106"/>
    </row>
    <row r="274" spans="1:26" ht="13.5" customHeight="1" x14ac:dyDescent="0.2">
      <c r="A274" s="106"/>
      <c r="B274" s="106"/>
      <c r="C274" s="106"/>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c r="Z274" s="106"/>
    </row>
    <row r="275" spans="1:26" ht="13.5" customHeight="1" x14ac:dyDescent="0.2">
      <c r="A275" s="106"/>
      <c r="B275" s="106"/>
      <c r="C275" s="106"/>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c r="Z275" s="106"/>
    </row>
    <row r="276" spans="1:26" ht="13.5" customHeight="1" x14ac:dyDescent="0.2">
      <c r="A276" s="106"/>
      <c r="B276" s="106"/>
      <c r="C276" s="106"/>
      <c r="D276" s="106"/>
      <c r="E276" s="106"/>
      <c r="F276" s="106"/>
      <c r="G276" s="106"/>
      <c r="H276" s="106"/>
      <c r="I276" s="106"/>
      <c r="J276" s="106"/>
      <c r="K276" s="106"/>
      <c r="L276" s="106"/>
      <c r="M276" s="106"/>
      <c r="N276" s="106"/>
      <c r="O276" s="106"/>
      <c r="P276" s="106"/>
      <c r="Q276" s="106"/>
      <c r="R276" s="106"/>
      <c r="S276" s="106"/>
      <c r="T276" s="106"/>
      <c r="U276" s="106"/>
      <c r="V276" s="106"/>
      <c r="W276" s="106"/>
      <c r="X276" s="106"/>
      <c r="Y276" s="106"/>
      <c r="Z276" s="106"/>
    </row>
    <row r="277" spans="1:26" ht="13.5" customHeight="1" x14ac:dyDescent="0.2">
      <c r="A277" s="106"/>
      <c r="B277" s="106"/>
      <c r="C277" s="106"/>
      <c r="D277" s="106"/>
      <c r="E277" s="106"/>
      <c r="F277" s="106"/>
      <c r="G277" s="106"/>
      <c r="H277" s="106"/>
      <c r="I277" s="106"/>
      <c r="J277" s="106"/>
      <c r="K277" s="106"/>
      <c r="L277" s="106"/>
      <c r="M277" s="106"/>
      <c r="N277" s="106"/>
      <c r="O277" s="106"/>
      <c r="P277" s="106"/>
      <c r="Q277" s="106"/>
      <c r="R277" s="106"/>
      <c r="S277" s="106"/>
      <c r="T277" s="106"/>
      <c r="U277" s="106"/>
      <c r="V277" s="106"/>
      <c r="W277" s="106"/>
      <c r="X277" s="106"/>
      <c r="Y277" s="106"/>
      <c r="Z277" s="106"/>
    </row>
    <row r="278" spans="1:26" ht="13.5" customHeight="1" x14ac:dyDescent="0.2">
      <c r="A278" s="106"/>
      <c r="B278" s="106"/>
      <c r="C278" s="106"/>
      <c r="D278" s="106"/>
      <c r="E278" s="106"/>
      <c r="F278" s="106"/>
      <c r="G278" s="106"/>
      <c r="H278" s="106"/>
      <c r="I278" s="106"/>
      <c r="J278" s="106"/>
      <c r="K278" s="106"/>
      <c r="L278" s="106"/>
      <c r="M278" s="106"/>
      <c r="N278" s="106"/>
      <c r="O278" s="106"/>
      <c r="P278" s="106"/>
      <c r="Q278" s="106"/>
      <c r="R278" s="106"/>
      <c r="S278" s="106"/>
      <c r="T278" s="106"/>
      <c r="U278" s="106"/>
      <c r="V278" s="106"/>
      <c r="W278" s="106"/>
      <c r="X278" s="106"/>
      <c r="Y278" s="106"/>
      <c r="Z278" s="106"/>
    </row>
    <row r="279" spans="1:26" ht="13.5" customHeight="1" x14ac:dyDescent="0.2">
      <c r="A279" s="106"/>
      <c r="B279" s="106"/>
      <c r="C279" s="106"/>
      <c r="D279" s="106"/>
      <c r="E279" s="106"/>
      <c r="F279" s="106"/>
      <c r="G279" s="106"/>
      <c r="H279" s="106"/>
      <c r="I279" s="106"/>
      <c r="J279" s="106"/>
      <c r="K279" s="106"/>
      <c r="L279" s="106"/>
      <c r="M279" s="106"/>
      <c r="N279" s="106"/>
      <c r="O279" s="106"/>
      <c r="P279" s="106"/>
      <c r="Q279" s="106"/>
      <c r="R279" s="106"/>
      <c r="S279" s="106"/>
      <c r="T279" s="106"/>
      <c r="U279" s="106"/>
      <c r="V279" s="106"/>
      <c r="W279" s="106"/>
      <c r="X279" s="106"/>
      <c r="Y279" s="106"/>
      <c r="Z279" s="106"/>
    </row>
    <row r="280" spans="1:26" ht="13.5" customHeight="1" x14ac:dyDescent="0.2">
      <c r="A280" s="106"/>
      <c r="B280" s="106"/>
      <c r="C280" s="106"/>
      <c r="D280" s="106"/>
      <c r="E280" s="106"/>
      <c r="F280" s="106"/>
      <c r="G280" s="106"/>
      <c r="H280" s="106"/>
      <c r="I280" s="106"/>
      <c r="J280" s="106"/>
      <c r="K280" s="106"/>
      <c r="L280" s="106"/>
      <c r="M280" s="106"/>
      <c r="N280" s="106"/>
      <c r="O280" s="106"/>
      <c r="P280" s="106"/>
      <c r="Q280" s="106"/>
      <c r="R280" s="106"/>
      <c r="S280" s="106"/>
      <c r="T280" s="106"/>
      <c r="U280" s="106"/>
      <c r="V280" s="106"/>
      <c r="W280" s="106"/>
      <c r="X280" s="106"/>
      <c r="Y280" s="106"/>
      <c r="Z280" s="106"/>
    </row>
    <row r="281" spans="1:26" ht="13.5" customHeight="1" x14ac:dyDescent="0.2">
      <c r="A281" s="106"/>
      <c r="B281" s="106"/>
      <c r="C281" s="106"/>
      <c r="D281" s="106"/>
      <c r="E281" s="106"/>
      <c r="F281" s="106"/>
      <c r="G281" s="106"/>
      <c r="H281" s="106"/>
      <c r="I281" s="106"/>
      <c r="J281" s="106"/>
      <c r="K281" s="106"/>
      <c r="L281" s="106"/>
      <c r="M281" s="106"/>
      <c r="N281" s="106"/>
      <c r="O281" s="106"/>
      <c r="P281" s="106"/>
      <c r="Q281" s="106"/>
      <c r="R281" s="106"/>
      <c r="S281" s="106"/>
      <c r="T281" s="106"/>
      <c r="U281" s="106"/>
      <c r="V281" s="106"/>
      <c r="W281" s="106"/>
      <c r="X281" s="106"/>
      <c r="Y281" s="106"/>
      <c r="Z281" s="106"/>
    </row>
    <row r="282" spans="1:26" ht="13.5" customHeight="1" x14ac:dyDescent="0.2">
      <c r="A282" s="106"/>
      <c r="B282" s="106"/>
      <c r="C282" s="106"/>
      <c r="D282" s="106"/>
      <c r="E282" s="106"/>
      <c r="F282" s="106"/>
      <c r="G282" s="106"/>
      <c r="H282" s="106"/>
      <c r="I282" s="106"/>
      <c r="J282" s="106"/>
      <c r="K282" s="106"/>
      <c r="L282" s="106"/>
      <c r="M282" s="106"/>
      <c r="N282" s="106"/>
      <c r="O282" s="106"/>
      <c r="P282" s="106"/>
      <c r="Q282" s="106"/>
      <c r="R282" s="106"/>
      <c r="S282" s="106"/>
      <c r="T282" s="106"/>
      <c r="U282" s="106"/>
      <c r="V282" s="106"/>
      <c r="W282" s="106"/>
      <c r="X282" s="106"/>
      <c r="Y282" s="106"/>
      <c r="Z282" s="106"/>
    </row>
    <row r="283" spans="1:26" ht="13.5" customHeight="1" x14ac:dyDescent="0.2">
      <c r="A283" s="106"/>
      <c r="B283" s="106"/>
      <c r="C283" s="106"/>
      <c r="D283" s="106"/>
      <c r="E283" s="106"/>
      <c r="F283" s="106"/>
      <c r="G283" s="106"/>
      <c r="H283" s="106"/>
      <c r="I283" s="106"/>
      <c r="J283" s="106"/>
      <c r="K283" s="106"/>
      <c r="L283" s="106"/>
      <c r="M283" s="106"/>
      <c r="N283" s="106"/>
      <c r="O283" s="106"/>
      <c r="P283" s="106"/>
      <c r="Q283" s="106"/>
      <c r="R283" s="106"/>
      <c r="S283" s="106"/>
      <c r="T283" s="106"/>
      <c r="U283" s="106"/>
      <c r="V283" s="106"/>
      <c r="W283" s="106"/>
      <c r="X283" s="106"/>
      <c r="Y283" s="106"/>
      <c r="Z283" s="106"/>
    </row>
    <row r="284" spans="1:26" ht="13.5" customHeight="1" x14ac:dyDescent="0.2">
      <c r="A284" s="106"/>
      <c r="B284" s="106"/>
      <c r="C284" s="106"/>
      <c r="D284" s="106"/>
      <c r="E284" s="106"/>
      <c r="F284" s="106"/>
      <c r="G284" s="106"/>
      <c r="H284" s="106"/>
      <c r="I284" s="106"/>
      <c r="J284" s="106"/>
      <c r="K284" s="106"/>
      <c r="L284" s="106"/>
      <c r="M284" s="106"/>
      <c r="N284" s="106"/>
      <c r="O284" s="106"/>
      <c r="P284" s="106"/>
      <c r="Q284" s="106"/>
      <c r="R284" s="106"/>
      <c r="S284" s="106"/>
      <c r="T284" s="106"/>
      <c r="U284" s="106"/>
      <c r="V284" s="106"/>
      <c r="W284" s="106"/>
      <c r="X284" s="106"/>
      <c r="Y284" s="106"/>
      <c r="Z284" s="106"/>
    </row>
    <row r="285" spans="1:26" ht="13.5" customHeight="1" x14ac:dyDescent="0.2">
      <c r="A285" s="106"/>
      <c r="B285" s="106"/>
      <c r="C285" s="106"/>
      <c r="D285" s="106"/>
      <c r="E285" s="106"/>
      <c r="F285" s="106"/>
      <c r="G285" s="106"/>
      <c r="H285" s="106"/>
      <c r="I285" s="106"/>
      <c r="J285" s="106"/>
      <c r="K285" s="106"/>
      <c r="L285" s="106"/>
      <c r="M285" s="106"/>
      <c r="N285" s="106"/>
      <c r="O285" s="106"/>
      <c r="P285" s="106"/>
      <c r="Q285" s="106"/>
      <c r="R285" s="106"/>
      <c r="S285" s="106"/>
      <c r="T285" s="106"/>
      <c r="U285" s="106"/>
      <c r="V285" s="106"/>
      <c r="W285" s="106"/>
      <c r="X285" s="106"/>
      <c r="Y285" s="106"/>
      <c r="Z285" s="106"/>
    </row>
    <row r="286" spans="1:26" ht="13.5" customHeight="1" x14ac:dyDescent="0.2">
      <c r="A286" s="106"/>
      <c r="B286" s="106"/>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06"/>
      <c r="Y286" s="106"/>
      <c r="Z286" s="106"/>
    </row>
    <row r="287" spans="1:26" ht="13.5" customHeight="1" x14ac:dyDescent="0.2">
      <c r="A287" s="106"/>
      <c r="B287" s="106"/>
      <c r="C287" s="106"/>
      <c r="D287" s="106"/>
      <c r="E287" s="106"/>
      <c r="F287" s="106"/>
      <c r="G287" s="106"/>
      <c r="H287" s="106"/>
      <c r="I287" s="106"/>
      <c r="J287" s="106"/>
      <c r="K287" s="106"/>
      <c r="L287" s="106"/>
      <c r="M287" s="106"/>
      <c r="N287" s="106"/>
      <c r="O287" s="106"/>
      <c r="P287" s="106"/>
      <c r="Q287" s="106"/>
      <c r="R287" s="106"/>
      <c r="S287" s="106"/>
      <c r="T287" s="106"/>
      <c r="U287" s="106"/>
      <c r="V287" s="106"/>
      <c r="W287" s="106"/>
      <c r="X287" s="106"/>
      <c r="Y287" s="106"/>
      <c r="Z287" s="106"/>
    </row>
    <row r="288" spans="1:26" ht="13.5" customHeight="1" x14ac:dyDescent="0.2">
      <c r="A288" s="106"/>
      <c r="B288" s="106"/>
      <c r="C288" s="106"/>
      <c r="D288" s="106"/>
      <c r="E288" s="106"/>
      <c r="F288" s="106"/>
      <c r="G288" s="106"/>
      <c r="H288" s="106"/>
      <c r="I288" s="106"/>
      <c r="J288" s="106"/>
      <c r="K288" s="106"/>
      <c r="L288" s="106"/>
      <c r="M288" s="106"/>
      <c r="N288" s="106"/>
      <c r="O288" s="106"/>
      <c r="P288" s="106"/>
      <c r="Q288" s="106"/>
      <c r="R288" s="106"/>
      <c r="S288" s="106"/>
      <c r="T288" s="106"/>
      <c r="U288" s="106"/>
      <c r="V288" s="106"/>
      <c r="W288" s="106"/>
      <c r="X288" s="106"/>
      <c r="Y288" s="106"/>
      <c r="Z288" s="106"/>
    </row>
    <row r="289" spans="1:26" ht="13.5" customHeight="1" x14ac:dyDescent="0.2">
      <c r="A289" s="106"/>
      <c r="B289" s="106"/>
      <c r="C289" s="106"/>
      <c r="D289" s="106"/>
      <c r="E289" s="106"/>
      <c r="F289" s="106"/>
      <c r="G289" s="106"/>
      <c r="H289" s="106"/>
      <c r="I289" s="106"/>
      <c r="J289" s="106"/>
      <c r="K289" s="106"/>
      <c r="L289" s="106"/>
      <c r="M289" s="106"/>
      <c r="N289" s="106"/>
      <c r="O289" s="106"/>
      <c r="P289" s="106"/>
      <c r="Q289" s="106"/>
      <c r="R289" s="106"/>
      <c r="S289" s="106"/>
      <c r="T289" s="106"/>
      <c r="U289" s="106"/>
      <c r="V289" s="106"/>
      <c r="W289" s="106"/>
      <c r="X289" s="106"/>
      <c r="Y289" s="106"/>
      <c r="Z289" s="106"/>
    </row>
    <row r="290" spans="1:26" ht="13.5" customHeight="1" x14ac:dyDescent="0.2">
      <c r="A290" s="106"/>
      <c r="B290" s="106"/>
      <c r="C290" s="106"/>
      <c r="D290" s="106"/>
      <c r="E290" s="106"/>
      <c r="F290" s="106"/>
      <c r="G290" s="106"/>
      <c r="H290" s="106"/>
      <c r="I290" s="106"/>
      <c r="J290" s="106"/>
      <c r="K290" s="106"/>
      <c r="L290" s="106"/>
      <c r="M290" s="106"/>
      <c r="N290" s="106"/>
      <c r="O290" s="106"/>
      <c r="P290" s="106"/>
      <c r="Q290" s="106"/>
      <c r="R290" s="106"/>
      <c r="S290" s="106"/>
      <c r="T290" s="106"/>
      <c r="U290" s="106"/>
      <c r="V290" s="106"/>
      <c r="W290" s="106"/>
      <c r="X290" s="106"/>
      <c r="Y290" s="106"/>
      <c r="Z290" s="106"/>
    </row>
    <row r="291" spans="1:26" ht="13.5" customHeight="1" x14ac:dyDescent="0.2">
      <c r="A291" s="106"/>
      <c r="B291" s="106"/>
      <c r="C291" s="106"/>
      <c r="D291" s="106"/>
      <c r="E291" s="106"/>
      <c r="F291" s="106"/>
      <c r="G291" s="106"/>
      <c r="H291" s="106"/>
      <c r="I291" s="106"/>
      <c r="J291" s="106"/>
      <c r="K291" s="106"/>
      <c r="L291" s="106"/>
      <c r="M291" s="106"/>
      <c r="N291" s="106"/>
      <c r="O291" s="106"/>
      <c r="P291" s="106"/>
      <c r="Q291" s="106"/>
      <c r="R291" s="106"/>
      <c r="S291" s="106"/>
      <c r="T291" s="106"/>
      <c r="U291" s="106"/>
      <c r="V291" s="106"/>
      <c r="W291" s="106"/>
      <c r="X291" s="106"/>
      <c r="Y291" s="106"/>
      <c r="Z291" s="106"/>
    </row>
    <row r="292" spans="1:26" ht="13.5" customHeight="1" x14ac:dyDescent="0.2">
      <c r="A292" s="106"/>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c r="Z292" s="106"/>
    </row>
    <row r="293" spans="1:26" ht="13.5" customHeight="1" x14ac:dyDescent="0.2">
      <c r="A293" s="106"/>
      <c r="B293" s="106"/>
      <c r="C293" s="106"/>
      <c r="D293" s="106"/>
      <c r="E293" s="106"/>
      <c r="F293" s="106"/>
      <c r="G293" s="106"/>
      <c r="H293" s="106"/>
      <c r="I293" s="106"/>
      <c r="J293" s="106"/>
      <c r="K293" s="106"/>
      <c r="L293" s="106"/>
      <c r="M293" s="106"/>
      <c r="N293" s="106"/>
      <c r="O293" s="106"/>
      <c r="P293" s="106"/>
      <c r="Q293" s="106"/>
      <c r="R293" s="106"/>
      <c r="S293" s="106"/>
      <c r="T293" s="106"/>
      <c r="U293" s="106"/>
      <c r="V293" s="106"/>
      <c r="W293" s="106"/>
      <c r="X293" s="106"/>
      <c r="Y293" s="106"/>
      <c r="Z293" s="106"/>
    </row>
    <row r="294" spans="1:26" ht="13.5" customHeight="1" x14ac:dyDescent="0.2">
      <c r="A294" s="106"/>
      <c r="B294" s="106"/>
      <c r="C294" s="106"/>
      <c r="D294" s="106"/>
      <c r="E294" s="106"/>
      <c r="F294" s="106"/>
      <c r="G294" s="106"/>
      <c r="H294" s="106"/>
      <c r="I294" s="106"/>
      <c r="J294" s="106"/>
      <c r="K294" s="106"/>
      <c r="L294" s="106"/>
      <c r="M294" s="106"/>
      <c r="N294" s="106"/>
      <c r="O294" s="106"/>
      <c r="P294" s="106"/>
      <c r="Q294" s="106"/>
      <c r="R294" s="106"/>
      <c r="S294" s="106"/>
      <c r="T294" s="106"/>
      <c r="U294" s="106"/>
      <c r="V294" s="106"/>
      <c r="W294" s="106"/>
      <c r="X294" s="106"/>
      <c r="Y294" s="106"/>
      <c r="Z294" s="106"/>
    </row>
    <row r="295" spans="1:26" ht="13.5" customHeight="1" x14ac:dyDescent="0.2">
      <c r="A295" s="106"/>
      <c r="B295" s="106"/>
      <c r="C295" s="106"/>
      <c r="D295" s="106"/>
      <c r="E295" s="106"/>
      <c r="F295" s="106"/>
      <c r="G295" s="106"/>
      <c r="H295" s="106"/>
      <c r="I295" s="106"/>
      <c r="J295" s="106"/>
      <c r="K295" s="106"/>
      <c r="L295" s="106"/>
      <c r="M295" s="106"/>
      <c r="N295" s="106"/>
      <c r="O295" s="106"/>
      <c r="P295" s="106"/>
      <c r="Q295" s="106"/>
      <c r="R295" s="106"/>
      <c r="S295" s="106"/>
      <c r="T295" s="106"/>
      <c r="U295" s="106"/>
      <c r="V295" s="106"/>
      <c r="W295" s="106"/>
      <c r="X295" s="106"/>
      <c r="Y295" s="106"/>
      <c r="Z295" s="106"/>
    </row>
    <row r="296" spans="1:26" ht="13.5" customHeight="1" x14ac:dyDescent="0.2">
      <c r="A296" s="106"/>
      <c r="B296" s="106"/>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106"/>
      <c r="Y296" s="106"/>
      <c r="Z296" s="106"/>
    </row>
    <row r="297" spans="1:26" ht="13.5" customHeight="1" x14ac:dyDescent="0.2">
      <c r="A297" s="106"/>
      <c r="B297" s="106"/>
      <c r="C297" s="106"/>
      <c r="D297" s="106"/>
      <c r="E297" s="106"/>
      <c r="F297" s="106"/>
      <c r="G297" s="106"/>
      <c r="H297" s="106"/>
      <c r="I297" s="106"/>
      <c r="J297" s="106"/>
      <c r="K297" s="106"/>
      <c r="L297" s="106"/>
      <c r="M297" s="106"/>
      <c r="N297" s="106"/>
      <c r="O297" s="106"/>
      <c r="P297" s="106"/>
      <c r="Q297" s="106"/>
      <c r="R297" s="106"/>
      <c r="S297" s="106"/>
      <c r="T297" s="106"/>
      <c r="U297" s="106"/>
      <c r="V297" s="106"/>
      <c r="W297" s="106"/>
      <c r="X297" s="106"/>
      <c r="Y297" s="106"/>
      <c r="Z297" s="106"/>
    </row>
    <row r="298" spans="1:26" ht="13.5" customHeight="1" x14ac:dyDescent="0.2">
      <c r="A298" s="106"/>
      <c r="B298" s="106"/>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06"/>
      <c r="Y298" s="106"/>
      <c r="Z298" s="106"/>
    </row>
    <row r="299" spans="1:26" ht="13.5" customHeight="1" x14ac:dyDescent="0.2">
      <c r="A299" s="106"/>
      <c r="B299" s="106"/>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06"/>
      <c r="Y299" s="106"/>
      <c r="Z299" s="106"/>
    </row>
    <row r="300" spans="1:26" ht="13.5" customHeight="1" x14ac:dyDescent="0.2">
      <c r="A300" s="106"/>
      <c r="B300" s="106"/>
      <c r="C300" s="106"/>
      <c r="D300" s="106"/>
      <c r="E300" s="106"/>
      <c r="F300" s="106"/>
      <c r="G300" s="106"/>
      <c r="H300" s="106"/>
      <c r="I300" s="106"/>
      <c r="J300" s="106"/>
      <c r="K300" s="106"/>
      <c r="L300" s="106"/>
      <c r="M300" s="106"/>
      <c r="N300" s="106"/>
      <c r="O300" s="106"/>
      <c r="P300" s="106"/>
      <c r="Q300" s="106"/>
      <c r="R300" s="106"/>
      <c r="S300" s="106"/>
      <c r="T300" s="106"/>
      <c r="U300" s="106"/>
      <c r="V300" s="106"/>
      <c r="W300" s="106"/>
      <c r="X300" s="106"/>
      <c r="Y300" s="106"/>
      <c r="Z300" s="106"/>
    </row>
    <row r="301" spans="1:26" ht="13.5" customHeight="1" x14ac:dyDescent="0.2">
      <c r="A301" s="106"/>
      <c r="B301" s="106"/>
      <c r="C301" s="106"/>
      <c r="D301" s="106"/>
      <c r="E301" s="106"/>
      <c r="F301" s="106"/>
      <c r="G301" s="106"/>
      <c r="H301" s="106"/>
      <c r="I301" s="106"/>
      <c r="J301" s="106"/>
      <c r="K301" s="106"/>
      <c r="L301" s="106"/>
      <c r="M301" s="106"/>
      <c r="N301" s="106"/>
      <c r="O301" s="106"/>
      <c r="P301" s="106"/>
      <c r="Q301" s="106"/>
      <c r="R301" s="106"/>
      <c r="S301" s="106"/>
      <c r="T301" s="106"/>
      <c r="U301" s="106"/>
      <c r="V301" s="106"/>
      <c r="W301" s="106"/>
      <c r="X301" s="106"/>
      <c r="Y301" s="106"/>
      <c r="Z301" s="106"/>
    </row>
    <row r="302" spans="1:26" ht="13.5" customHeight="1" x14ac:dyDescent="0.2">
      <c r="A302" s="106"/>
      <c r="B302" s="106"/>
      <c r="C302" s="106"/>
      <c r="D302" s="106"/>
      <c r="E302" s="106"/>
      <c r="F302" s="106"/>
      <c r="G302" s="106"/>
      <c r="H302" s="106"/>
      <c r="I302" s="106"/>
      <c r="J302" s="106"/>
      <c r="K302" s="106"/>
      <c r="L302" s="106"/>
      <c r="M302" s="106"/>
      <c r="N302" s="106"/>
      <c r="O302" s="106"/>
      <c r="P302" s="106"/>
      <c r="Q302" s="106"/>
      <c r="R302" s="106"/>
      <c r="S302" s="106"/>
      <c r="T302" s="106"/>
      <c r="U302" s="106"/>
      <c r="V302" s="106"/>
      <c r="W302" s="106"/>
      <c r="X302" s="106"/>
      <c r="Y302" s="106"/>
      <c r="Z302" s="106"/>
    </row>
    <row r="303" spans="1:26" ht="13.5" customHeight="1" x14ac:dyDescent="0.2">
      <c r="A303" s="106"/>
      <c r="B303" s="106"/>
      <c r="C303" s="106"/>
      <c r="D303" s="106"/>
      <c r="E303" s="106"/>
      <c r="F303" s="106"/>
      <c r="G303" s="106"/>
      <c r="H303" s="106"/>
      <c r="I303" s="106"/>
      <c r="J303" s="106"/>
      <c r="K303" s="106"/>
      <c r="L303" s="106"/>
      <c r="M303" s="106"/>
      <c r="N303" s="106"/>
      <c r="O303" s="106"/>
      <c r="P303" s="106"/>
      <c r="Q303" s="106"/>
      <c r="R303" s="106"/>
      <c r="S303" s="106"/>
      <c r="T303" s="106"/>
      <c r="U303" s="106"/>
      <c r="V303" s="106"/>
      <c r="W303" s="106"/>
      <c r="X303" s="106"/>
      <c r="Y303" s="106"/>
      <c r="Z303" s="106"/>
    </row>
    <row r="304" spans="1:26" ht="13.5" customHeight="1" x14ac:dyDescent="0.2">
      <c r="A304" s="106"/>
      <c r="B304" s="106"/>
      <c r="C304" s="106"/>
      <c r="D304" s="106"/>
      <c r="E304" s="106"/>
      <c r="F304" s="106"/>
      <c r="G304" s="106"/>
      <c r="H304" s="106"/>
      <c r="I304" s="106"/>
      <c r="J304" s="106"/>
      <c r="K304" s="106"/>
      <c r="L304" s="106"/>
      <c r="M304" s="106"/>
      <c r="N304" s="106"/>
      <c r="O304" s="106"/>
      <c r="P304" s="106"/>
      <c r="Q304" s="106"/>
      <c r="R304" s="106"/>
      <c r="S304" s="106"/>
      <c r="T304" s="106"/>
      <c r="U304" s="106"/>
      <c r="V304" s="106"/>
      <c r="W304" s="106"/>
      <c r="X304" s="106"/>
      <c r="Y304" s="106"/>
      <c r="Z304" s="106"/>
    </row>
    <row r="305" spans="1:26" ht="13.5" customHeight="1" x14ac:dyDescent="0.2">
      <c r="A305" s="106"/>
      <c r="B305" s="106"/>
      <c r="C305" s="106"/>
      <c r="D305" s="106"/>
      <c r="E305" s="106"/>
      <c r="F305" s="106"/>
      <c r="G305" s="106"/>
      <c r="H305" s="106"/>
      <c r="I305" s="106"/>
      <c r="J305" s="106"/>
      <c r="K305" s="106"/>
      <c r="L305" s="106"/>
      <c r="M305" s="106"/>
      <c r="N305" s="106"/>
      <c r="O305" s="106"/>
      <c r="P305" s="106"/>
      <c r="Q305" s="106"/>
      <c r="R305" s="106"/>
      <c r="S305" s="106"/>
      <c r="T305" s="106"/>
      <c r="U305" s="106"/>
      <c r="V305" s="106"/>
      <c r="W305" s="106"/>
      <c r="X305" s="106"/>
      <c r="Y305" s="106"/>
      <c r="Z305" s="106"/>
    </row>
    <row r="306" spans="1:26" ht="13.5" customHeight="1" x14ac:dyDescent="0.2">
      <c r="A306" s="106"/>
      <c r="B306" s="106"/>
      <c r="C306" s="106"/>
      <c r="D306" s="106"/>
      <c r="E306" s="106"/>
      <c r="F306" s="106"/>
      <c r="G306" s="106"/>
      <c r="H306" s="106"/>
      <c r="I306" s="106"/>
      <c r="J306" s="106"/>
      <c r="K306" s="106"/>
      <c r="L306" s="106"/>
      <c r="M306" s="106"/>
      <c r="N306" s="106"/>
      <c r="O306" s="106"/>
      <c r="P306" s="106"/>
      <c r="Q306" s="106"/>
      <c r="R306" s="106"/>
      <c r="S306" s="106"/>
      <c r="T306" s="106"/>
      <c r="U306" s="106"/>
      <c r="V306" s="106"/>
      <c r="W306" s="106"/>
      <c r="X306" s="106"/>
      <c r="Y306" s="106"/>
      <c r="Z306" s="106"/>
    </row>
    <row r="307" spans="1:26" ht="13.5" customHeight="1" x14ac:dyDescent="0.2">
      <c r="A307" s="106"/>
      <c r="B307" s="106"/>
      <c r="C307" s="106"/>
      <c r="D307" s="106"/>
      <c r="E307" s="106"/>
      <c r="F307" s="106"/>
      <c r="G307" s="106"/>
      <c r="H307" s="106"/>
      <c r="I307" s="106"/>
      <c r="J307" s="106"/>
      <c r="K307" s="106"/>
      <c r="L307" s="106"/>
      <c r="M307" s="106"/>
      <c r="N307" s="106"/>
      <c r="O307" s="106"/>
      <c r="P307" s="106"/>
      <c r="Q307" s="106"/>
      <c r="R307" s="106"/>
      <c r="S307" s="106"/>
      <c r="T307" s="106"/>
      <c r="U307" s="106"/>
      <c r="V307" s="106"/>
      <c r="W307" s="106"/>
      <c r="X307" s="106"/>
      <c r="Y307" s="106"/>
      <c r="Z307" s="106"/>
    </row>
    <row r="308" spans="1:26" ht="13.5" customHeight="1" x14ac:dyDescent="0.2">
      <c r="A308" s="106"/>
      <c r="B308" s="106"/>
      <c r="C308" s="106"/>
      <c r="D308" s="106"/>
      <c r="E308" s="106"/>
      <c r="F308" s="106"/>
      <c r="G308" s="106"/>
      <c r="H308" s="106"/>
      <c r="I308" s="106"/>
      <c r="J308" s="106"/>
      <c r="K308" s="106"/>
      <c r="L308" s="106"/>
      <c r="M308" s="106"/>
      <c r="N308" s="106"/>
      <c r="O308" s="106"/>
      <c r="P308" s="106"/>
      <c r="Q308" s="106"/>
      <c r="R308" s="106"/>
      <c r="S308" s="106"/>
      <c r="T308" s="106"/>
      <c r="U308" s="106"/>
      <c r="V308" s="106"/>
      <c r="W308" s="106"/>
      <c r="X308" s="106"/>
      <c r="Y308" s="106"/>
      <c r="Z308" s="106"/>
    </row>
    <row r="309" spans="1:26" ht="13.5" customHeight="1" x14ac:dyDescent="0.2">
      <c r="A309" s="106"/>
      <c r="B309" s="106"/>
      <c r="C309" s="106"/>
      <c r="D309" s="106"/>
      <c r="E309" s="106"/>
      <c r="F309" s="106"/>
      <c r="G309" s="106"/>
      <c r="H309" s="106"/>
      <c r="I309" s="106"/>
      <c r="J309" s="106"/>
      <c r="K309" s="106"/>
      <c r="L309" s="106"/>
      <c r="M309" s="106"/>
      <c r="N309" s="106"/>
      <c r="O309" s="106"/>
      <c r="P309" s="106"/>
      <c r="Q309" s="106"/>
      <c r="R309" s="106"/>
      <c r="S309" s="106"/>
      <c r="T309" s="106"/>
      <c r="U309" s="106"/>
      <c r="V309" s="106"/>
      <c r="W309" s="106"/>
      <c r="X309" s="106"/>
      <c r="Y309" s="106"/>
      <c r="Z309" s="106"/>
    </row>
    <row r="310" spans="1:26" ht="13.5" customHeight="1" x14ac:dyDescent="0.2">
      <c r="A310" s="106"/>
      <c r="B310" s="106"/>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06"/>
      <c r="Y310" s="106"/>
      <c r="Z310" s="106"/>
    </row>
    <row r="311" spans="1:26" ht="13.5" customHeight="1" x14ac:dyDescent="0.2">
      <c r="A311" s="106"/>
      <c r="B311" s="106"/>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106"/>
      <c r="Y311" s="106"/>
      <c r="Z311" s="106"/>
    </row>
    <row r="312" spans="1:26" ht="13.5" customHeight="1" x14ac:dyDescent="0.2">
      <c r="A312" s="106"/>
      <c r="B312" s="106"/>
      <c r="C312" s="106"/>
      <c r="D312" s="106"/>
      <c r="E312" s="106"/>
      <c r="F312" s="106"/>
      <c r="G312" s="106"/>
      <c r="H312" s="106"/>
      <c r="I312" s="106"/>
      <c r="J312" s="106"/>
      <c r="K312" s="106"/>
      <c r="L312" s="106"/>
      <c r="M312" s="106"/>
      <c r="N312" s="106"/>
      <c r="O312" s="106"/>
      <c r="P312" s="106"/>
      <c r="Q312" s="106"/>
      <c r="R312" s="106"/>
      <c r="S312" s="106"/>
      <c r="T312" s="106"/>
      <c r="U312" s="106"/>
      <c r="V312" s="106"/>
      <c r="W312" s="106"/>
      <c r="X312" s="106"/>
      <c r="Y312" s="106"/>
      <c r="Z312" s="106"/>
    </row>
    <row r="313" spans="1:26" ht="13.5" customHeight="1" x14ac:dyDescent="0.2">
      <c r="A313" s="106"/>
      <c r="B313" s="106"/>
      <c r="C313" s="106"/>
      <c r="D313" s="106"/>
      <c r="E313" s="106"/>
      <c r="F313" s="106"/>
      <c r="G313" s="106"/>
      <c r="H313" s="106"/>
      <c r="I313" s="106"/>
      <c r="J313" s="106"/>
      <c r="K313" s="106"/>
      <c r="L313" s="106"/>
      <c r="M313" s="106"/>
      <c r="N313" s="106"/>
      <c r="O313" s="106"/>
      <c r="P313" s="106"/>
      <c r="Q313" s="106"/>
      <c r="R313" s="106"/>
      <c r="S313" s="106"/>
      <c r="T313" s="106"/>
      <c r="U313" s="106"/>
      <c r="V313" s="106"/>
      <c r="W313" s="106"/>
      <c r="X313" s="106"/>
      <c r="Y313" s="106"/>
      <c r="Z313" s="106"/>
    </row>
    <row r="314" spans="1:26" ht="13.5" customHeight="1" x14ac:dyDescent="0.2">
      <c r="A314" s="106"/>
      <c r="B314" s="106"/>
      <c r="C314" s="106"/>
      <c r="D314" s="106"/>
      <c r="E314" s="106"/>
      <c r="F314" s="106"/>
      <c r="G314" s="106"/>
      <c r="H314" s="106"/>
      <c r="I314" s="106"/>
      <c r="J314" s="106"/>
      <c r="K314" s="106"/>
      <c r="L314" s="106"/>
      <c r="M314" s="106"/>
      <c r="N314" s="106"/>
      <c r="O314" s="106"/>
      <c r="P314" s="106"/>
      <c r="Q314" s="106"/>
      <c r="R314" s="106"/>
      <c r="S314" s="106"/>
      <c r="T314" s="106"/>
      <c r="U314" s="106"/>
      <c r="V314" s="106"/>
      <c r="W314" s="106"/>
      <c r="X314" s="106"/>
      <c r="Y314" s="106"/>
      <c r="Z314" s="106"/>
    </row>
    <row r="315" spans="1:26" ht="13.5" customHeight="1" x14ac:dyDescent="0.2">
      <c r="A315" s="106"/>
      <c r="B315" s="106"/>
      <c r="C315" s="106"/>
      <c r="D315" s="106"/>
      <c r="E315" s="106"/>
      <c r="F315" s="106"/>
      <c r="G315" s="106"/>
      <c r="H315" s="106"/>
      <c r="I315" s="106"/>
      <c r="J315" s="106"/>
      <c r="K315" s="106"/>
      <c r="L315" s="106"/>
      <c r="M315" s="106"/>
      <c r="N315" s="106"/>
      <c r="O315" s="106"/>
      <c r="P315" s="106"/>
      <c r="Q315" s="106"/>
      <c r="R315" s="106"/>
      <c r="S315" s="106"/>
      <c r="T315" s="106"/>
      <c r="U315" s="106"/>
      <c r="V315" s="106"/>
      <c r="W315" s="106"/>
      <c r="X315" s="106"/>
      <c r="Y315" s="106"/>
      <c r="Z315" s="106"/>
    </row>
    <row r="316" spans="1:26" ht="13.5" customHeight="1" x14ac:dyDescent="0.2">
      <c r="A316" s="106"/>
      <c r="B316" s="106"/>
      <c r="C316" s="106"/>
      <c r="D316" s="106"/>
      <c r="E316" s="106"/>
      <c r="F316" s="106"/>
      <c r="G316" s="106"/>
      <c r="H316" s="106"/>
      <c r="I316" s="106"/>
      <c r="J316" s="106"/>
      <c r="K316" s="106"/>
      <c r="L316" s="106"/>
      <c r="M316" s="106"/>
      <c r="N316" s="106"/>
      <c r="O316" s="106"/>
      <c r="P316" s="106"/>
      <c r="Q316" s="106"/>
      <c r="R316" s="106"/>
      <c r="S316" s="106"/>
      <c r="T316" s="106"/>
      <c r="U316" s="106"/>
      <c r="V316" s="106"/>
      <c r="W316" s="106"/>
      <c r="X316" s="106"/>
      <c r="Y316" s="106"/>
      <c r="Z316" s="106"/>
    </row>
    <row r="317" spans="1:26" ht="13.5" customHeight="1" x14ac:dyDescent="0.2">
      <c r="A317" s="106"/>
      <c r="B317" s="106"/>
      <c r="C317" s="106"/>
      <c r="D317" s="106"/>
      <c r="E317" s="106"/>
      <c r="F317" s="106"/>
      <c r="G317" s="106"/>
      <c r="H317" s="106"/>
      <c r="I317" s="106"/>
      <c r="J317" s="106"/>
      <c r="K317" s="106"/>
      <c r="L317" s="106"/>
      <c r="M317" s="106"/>
      <c r="N317" s="106"/>
      <c r="O317" s="106"/>
      <c r="P317" s="106"/>
      <c r="Q317" s="106"/>
      <c r="R317" s="106"/>
      <c r="S317" s="106"/>
      <c r="T317" s="106"/>
      <c r="U317" s="106"/>
      <c r="V317" s="106"/>
      <c r="W317" s="106"/>
      <c r="X317" s="106"/>
      <c r="Y317" s="106"/>
      <c r="Z317" s="106"/>
    </row>
    <row r="318" spans="1:26" ht="13.5" customHeight="1" x14ac:dyDescent="0.2">
      <c r="A318" s="106"/>
      <c r="B318" s="106"/>
      <c r="C318" s="106"/>
      <c r="D318" s="106"/>
      <c r="E318" s="106"/>
      <c r="F318" s="106"/>
      <c r="G318" s="106"/>
      <c r="H318" s="106"/>
      <c r="I318" s="106"/>
      <c r="J318" s="106"/>
      <c r="K318" s="106"/>
      <c r="L318" s="106"/>
      <c r="M318" s="106"/>
      <c r="N318" s="106"/>
      <c r="O318" s="106"/>
      <c r="P318" s="106"/>
      <c r="Q318" s="106"/>
      <c r="R318" s="106"/>
      <c r="S318" s="106"/>
      <c r="T318" s="106"/>
      <c r="U318" s="106"/>
      <c r="V318" s="106"/>
      <c r="W318" s="106"/>
      <c r="X318" s="106"/>
      <c r="Y318" s="106"/>
      <c r="Z318" s="106"/>
    </row>
    <row r="319" spans="1:26" ht="13.5" customHeight="1" x14ac:dyDescent="0.2">
      <c r="A319" s="106"/>
      <c r="B319" s="106"/>
      <c r="C319" s="106"/>
      <c r="D319" s="106"/>
      <c r="E319" s="106"/>
      <c r="F319" s="106"/>
      <c r="G319" s="106"/>
      <c r="H319" s="106"/>
      <c r="I319" s="106"/>
      <c r="J319" s="106"/>
      <c r="K319" s="106"/>
      <c r="L319" s="106"/>
      <c r="M319" s="106"/>
      <c r="N319" s="106"/>
      <c r="O319" s="106"/>
      <c r="P319" s="106"/>
      <c r="Q319" s="106"/>
      <c r="R319" s="106"/>
      <c r="S319" s="106"/>
      <c r="T319" s="106"/>
      <c r="U319" s="106"/>
      <c r="V319" s="106"/>
      <c r="W319" s="106"/>
      <c r="X319" s="106"/>
      <c r="Y319" s="106"/>
      <c r="Z319" s="106"/>
    </row>
    <row r="320" spans="1:26" ht="13.5" customHeight="1" x14ac:dyDescent="0.2">
      <c r="A320" s="106"/>
      <c r="B320" s="106"/>
      <c r="C320" s="106"/>
      <c r="D320" s="106"/>
      <c r="E320" s="106"/>
      <c r="F320" s="106"/>
      <c r="G320" s="106"/>
      <c r="H320" s="106"/>
      <c r="I320" s="106"/>
      <c r="J320" s="106"/>
      <c r="K320" s="106"/>
      <c r="L320" s="106"/>
      <c r="M320" s="106"/>
      <c r="N320" s="106"/>
      <c r="O320" s="106"/>
      <c r="P320" s="106"/>
      <c r="Q320" s="106"/>
      <c r="R320" s="106"/>
      <c r="S320" s="106"/>
      <c r="T320" s="106"/>
      <c r="U320" s="106"/>
      <c r="V320" s="106"/>
      <c r="W320" s="106"/>
      <c r="X320" s="106"/>
      <c r="Y320" s="106"/>
      <c r="Z320" s="106"/>
    </row>
    <row r="321" spans="1:26" ht="13.5" customHeight="1" x14ac:dyDescent="0.2">
      <c r="A321" s="106"/>
      <c r="B321" s="106"/>
      <c r="C321" s="106"/>
      <c r="D321" s="106"/>
      <c r="E321" s="106"/>
      <c r="F321" s="106"/>
      <c r="G321" s="106"/>
      <c r="H321" s="106"/>
      <c r="I321" s="106"/>
      <c r="J321" s="106"/>
      <c r="K321" s="106"/>
      <c r="L321" s="106"/>
      <c r="M321" s="106"/>
      <c r="N321" s="106"/>
      <c r="O321" s="106"/>
      <c r="P321" s="106"/>
      <c r="Q321" s="106"/>
      <c r="R321" s="106"/>
      <c r="S321" s="106"/>
      <c r="T321" s="106"/>
      <c r="U321" s="106"/>
      <c r="V321" s="106"/>
      <c r="W321" s="106"/>
      <c r="X321" s="106"/>
      <c r="Y321" s="106"/>
      <c r="Z321" s="106"/>
    </row>
    <row r="322" spans="1:26" ht="13.5" customHeight="1" x14ac:dyDescent="0.2">
      <c r="A322" s="106"/>
      <c r="B322" s="106"/>
      <c r="C322" s="106"/>
      <c r="D322" s="106"/>
      <c r="E322" s="106"/>
      <c r="F322" s="106"/>
      <c r="G322" s="106"/>
      <c r="H322" s="106"/>
      <c r="I322" s="106"/>
      <c r="J322" s="106"/>
      <c r="K322" s="106"/>
      <c r="L322" s="106"/>
      <c r="M322" s="106"/>
      <c r="N322" s="106"/>
      <c r="O322" s="106"/>
      <c r="P322" s="106"/>
      <c r="Q322" s="106"/>
      <c r="R322" s="106"/>
      <c r="S322" s="106"/>
      <c r="T322" s="106"/>
      <c r="U322" s="106"/>
      <c r="V322" s="106"/>
      <c r="W322" s="106"/>
      <c r="X322" s="106"/>
      <c r="Y322" s="106"/>
      <c r="Z322" s="106"/>
    </row>
    <row r="323" spans="1:26" ht="13.5" customHeight="1" x14ac:dyDescent="0.2">
      <c r="A323" s="106"/>
      <c r="B323" s="106"/>
      <c r="C323" s="106"/>
      <c r="D323" s="106"/>
      <c r="E323" s="106"/>
      <c r="F323" s="106"/>
      <c r="G323" s="106"/>
      <c r="H323" s="106"/>
      <c r="I323" s="106"/>
      <c r="J323" s="106"/>
      <c r="K323" s="106"/>
      <c r="L323" s="106"/>
      <c r="M323" s="106"/>
      <c r="N323" s="106"/>
      <c r="O323" s="106"/>
      <c r="P323" s="106"/>
      <c r="Q323" s="106"/>
      <c r="R323" s="106"/>
      <c r="S323" s="106"/>
      <c r="T323" s="106"/>
      <c r="U323" s="106"/>
      <c r="V323" s="106"/>
      <c r="W323" s="106"/>
      <c r="X323" s="106"/>
      <c r="Y323" s="106"/>
      <c r="Z323" s="106"/>
    </row>
    <row r="324" spans="1:26" ht="13.5" customHeight="1" x14ac:dyDescent="0.2">
      <c r="A324" s="106"/>
      <c r="B324" s="106"/>
      <c r="C324" s="106"/>
      <c r="D324" s="106"/>
      <c r="E324" s="106"/>
      <c r="F324" s="106"/>
      <c r="G324" s="106"/>
      <c r="H324" s="106"/>
      <c r="I324" s="106"/>
      <c r="J324" s="106"/>
      <c r="K324" s="106"/>
      <c r="L324" s="106"/>
      <c r="M324" s="106"/>
      <c r="N324" s="106"/>
      <c r="O324" s="106"/>
      <c r="P324" s="106"/>
      <c r="Q324" s="106"/>
      <c r="R324" s="106"/>
      <c r="S324" s="106"/>
      <c r="T324" s="106"/>
      <c r="U324" s="106"/>
      <c r="V324" s="106"/>
      <c r="W324" s="106"/>
      <c r="X324" s="106"/>
      <c r="Y324" s="106"/>
      <c r="Z324" s="106"/>
    </row>
    <row r="325" spans="1:26" ht="13.5" customHeight="1" x14ac:dyDescent="0.2">
      <c r="A325" s="106"/>
      <c r="B325" s="106"/>
      <c r="C325" s="106"/>
      <c r="D325" s="106"/>
      <c r="E325" s="106"/>
      <c r="F325" s="106"/>
      <c r="G325" s="106"/>
      <c r="H325" s="106"/>
      <c r="I325" s="106"/>
      <c r="J325" s="106"/>
      <c r="K325" s="106"/>
      <c r="L325" s="106"/>
      <c r="M325" s="106"/>
      <c r="N325" s="106"/>
      <c r="O325" s="106"/>
      <c r="P325" s="106"/>
      <c r="Q325" s="106"/>
      <c r="R325" s="106"/>
      <c r="S325" s="106"/>
      <c r="T325" s="106"/>
      <c r="U325" s="106"/>
      <c r="V325" s="106"/>
      <c r="W325" s="106"/>
      <c r="X325" s="106"/>
      <c r="Y325" s="106"/>
      <c r="Z325" s="106"/>
    </row>
    <row r="326" spans="1:26" ht="13.5" customHeight="1" x14ac:dyDescent="0.2">
      <c r="A326" s="106"/>
      <c r="B326" s="106"/>
      <c r="C326" s="106"/>
      <c r="D326" s="106"/>
      <c r="E326" s="106"/>
      <c r="F326" s="106"/>
      <c r="G326" s="106"/>
      <c r="H326" s="106"/>
      <c r="I326" s="106"/>
      <c r="J326" s="106"/>
      <c r="K326" s="106"/>
      <c r="L326" s="106"/>
      <c r="M326" s="106"/>
      <c r="N326" s="106"/>
      <c r="O326" s="106"/>
      <c r="P326" s="106"/>
      <c r="Q326" s="106"/>
      <c r="R326" s="106"/>
      <c r="S326" s="106"/>
      <c r="T326" s="106"/>
      <c r="U326" s="106"/>
      <c r="V326" s="106"/>
      <c r="W326" s="106"/>
      <c r="X326" s="106"/>
      <c r="Y326" s="106"/>
      <c r="Z326" s="106"/>
    </row>
    <row r="327" spans="1:26" ht="13.5" customHeight="1" x14ac:dyDescent="0.2">
      <c r="A327" s="106"/>
      <c r="B327" s="106"/>
      <c r="C327" s="106"/>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6"/>
      <c r="Z327" s="106"/>
    </row>
    <row r="328" spans="1:26" ht="13.5" customHeight="1" x14ac:dyDescent="0.2">
      <c r="A328" s="106"/>
      <c r="B328" s="106"/>
      <c r="C328" s="106"/>
      <c r="D328" s="106"/>
      <c r="E328" s="106"/>
      <c r="F328" s="106"/>
      <c r="G328" s="106"/>
      <c r="H328" s="106"/>
      <c r="I328" s="106"/>
      <c r="J328" s="106"/>
      <c r="K328" s="106"/>
      <c r="L328" s="106"/>
      <c r="M328" s="106"/>
      <c r="N328" s="106"/>
      <c r="O328" s="106"/>
      <c r="P328" s="106"/>
      <c r="Q328" s="106"/>
      <c r="R328" s="106"/>
      <c r="S328" s="106"/>
      <c r="T328" s="106"/>
      <c r="U328" s="106"/>
      <c r="V328" s="106"/>
      <c r="W328" s="106"/>
      <c r="X328" s="106"/>
      <c r="Y328" s="106"/>
      <c r="Z328" s="106"/>
    </row>
    <row r="329" spans="1:26" ht="13.5" customHeight="1" x14ac:dyDescent="0.2">
      <c r="A329" s="106"/>
      <c r="B329" s="106"/>
      <c r="C329" s="106"/>
      <c r="D329" s="106"/>
      <c r="E329" s="106"/>
      <c r="F329" s="106"/>
      <c r="G329" s="106"/>
      <c r="H329" s="106"/>
      <c r="I329" s="106"/>
      <c r="J329" s="106"/>
      <c r="K329" s="106"/>
      <c r="L329" s="106"/>
      <c r="M329" s="106"/>
      <c r="N329" s="106"/>
      <c r="O329" s="106"/>
      <c r="P329" s="106"/>
      <c r="Q329" s="106"/>
      <c r="R329" s="106"/>
      <c r="S329" s="106"/>
      <c r="T329" s="106"/>
      <c r="U329" s="106"/>
      <c r="V329" s="106"/>
      <c r="W329" s="106"/>
      <c r="X329" s="106"/>
      <c r="Y329" s="106"/>
      <c r="Z329" s="106"/>
    </row>
    <row r="330" spans="1:26" ht="13.5" customHeight="1" x14ac:dyDescent="0.2">
      <c r="A330" s="106"/>
      <c r="B330" s="106"/>
      <c r="C330" s="106"/>
      <c r="D330" s="106"/>
      <c r="E330" s="106"/>
      <c r="F330" s="106"/>
      <c r="G330" s="106"/>
      <c r="H330" s="106"/>
      <c r="I330" s="106"/>
      <c r="J330" s="106"/>
      <c r="K330" s="106"/>
      <c r="L330" s="106"/>
      <c r="M330" s="106"/>
      <c r="N330" s="106"/>
      <c r="O330" s="106"/>
      <c r="P330" s="106"/>
      <c r="Q330" s="106"/>
      <c r="R330" s="106"/>
      <c r="S330" s="106"/>
      <c r="T330" s="106"/>
      <c r="U330" s="106"/>
      <c r="V330" s="106"/>
      <c r="W330" s="106"/>
      <c r="X330" s="106"/>
      <c r="Y330" s="106"/>
      <c r="Z330" s="106"/>
    </row>
    <row r="331" spans="1:26" ht="13.5" customHeight="1" x14ac:dyDescent="0.2">
      <c r="A331" s="106"/>
      <c r="B331" s="106"/>
      <c r="C331" s="106"/>
      <c r="D331" s="106"/>
      <c r="E331" s="106"/>
      <c r="F331" s="106"/>
      <c r="G331" s="106"/>
      <c r="H331" s="106"/>
      <c r="I331" s="106"/>
      <c r="J331" s="106"/>
      <c r="K331" s="106"/>
      <c r="L331" s="106"/>
      <c r="M331" s="106"/>
      <c r="N331" s="106"/>
      <c r="O331" s="106"/>
      <c r="P331" s="106"/>
      <c r="Q331" s="106"/>
      <c r="R331" s="106"/>
      <c r="S331" s="106"/>
      <c r="T331" s="106"/>
      <c r="U331" s="106"/>
      <c r="V331" s="106"/>
      <c r="W331" s="106"/>
      <c r="X331" s="106"/>
      <c r="Y331" s="106"/>
      <c r="Z331" s="106"/>
    </row>
    <row r="332" spans="1:26" ht="13.5" customHeight="1" x14ac:dyDescent="0.2">
      <c r="A332" s="106"/>
      <c r="B332" s="106"/>
      <c r="C332" s="106"/>
      <c r="D332" s="106"/>
      <c r="E332" s="106"/>
      <c r="F332" s="106"/>
      <c r="G332" s="106"/>
      <c r="H332" s="106"/>
      <c r="I332" s="106"/>
      <c r="J332" s="106"/>
      <c r="K332" s="106"/>
      <c r="L332" s="106"/>
      <c r="M332" s="106"/>
      <c r="N332" s="106"/>
      <c r="O332" s="106"/>
      <c r="P332" s="106"/>
      <c r="Q332" s="106"/>
      <c r="R332" s="106"/>
      <c r="S332" s="106"/>
      <c r="T332" s="106"/>
      <c r="U332" s="106"/>
      <c r="V332" s="106"/>
      <c r="W332" s="106"/>
      <c r="X332" s="106"/>
      <c r="Y332" s="106"/>
      <c r="Z332" s="106"/>
    </row>
    <row r="333" spans="1:26" ht="13.5" customHeight="1" x14ac:dyDescent="0.2">
      <c r="A333" s="106"/>
      <c r="B333" s="106"/>
      <c r="C333" s="106"/>
      <c r="D333" s="106"/>
      <c r="E333" s="106"/>
      <c r="F333" s="106"/>
      <c r="G333" s="106"/>
      <c r="H333" s="106"/>
      <c r="I333" s="106"/>
      <c r="J333" s="106"/>
      <c r="K333" s="106"/>
      <c r="L333" s="106"/>
      <c r="M333" s="106"/>
      <c r="N333" s="106"/>
      <c r="O333" s="106"/>
      <c r="P333" s="106"/>
      <c r="Q333" s="106"/>
      <c r="R333" s="106"/>
      <c r="S333" s="106"/>
      <c r="T333" s="106"/>
      <c r="U333" s="106"/>
      <c r="V333" s="106"/>
      <c r="W333" s="106"/>
      <c r="X333" s="106"/>
      <c r="Y333" s="106"/>
      <c r="Z333" s="106"/>
    </row>
    <row r="334" spans="1:26" ht="13.5" customHeight="1" x14ac:dyDescent="0.2">
      <c r="A334" s="106"/>
      <c r="B334" s="106"/>
      <c r="C334" s="106"/>
      <c r="D334" s="106"/>
      <c r="E334" s="106"/>
      <c r="F334" s="106"/>
      <c r="G334" s="106"/>
      <c r="H334" s="106"/>
      <c r="I334" s="106"/>
      <c r="J334" s="106"/>
      <c r="K334" s="106"/>
      <c r="L334" s="106"/>
      <c r="M334" s="106"/>
      <c r="N334" s="106"/>
      <c r="O334" s="106"/>
      <c r="P334" s="106"/>
      <c r="Q334" s="106"/>
      <c r="R334" s="106"/>
      <c r="S334" s="106"/>
      <c r="T334" s="106"/>
      <c r="U334" s="106"/>
      <c r="V334" s="106"/>
      <c r="W334" s="106"/>
      <c r="X334" s="106"/>
      <c r="Y334" s="106"/>
      <c r="Z334" s="106"/>
    </row>
    <row r="335" spans="1:26" ht="13.5" customHeight="1" x14ac:dyDescent="0.2">
      <c r="A335" s="106"/>
      <c r="B335" s="106"/>
      <c r="C335" s="106"/>
      <c r="D335" s="106"/>
      <c r="E335" s="106"/>
      <c r="F335" s="106"/>
      <c r="G335" s="106"/>
      <c r="H335" s="106"/>
      <c r="I335" s="106"/>
      <c r="J335" s="106"/>
      <c r="K335" s="106"/>
      <c r="L335" s="106"/>
      <c r="M335" s="106"/>
      <c r="N335" s="106"/>
      <c r="O335" s="106"/>
      <c r="P335" s="106"/>
      <c r="Q335" s="106"/>
      <c r="R335" s="106"/>
      <c r="S335" s="106"/>
      <c r="T335" s="106"/>
      <c r="U335" s="106"/>
      <c r="V335" s="106"/>
      <c r="W335" s="106"/>
      <c r="X335" s="106"/>
      <c r="Y335" s="106"/>
      <c r="Z335" s="106"/>
    </row>
    <row r="336" spans="1:26" ht="13.5" customHeight="1" x14ac:dyDescent="0.2">
      <c r="A336" s="106"/>
      <c r="B336" s="106"/>
      <c r="C336" s="106"/>
      <c r="D336" s="106"/>
      <c r="E336" s="106"/>
      <c r="F336" s="106"/>
      <c r="G336" s="106"/>
      <c r="H336" s="106"/>
      <c r="I336" s="106"/>
      <c r="J336" s="106"/>
      <c r="K336" s="106"/>
      <c r="L336" s="106"/>
      <c r="M336" s="106"/>
      <c r="N336" s="106"/>
      <c r="O336" s="106"/>
      <c r="P336" s="106"/>
      <c r="Q336" s="106"/>
      <c r="R336" s="106"/>
      <c r="S336" s="106"/>
      <c r="T336" s="106"/>
      <c r="U336" s="106"/>
      <c r="V336" s="106"/>
      <c r="W336" s="106"/>
      <c r="X336" s="106"/>
      <c r="Y336" s="106"/>
      <c r="Z336" s="106"/>
    </row>
    <row r="337" spans="1:26" ht="13.5" customHeight="1" x14ac:dyDescent="0.2">
      <c r="A337" s="106"/>
      <c r="B337" s="106"/>
      <c r="C337" s="106"/>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6"/>
      <c r="Z337" s="106"/>
    </row>
    <row r="338" spans="1:26" ht="13.5" customHeight="1" x14ac:dyDescent="0.2">
      <c r="A338" s="106"/>
      <c r="B338" s="106"/>
      <c r="C338" s="106"/>
      <c r="D338" s="106"/>
      <c r="E338" s="106"/>
      <c r="F338" s="106"/>
      <c r="G338" s="106"/>
      <c r="H338" s="106"/>
      <c r="I338" s="106"/>
      <c r="J338" s="106"/>
      <c r="K338" s="106"/>
      <c r="L338" s="106"/>
      <c r="M338" s="106"/>
      <c r="N338" s="106"/>
      <c r="O338" s="106"/>
      <c r="P338" s="106"/>
      <c r="Q338" s="106"/>
      <c r="R338" s="106"/>
      <c r="S338" s="106"/>
      <c r="T338" s="106"/>
      <c r="U338" s="106"/>
      <c r="V338" s="106"/>
      <c r="W338" s="106"/>
      <c r="X338" s="106"/>
      <c r="Y338" s="106"/>
      <c r="Z338" s="106"/>
    </row>
    <row r="339" spans="1:26" ht="13.5" customHeight="1" x14ac:dyDescent="0.2">
      <c r="A339" s="106"/>
      <c r="B339" s="106"/>
      <c r="C339" s="106"/>
      <c r="D339" s="106"/>
      <c r="E339" s="106"/>
      <c r="F339" s="106"/>
      <c r="G339" s="106"/>
      <c r="H339" s="106"/>
      <c r="I339" s="106"/>
      <c r="J339" s="106"/>
      <c r="K339" s="106"/>
      <c r="L339" s="106"/>
      <c r="M339" s="106"/>
      <c r="N339" s="106"/>
      <c r="O339" s="106"/>
      <c r="P339" s="106"/>
      <c r="Q339" s="106"/>
      <c r="R339" s="106"/>
      <c r="S339" s="106"/>
      <c r="T339" s="106"/>
      <c r="U339" s="106"/>
      <c r="V339" s="106"/>
      <c r="W339" s="106"/>
      <c r="X339" s="106"/>
      <c r="Y339" s="106"/>
      <c r="Z339" s="106"/>
    </row>
    <row r="340" spans="1:26" ht="13.5" customHeight="1" x14ac:dyDescent="0.2">
      <c r="A340" s="106"/>
      <c r="B340" s="106"/>
      <c r="C340" s="106"/>
      <c r="D340" s="106"/>
      <c r="E340" s="106"/>
      <c r="F340" s="106"/>
      <c r="G340" s="106"/>
      <c r="H340" s="106"/>
      <c r="I340" s="106"/>
      <c r="J340" s="106"/>
      <c r="K340" s="106"/>
      <c r="L340" s="106"/>
      <c r="M340" s="106"/>
      <c r="N340" s="106"/>
      <c r="O340" s="106"/>
      <c r="P340" s="106"/>
      <c r="Q340" s="106"/>
      <c r="R340" s="106"/>
      <c r="S340" s="106"/>
      <c r="T340" s="106"/>
      <c r="U340" s="106"/>
      <c r="V340" s="106"/>
      <c r="W340" s="106"/>
      <c r="X340" s="106"/>
      <c r="Y340" s="106"/>
      <c r="Z340" s="106"/>
    </row>
    <row r="341" spans="1:26" ht="13.5" customHeight="1" x14ac:dyDescent="0.2">
      <c r="A341" s="106"/>
      <c r="B341" s="106"/>
      <c r="C341" s="106"/>
      <c r="D341" s="106"/>
      <c r="E341" s="106"/>
      <c r="F341" s="106"/>
      <c r="G341" s="106"/>
      <c r="H341" s="106"/>
      <c r="I341" s="106"/>
      <c r="J341" s="106"/>
      <c r="K341" s="106"/>
      <c r="L341" s="106"/>
      <c r="M341" s="106"/>
      <c r="N341" s="106"/>
      <c r="O341" s="106"/>
      <c r="P341" s="106"/>
      <c r="Q341" s="106"/>
      <c r="R341" s="106"/>
      <c r="S341" s="106"/>
      <c r="T341" s="106"/>
      <c r="U341" s="106"/>
      <c r="V341" s="106"/>
      <c r="W341" s="106"/>
      <c r="X341" s="106"/>
      <c r="Y341" s="106"/>
      <c r="Z341" s="106"/>
    </row>
    <row r="342" spans="1:26" ht="13.5" customHeight="1" x14ac:dyDescent="0.2">
      <c r="A342" s="106"/>
      <c r="B342" s="106"/>
      <c r="C342" s="106"/>
      <c r="D342" s="106"/>
      <c r="E342" s="106"/>
      <c r="F342" s="106"/>
      <c r="G342" s="106"/>
      <c r="H342" s="106"/>
      <c r="I342" s="106"/>
      <c r="J342" s="106"/>
      <c r="K342" s="106"/>
      <c r="L342" s="106"/>
      <c r="M342" s="106"/>
      <c r="N342" s="106"/>
      <c r="O342" s="106"/>
      <c r="P342" s="106"/>
      <c r="Q342" s="106"/>
      <c r="R342" s="106"/>
      <c r="S342" s="106"/>
      <c r="T342" s="106"/>
      <c r="U342" s="106"/>
      <c r="V342" s="106"/>
      <c r="W342" s="106"/>
      <c r="X342" s="106"/>
      <c r="Y342" s="106"/>
      <c r="Z342" s="106"/>
    </row>
    <row r="343" spans="1:26" ht="13.5" customHeight="1" x14ac:dyDescent="0.2">
      <c r="A343" s="106"/>
      <c r="B343" s="106"/>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6"/>
      <c r="Z343" s="106"/>
    </row>
    <row r="344" spans="1:26" ht="13.5" customHeight="1" x14ac:dyDescent="0.2">
      <c r="A344" s="106"/>
      <c r="B344" s="106"/>
      <c r="C344" s="106"/>
      <c r="D344" s="106"/>
      <c r="E344" s="106"/>
      <c r="F344" s="106"/>
      <c r="G344" s="106"/>
      <c r="H344" s="106"/>
      <c r="I344" s="106"/>
      <c r="J344" s="106"/>
      <c r="K344" s="106"/>
      <c r="L344" s="106"/>
      <c r="M344" s="106"/>
      <c r="N344" s="106"/>
      <c r="O344" s="106"/>
      <c r="P344" s="106"/>
      <c r="Q344" s="106"/>
      <c r="R344" s="106"/>
      <c r="S344" s="106"/>
      <c r="T344" s="106"/>
      <c r="U344" s="106"/>
      <c r="V344" s="106"/>
      <c r="W344" s="106"/>
      <c r="X344" s="106"/>
      <c r="Y344" s="106"/>
      <c r="Z344" s="106"/>
    </row>
    <row r="345" spans="1:26" ht="13.5" customHeight="1" x14ac:dyDescent="0.2">
      <c r="A345" s="106"/>
      <c r="B345" s="106"/>
      <c r="C345" s="106"/>
      <c r="D345" s="106"/>
      <c r="E345" s="106"/>
      <c r="F345" s="106"/>
      <c r="G345" s="106"/>
      <c r="H345" s="106"/>
      <c r="I345" s="106"/>
      <c r="J345" s="106"/>
      <c r="K345" s="106"/>
      <c r="L345" s="106"/>
      <c r="M345" s="106"/>
      <c r="N345" s="106"/>
      <c r="O345" s="106"/>
      <c r="P345" s="106"/>
      <c r="Q345" s="106"/>
      <c r="R345" s="106"/>
      <c r="S345" s="106"/>
      <c r="T345" s="106"/>
      <c r="U345" s="106"/>
      <c r="V345" s="106"/>
      <c r="W345" s="106"/>
      <c r="X345" s="106"/>
      <c r="Y345" s="106"/>
      <c r="Z345" s="106"/>
    </row>
    <row r="346" spans="1:26" ht="13.5" customHeight="1" x14ac:dyDescent="0.2">
      <c r="A346" s="106"/>
      <c r="B346" s="106"/>
      <c r="C346" s="106"/>
      <c r="D346" s="106"/>
      <c r="E346" s="106"/>
      <c r="F346" s="106"/>
      <c r="G346" s="106"/>
      <c r="H346" s="106"/>
      <c r="I346" s="106"/>
      <c r="J346" s="106"/>
      <c r="K346" s="106"/>
      <c r="L346" s="106"/>
      <c r="M346" s="106"/>
      <c r="N346" s="106"/>
      <c r="O346" s="106"/>
      <c r="P346" s="106"/>
      <c r="Q346" s="106"/>
      <c r="R346" s="106"/>
      <c r="S346" s="106"/>
      <c r="T346" s="106"/>
      <c r="U346" s="106"/>
      <c r="V346" s="106"/>
      <c r="W346" s="106"/>
      <c r="X346" s="106"/>
      <c r="Y346" s="106"/>
      <c r="Z346" s="106"/>
    </row>
    <row r="347" spans="1:26" ht="13.5" customHeight="1" x14ac:dyDescent="0.2">
      <c r="A347" s="106"/>
      <c r="B347" s="106"/>
      <c r="C347" s="106"/>
      <c r="D347" s="106"/>
      <c r="E347" s="106"/>
      <c r="F347" s="106"/>
      <c r="G347" s="106"/>
      <c r="H347" s="106"/>
      <c r="I347" s="106"/>
      <c r="J347" s="106"/>
      <c r="K347" s="106"/>
      <c r="L347" s="106"/>
      <c r="M347" s="106"/>
      <c r="N347" s="106"/>
      <c r="O347" s="106"/>
      <c r="P347" s="106"/>
      <c r="Q347" s="106"/>
      <c r="R347" s="106"/>
      <c r="S347" s="106"/>
      <c r="T347" s="106"/>
      <c r="U347" s="106"/>
      <c r="V347" s="106"/>
      <c r="W347" s="106"/>
      <c r="X347" s="106"/>
      <c r="Y347" s="106"/>
      <c r="Z347" s="106"/>
    </row>
    <row r="348" spans="1:26" ht="13.5" customHeight="1" x14ac:dyDescent="0.2">
      <c r="A348" s="106"/>
      <c r="B348" s="106"/>
      <c r="C348" s="106"/>
      <c r="D348" s="106"/>
      <c r="E348" s="106"/>
      <c r="F348" s="106"/>
      <c r="G348" s="106"/>
      <c r="H348" s="106"/>
      <c r="I348" s="106"/>
      <c r="J348" s="106"/>
      <c r="K348" s="106"/>
      <c r="L348" s="106"/>
      <c r="M348" s="106"/>
      <c r="N348" s="106"/>
      <c r="O348" s="106"/>
      <c r="P348" s="106"/>
      <c r="Q348" s="106"/>
      <c r="R348" s="106"/>
      <c r="S348" s="106"/>
      <c r="T348" s="106"/>
      <c r="U348" s="106"/>
      <c r="V348" s="106"/>
      <c r="W348" s="106"/>
      <c r="X348" s="106"/>
      <c r="Y348" s="106"/>
      <c r="Z348" s="106"/>
    </row>
    <row r="349" spans="1:26" ht="13.5" customHeight="1" x14ac:dyDescent="0.2">
      <c r="A349" s="106"/>
      <c r="B349" s="106"/>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6"/>
      <c r="Z349" s="106"/>
    </row>
    <row r="350" spans="1:26" ht="13.5" customHeight="1" x14ac:dyDescent="0.2">
      <c r="A350" s="106"/>
      <c r="B350" s="106"/>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6"/>
      <c r="Z350" s="106"/>
    </row>
    <row r="351" spans="1:26" ht="13.5" customHeight="1" x14ac:dyDescent="0.2">
      <c r="A351" s="106"/>
      <c r="B351" s="106"/>
      <c r="C351" s="106"/>
      <c r="D351" s="106"/>
      <c r="E351" s="106"/>
      <c r="F351" s="106"/>
      <c r="G351" s="106"/>
      <c r="H351" s="106"/>
      <c r="I351" s="106"/>
      <c r="J351" s="106"/>
      <c r="K351" s="106"/>
      <c r="L351" s="106"/>
      <c r="M351" s="106"/>
      <c r="N351" s="106"/>
      <c r="O351" s="106"/>
      <c r="P351" s="106"/>
      <c r="Q351" s="106"/>
      <c r="R351" s="106"/>
      <c r="S351" s="106"/>
      <c r="T351" s="106"/>
      <c r="U351" s="106"/>
      <c r="V351" s="106"/>
      <c r="W351" s="106"/>
      <c r="X351" s="106"/>
      <c r="Y351" s="106"/>
      <c r="Z351" s="106"/>
    </row>
    <row r="352" spans="1:26" ht="13.5" customHeight="1" x14ac:dyDescent="0.2">
      <c r="A352" s="106"/>
      <c r="B352" s="106"/>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106"/>
      <c r="Y352" s="106"/>
      <c r="Z352" s="106"/>
    </row>
    <row r="353" spans="1:26" ht="13.5" customHeight="1" x14ac:dyDescent="0.2">
      <c r="A353" s="106"/>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6"/>
      <c r="Z353" s="106"/>
    </row>
    <row r="354" spans="1:26" ht="13.5" customHeight="1" x14ac:dyDescent="0.2">
      <c r="A354" s="106"/>
      <c r="B354" s="106"/>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106"/>
      <c r="Y354" s="106"/>
      <c r="Z354" s="106"/>
    </row>
    <row r="355" spans="1:26" ht="13.5" customHeight="1" x14ac:dyDescent="0.2">
      <c r="A355" s="106"/>
      <c r="B355" s="106"/>
      <c r="C355" s="106"/>
      <c r="D355" s="106"/>
      <c r="E355" s="106"/>
      <c r="F355" s="106"/>
      <c r="G355" s="106"/>
      <c r="H355" s="106"/>
      <c r="I355" s="106"/>
      <c r="J355" s="106"/>
      <c r="K355" s="106"/>
      <c r="L355" s="106"/>
      <c r="M355" s="106"/>
      <c r="N355" s="106"/>
      <c r="O355" s="106"/>
      <c r="P355" s="106"/>
      <c r="Q355" s="106"/>
      <c r="R355" s="106"/>
      <c r="S355" s="106"/>
      <c r="T355" s="106"/>
      <c r="U355" s="106"/>
      <c r="V355" s="106"/>
      <c r="W355" s="106"/>
      <c r="X355" s="106"/>
      <c r="Y355" s="106"/>
      <c r="Z355" s="106"/>
    </row>
    <row r="356" spans="1:26" ht="13.5" customHeight="1" x14ac:dyDescent="0.2">
      <c r="A356" s="106"/>
      <c r="B356" s="106"/>
      <c r="C356" s="106"/>
      <c r="D356" s="106"/>
      <c r="E356" s="106"/>
      <c r="F356" s="106"/>
      <c r="G356" s="106"/>
      <c r="H356" s="106"/>
      <c r="I356" s="106"/>
      <c r="J356" s="106"/>
      <c r="K356" s="106"/>
      <c r="L356" s="106"/>
      <c r="M356" s="106"/>
      <c r="N356" s="106"/>
      <c r="O356" s="106"/>
      <c r="P356" s="106"/>
      <c r="Q356" s="106"/>
      <c r="R356" s="106"/>
      <c r="S356" s="106"/>
      <c r="T356" s="106"/>
      <c r="U356" s="106"/>
      <c r="V356" s="106"/>
      <c r="W356" s="106"/>
      <c r="X356" s="106"/>
      <c r="Y356" s="106"/>
      <c r="Z356" s="106"/>
    </row>
    <row r="357" spans="1:26" ht="13.5" customHeight="1" x14ac:dyDescent="0.2">
      <c r="A357" s="106"/>
      <c r="B357" s="106"/>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106"/>
      <c r="Y357" s="106"/>
      <c r="Z357" s="106"/>
    </row>
    <row r="358" spans="1:26" ht="13.5" customHeight="1" x14ac:dyDescent="0.2">
      <c r="A358" s="106"/>
      <c r="B358" s="106"/>
      <c r="C358" s="106"/>
      <c r="D358" s="106"/>
      <c r="E358" s="106"/>
      <c r="F358" s="106"/>
      <c r="G358" s="106"/>
      <c r="H358" s="106"/>
      <c r="I358" s="106"/>
      <c r="J358" s="106"/>
      <c r="K358" s="106"/>
      <c r="L358" s="106"/>
      <c r="M358" s="106"/>
      <c r="N358" s="106"/>
      <c r="O358" s="106"/>
      <c r="P358" s="106"/>
      <c r="Q358" s="106"/>
      <c r="R358" s="106"/>
      <c r="S358" s="106"/>
      <c r="T358" s="106"/>
      <c r="U358" s="106"/>
      <c r="V358" s="106"/>
      <c r="W358" s="106"/>
      <c r="X358" s="106"/>
      <c r="Y358" s="106"/>
      <c r="Z358" s="106"/>
    </row>
    <row r="359" spans="1:26" ht="13.5" customHeight="1" x14ac:dyDescent="0.2">
      <c r="A359" s="106"/>
      <c r="B359" s="106"/>
      <c r="C359" s="106"/>
      <c r="D359" s="106"/>
      <c r="E359" s="106"/>
      <c r="F359" s="106"/>
      <c r="G359" s="106"/>
      <c r="H359" s="106"/>
      <c r="I359" s="106"/>
      <c r="J359" s="106"/>
      <c r="K359" s="106"/>
      <c r="L359" s="106"/>
      <c r="M359" s="106"/>
      <c r="N359" s="106"/>
      <c r="O359" s="106"/>
      <c r="P359" s="106"/>
      <c r="Q359" s="106"/>
      <c r="R359" s="106"/>
      <c r="S359" s="106"/>
      <c r="T359" s="106"/>
      <c r="U359" s="106"/>
      <c r="V359" s="106"/>
      <c r="W359" s="106"/>
      <c r="X359" s="106"/>
      <c r="Y359" s="106"/>
      <c r="Z359" s="106"/>
    </row>
    <row r="360" spans="1:26" ht="13.5" customHeight="1" x14ac:dyDescent="0.2">
      <c r="A360" s="106"/>
      <c r="B360" s="106"/>
      <c r="C360" s="106"/>
      <c r="D360" s="106"/>
      <c r="E360" s="106"/>
      <c r="F360" s="106"/>
      <c r="G360" s="106"/>
      <c r="H360" s="106"/>
      <c r="I360" s="106"/>
      <c r="J360" s="106"/>
      <c r="K360" s="106"/>
      <c r="L360" s="106"/>
      <c r="M360" s="106"/>
      <c r="N360" s="106"/>
      <c r="O360" s="106"/>
      <c r="P360" s="106"/>
      <c r="Q360" s="106"/>
      <c r="R360" s="106"/>
      <c r="S360" s="106"/>
      <c r="T360" s="106"/>
      <c r="U360" s="106"/>
      <c r="V360" s="106"/>
      <c r="W360" s="106"/>
      <c r="X360" s="106"/>
      <c r="Y360" s="106"/>
      <c r="Z360" s="106"/>
    </row>
    <row r="361" spans="1:26" ht="13.5" customHeight="1" x14ac:dyDescent="0.2">
      <c r="A361" s="106"/>
      <c r="B361" s="106"/>
      <c r="C361" s="106"/>
      <c r="D361" s="106"/>
      <c r="E361" s="106"/>
      <c r="F361" s="106"/>
      <c r="G361" s="106"/>
      <c r="H361" s="106"/>
      <c r="I361" s="106"/>
      <c r="J361" s="106"/>
      <c r="K361" s="106"/>
      <c r="L361" s="106"/>
      <c r="M361" s="106"/>
      <c r="N361" s="106"/>
      <c r="O361" s="106"/>
      <c r="P361" s="106"/>
      <c r="Q361" s="106"/>
      <c r="R361" s="106"/>
      <c r="S361" s="106"/>
      <c r="T361" s="106"/>
      <c r="U361" s="106"/>
      <c r="V361" s="106"/>
      <c r="W361" s="106"/>
      <c r="X361" s="106"/>
      <c r="Y361" s="106"/>
      <c r="Z361" s="106"/>
    </row>
    <row r="362" spans="1:26" ht="13.5" customHeight="1" x14ac:dyDescent="0.2">
      <c r="A362" s="106"/>
      <c r="B362" s="106"/>
      <c r="C362" s="106"/>
      <c r="D362" s="106"/>
      <c r="E362" s="106"/>
      <c r="F362" s="106"/>
      <c r="G362" s="106"/>
      <c r="H362" s="106"/>
      <c r="I362" s="106"/>
      <c r="J362" s="106"/>
      <c r="K362" s="106"/>
      <c r="L362" s="106"/>
      <c r="M362" s="106"/>
      <c r="N362" s="106"/>
      <c r="O362" s="106"/>
      <c r="P362" s="106"/>
      <c r="Q362" s="106"/>
      <c r="R362" s="106"/>
      <c r="S362" s="106"/>
      <c r="T362" s="106"/>
      <c r="U362" s="106"/>
      <c r="V362" s="106"/>
      <c r="W362" s="106"/>
      <c r="X362" s="106"/>
      <c r="Y362" s="106"/>
      <c r="Z362" s="106"/>
    </row>
    <row r="363" spans="1:26" ht="13.5" customHeight="1" x14ac:dyDescent="0.2">
      <c r="A363" s="106"/>
      <c r="B363" s="106"/>
      <c r="C363" s="106"/>
      <c r="D363" s="106"/>
      <c r="E363" s="106"/>
      <c r="F363" s="106"/>
      <c r="G363" s="106"/>
      <c r="H363" s="106"/>
      <c r="I363" s="106"/>
      <c r="J363" s="106"/>
      <c r="K363" s="106"/>
      <c r="L363" s="106"/>
      <c r="M363" s="106"/>
      <c r="N363" s="106"/>
      <c r="O363" s="106"/>
      <c r="P363" s="106"/>
      <c r="Q363" s="106"/>
      <c r="R363" s="106"/>
      <c r="S363" s="106"/>
      <c r="T363" s="106"/>
      <c r="U363" s="106"/>
      <c r="V363" s="106"/>
      <c r="W363" s="106"/>
      <c r="X363" s="106"/>
      <c r="Y363" s="106"/>
      <c r="Z363" s="106"/>
    </row>
    <row r="364" spans="1:26" ht="13.5" customHeight="1" x14ac:dyDescent="0.2">
      <c r="A364" s="106"/>
      <c r="B364" s="106"/>
      <c r="C364" s="106"/>
      <c r="D364" s="106"/>
      <c r="E364" s="106"/>
      <c r="F364" s="106"/>
      <c r="G364" s="106"/>
      <c r="H364" s="106"/>
      <c r="I364" s="106"/>
      <c r="J364" s="106"/>
      <c r="K364" s="106"/>
      <c r="L364" s="106"/>
      <c r="M364" s="106"/>
      <c r="N364" s="106"/>
      <c r="O364" s="106"/>
      <c r="P364" s="106"/>
      <c r="Q364" s="106"/>
      <c r="R364" s="106"/>
      <c r="S364" s="106"/>
      <c r="T364" s="106"/>
      <c r="U364" s="106"/>
      <c r="V364" s="106"/>
      <c r="W364" s="106"/>
      <c r="X364" s="106"/>
      <c r="Y364" s="106"/>
      <c r="Z364" s="106"/>
    </row>
    <row r="365" spans="1:26" ht="13.5" customHeight="1" x14ac:dyDescent="0.2">
      <c r="A365" s="106"/>
      <c r="B365" s="106"/>
      <c r="C365" s="106"/>
      <c r="D365" s="106"/>
      <c r="E365" s="106"/>
      <c r="F365" s="106"/>
      <c r="G365" s="106"/>
      <c r="H365" s="106"/>
      <c r="I365" s="106"/>
      <c r="J365" s="106"/>
      <c r="K365" s="106"/>
      <c r="L365" s="106"/>
      <c r="M365" s="106"/>
      <c r="N365" s="106"/>
      <c r="O365" s="106"/>
      <c r="P365" s="106"/>
      <c r="Q365" s="106"/>
      <c r="R365" s="106"/>
      <c r="S365" s="106"/>
      <c r="T365" s="106"/>
      <c r="U365" s="106"/>
      <c r="V365" s="106"/>
      <c r="W365" s="106"/>
      <c r="X365" s="106"/>
      <c r="Y365" s="106"/>
      <c r="Z365" s="106"/>
    </row>
    <row r="366" spans="1:26" ht="13.5" customHeight="1" x14ac:dyDescent="0.2">
      <c r="A366" s="106"/>
      <c r="B366" s="106"/>
      <c r="C366" s="106"/>
      <c r="D366" s="106"/>
      <c r="E366" s="106"/>
      <c r="F366" s="106"/>
      <c r="G366" s="106"/>
      <c r="H366" s="106"/>
      <c r="I366" s="106"/>
      <c r="J366" s="106"/>
      <c r="K366" s="106"/>
      <c r="L366" s="106"/>
      <c r="M366" s="106"/>
      <c r="N366" s="106"/>
      <c r="O366" s="106"/>
      <c r="P366" s="106"/>
      <c r="Q366" s="106"/>
      <c r="R366" s="106"/>
      <c r="S366" s="106"/>
      <c r="T366" s="106"/>
      <c r="U366" s="106"/>
      <c r="V366" s="106"/>
      <c r="W366" s="106"/>
      <c r="X366" s="106"/>
      <c r="Y366" s="106"/>
      <c r="Z366" s="106"/>
    </row>
    <row r="367" spans="1:26" ht="13.5" customHeight="1" x14ac:dyDescent="0.2">
      <c r="A367" s="106"/>
      <c r="B367" s="106"/>
      <c r="C367" s="106"/>
      <c r="D367" s="106"/>
      <c r="E367" s="106"/>
      <c r="F367" s="106"/>
      <c r="G367" s="106"/>
      <c r="H367" s="106"/>
      <c r="I367" s="106"/>
      <c r="J367" s="106"/>
      <c r="K367" s="106"/>
      <c r="L367" s="106"/>
      <c r="M367" s="106"/>
      <c r="N367" s="106"/>
      <c r="O367" s="106"/>
      <c r="P367" s="106"/>
      <c r="Q367" s="106"/>
      <c r="R367" s="106"/>
      <c r="S367" s="106"/>
      <c r="T367" s="106"/>
      <c r="U367" s="106"/>
      <c r="V367" s="106"/>
      <c r="W367" s="106"/>
      <c r="X367" s="106"/>
      <c r="Y367" s="106"/>
      <c r="Z367" s="106"/>
    </row>
    <row r="368" spans="1:26" ht="13.5" customHeight="1" x14ac:dyDescent="0.2">
      <c r="A368" s="106"/>
      <c r="B368" s="106"/>
      <c r="C368" s="106"/>
      <c r="D368" s="106"/>
      <c r="E368" s="106"/>
      <c r="F368" s="106"/>
      <c r="G368" s="106"/>
      <c r="H368" s="106"/>
      <c r="I368" s="106"/>
      <c r="J368" s="106"/>
      <c r="K368" s="106"/>
      <c r="L368" s="106"/>
      <c r="M368" s="106"/>
      <c r="N368" s="106"/>
      <c r="O368" s="106"/>
      <c r="P368" s="106"/>
      <c r="Q368" s="106"/>
      <c r="R368" s="106"/>
      <c r="S368" s="106"/>
      <c r="T368" s="106"/>
      <c r="U368" s="106"/>
      <c r="V368" s="106"/>
      <c r="W368" s="106"/>
      <c r="X368" s="106"/>
      <c r="Y368" s="106"/>
      <c r="Z368" s="106"/>
    </row>
    <row r="369" spans="1:26" ht="13.5" customHeight="1" x14ac:dyDescent="0.2">
      <c r="A369" s="106"/>
      <c r="B369" s="106"/>
      <c r="C369" s="106"/>
      <c r="D369" s="106"/>
      <c r="E369" s="106"/>
      <c r="F369" s="106"/>
      <c r="G369" s="106"/>
      <c r="H369" s="106"/>
      <c r="I369" s="106"/>
      <c r="J369" s="106"/>
      <c r="K369" s="106"/>
      <c r="L369" s="106"/>
      <c r="M369" s="106"/>
      <c r="N369" s="106"/>
      <c r="O369" s="106"/>
      <c r="P369" s="106"/>
      <c r="Q369" s="106"/>
      <c r="R369" s="106"/>
      <c r="S369" s="106"/>
      <c r="T369" s="106"/>
      <c r="U369" s="106"/>
      <c r="V369" s="106"/>
      <c r="W369" s="106"/>
      <c r="X369" s="106"/>
      <c r="Y369" s="106"/>
      <c r="Z369" s="106"/>
    </row>
    <row r="370" spans="1:26" ht="13.5" customHeight="1" x14ac:dyDescent="0.2">
      <c r="A370" s="106"/>
      <c r="B370" s="106"/>
      <c r="C370" s="106"/>
      <c r="D370" s="106"/>
      <c r="E370" s="106"/>
      <c r="F370" s="106"/>
      <c r="G370" s="106"/>
      <c r="H370" s="106"/>
      <c r="I370" s="106"/>
      <c r="J370" s="106"/>
      <c r="K370" s="106"/>
      <c r="L370" s="106"/>
      <c r="M370" s="106"/>
      <c r="N370" s="106"/>
      <c r="O370" s="106"/>
      <c r="P370" s="106"/>
      <c r="Q370" s="106"/>
      <c r="R370" s="106"/>
      <c r="S370" s="106"/>
      <c r="T370" s="106"/>
      <c r="U370" s="106"/>
      <c r="V370" s="106"/>
      <c r="W370" s="106"/>
      <c r="X370" s="106"/>
      <c r="Y370" s="106"/>
      <c r="Z370" s="106"/>
    </row>
    <row r="371" spans="1:26" ht="13.5" customHeight="1" x14ac:dyDescent="0.2">
      <c r="A371" s="106"/>
      <c r="B371" s="106"/>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106"/>
      <c r="Y371" s="106"/>
      <c r="Z371" s="106"/>
    </row>
    <row r="372" spans="1:26" ht="13.5" customHeight="1" x14ac:dyDescent="0.2">
      <c r="A372" s="106"/>
      <c r="B372" s="106"/>
      <c r="C372" s="106"/>
      <c r="D372" s="106"/>
      <c r="E372" s="106"/>
      <c r="F372" s="106"/>
      <c r="G372" s="106"/>
      <c r="H372" s="106"/>
      <c r="I372" s="106"/>
      <c r="J372" s="106"/>
      <c r="K372" s="106"/>
      <c r="L372" s="106"/>
      <c r="M372" s="106"/>
      <c r="N372" s="106"/>
      <c r="O372" s="106"/>
      <c r="P372" s="106"/>
      <c r="Q372" s="106"/>
      <c r="R372" s="106"/>
      <c r="S372" s="106"/>
      <c r="T372" s="106"/>
      <c r="U372" s="106"/>
      <c r="V372" s="106"/>
      <c r="W372" s="106"/>
      <c r="X372" s="106"/>
      <c r="Y372" s="106"/>
      <c r="Z372" s="106"/>
    </row>
    <row r="373" spans="1:26" ht="13.5" customHeight="1" x14ac:dyDescent="0.2">
      <c r="A373" s="106"/>
      <c r="B373" s="106"/>
      <c r="C373" s="106"/>
      <c r="D373" s="106"/>
      <c r="E373" s="106"/>
      <c r="F373" s="106"/>
      <c r="G373" s="106"/>
      <c r="H373" s="106"/>
      <c r="I373" s="106"/>
      <c r="J373" s="106"/>
      <c r="K373" s="106"/>
      <c r="L373" s="106"/>
      <c r="M373" s="106"/>
      <c r="N373" s="106"/>
      <c r="O373" s="106"/>
      <c r="P373" s="106"/>
      <c r="Q373" s="106"/>
      <c r="R373" s="106"/>
      <c r="S373" s="106"/>
      <c r="T373" s="106"/>
      <c r="U373" s="106"/>
      <c r="V373" s="106"/>
      <c r="W373" s="106"/>
      <c r="X373" s="106"/>
      <c r="Y373" s="106"/>
      <c r="Z373" s="106"/>
    </row>
    <row r="374" spans="1:26" ht="13.5" customHeight="1" x14ac:dyDescent="0.2">
      <c r="A374" s="106"/>
      <c r="B374" s="106"/>
      <c r="C374" s="106"/>
      <c r="D374" s="106"/>
      <c r="E374" s="106"/>
      <c r="F374" s="106"/>
      <c r="G374" s="106"/>
      <c r="H374" s="106"/>
      <c r="I374" s="106"/>
      <c r="J374" s="106"/>
      <c r="K374" s="106"/>
      <c r="L374" s="106"/>
      <c r="M374" s="106"/>
      <c r="N374" s="106"/>
      <c r="O374" s="106"/>
      <c r="P374" s="106"/>
      <c r="Q374" s="106"/>
      <c r="R374" s="106"/>
      <c r="S374" s="106"/>
      <c r="T374" s="106"/>
      <c r="U374" s="106"/>
      <c r="V374" s="106"/>
      <c r="W374" s="106"/>
      <c r="X374" s="106"/>
      <c r="Y374" s="106"/>
      <c r="Z374" s="106"/>
    </row>
    <row r="375" spans="1:26" ht="13.5" customHeight="1" x14ac:dyDescent="0.2">
      <c r="A375" s="106"/>
      <c r="B375" s="106"/>
      <c r="C375" s="106"/>
      <c r="D375" s="106"/>
      <c r="E375" s="106"/>
      <c r="F375" s="106"/>
      <c r="G375" s="106"/>
      <c r="H375" s="106"/>
      <c r="I375" s="106"/>
      <c r="J375" s="106"/>
      <c r="K375" s="106"/>
      <c r="L375" s="106"/>
      <c r="M375" s="106"/>
      <c r="N375" s="106"/>
      <c r="O375" s="106"/>
      <c r="P375" s="106"/>
      <c r="Q375" s="106"/>
      <c r="R375" s="106"/>
      <c r="S375" s="106"/>
      <c r="T375" s="106"/>
      <c r="U375" s="106"/>
      <c r="V375" s="106"/>
      <c r="W375" s="106"/>
      <c r="X375" s="106"/>
      <c r="Y375" s="106"/>
      <c r="Z375" s="106"/>
    </row>
    <row r="376" spans="1:26" ht="13.5" customHeight="1" x14ac:dyDescent="0.2">
      <c r="A376" s="106"/>
      <c r="B376" s="106"/>
      <c r="C376" s="106"/>
      <c r="D376" s="106"/>
      <c r="E376" s="106"/>
      <c r="F376" s="106"/>
      <c r="G376" s="106"/>
      <c r="H376" s="106"/>
      <c r="I376" s="106"/>
      <c r="J376" s="106"/>
      <c r="K376" s="106"/>
      <c r="L376" s="106"/>
      <c r="M376" s="106"/>
      <c r="N376" s="106"/>
      <c r="O376" s="106"/>
      <c r="P376" s="106"/>
      <c r="Q376" s="106"/>
      <c r="R376" s="106"/>
      <c r="S376" s="106"/>
      <c r="T376" s="106"/>
      <c r="U376" s="106"/>
      <c r="V376" s="106"/>
      <c r="W376" s="106"/>
      <c r="X376" s="106"/>
      <c r="Y376" s="106"/>
      <c r="Z376" s="106"/>
    </row>
    <row r="377" spans="1:26" ht="13.5" customHeight="1" x14ac:dyDescent="0.2">
      <c r="A377" s="106"/>
      <c r="B377" s="106"/>
      <c r="C377" s="106"/>
      <c r="D377" s="106"/>
      <c r="E377" s="106"/>
      <c r="F377" s="106"/>
      <c r="G377" s="106"/>
      <c r="H377" s="106"/>
      <c r="I377" s="106"/>
      <c r="J377" s="106"/>
      <c r="K377" s="106"/>
      <c r="L377" s="106"/>
      <c r="M377" s="106"/>
      <c r="N377" s="106"/>
      <c r="O377" s="106"/>
      <c r="P377" s="106"/>
      <c r="Q377" s="106"/>
      <c r="R377" s="106"/>
      <c r="S377" s="106"/>
      <c r="T377" s="106"/>
      <c r="U377" s="106"/>
      <c r="V377" s="106"/>
      <c r="W377" s="106"/>
      <c r="X377" s="106"/>
      <c r="Y377" s="106"/>
      <c r="Z377" s="106"/>
    </row>
    <row r="378" spans="1:26" ht="13.5" customHeight="1" x14ac:dyDescent="0.2">
      <c r="A378" s="106"/>
      <c r="B378" s="106"/>
      <c r="C378" s="106"/>
      <c r="D378" s="106"/>
      <c r="E378" s="106"/>
      <c r="F378" s="106"/>
      <c r="G378" s="106"/>
      <c r="H378" s="106"/>
      <c r="I378" s="106"/>
      <c r="J378" s="106"/>
      <c r="K378" s="106"/>
      <c r="L378" s="106"/>
      <c r="M378" s="106"/>
      <c r="N378" s="106"/>
      <c r="O378" s="106"/>
      <c r="P378" s="106"/>
      <c r="Q378" s="106"/>
      <c r="R378" s="106"/>
      <c r="S378" s="106"/>
      <c r="T378" s="106"/>
      <c r="U378" s="106"/>
      <c r="V378" s="106"/>
      <c r="W378" s="106"/>
      <c r="X378" s="106"/>
      <c r="Y378" s="106"/>
      <c r="Z378" s="106"/>
    </row>
    <row r="379" spans="1:26" ht="13.5" customHeight="1" x14ac:dyDescent="0.2">
      <c r="A379" s="106"/>
      <c r="B379" s="106"/>
      <c r="C379" s="106"/>
      <c r="D379" s="106"/>
      <c r="E379" s="106"/>
      <c r="F379" s="106"/>
      <c r="G379" s="106"/>
      <c r="H379" s="106"/>
      <c r="I379" s="106"/>
      <c r="J379" s="106"/>
      <c r="K379" s="106"/>
      <c r="L379" s="106"/>
      <c r="M379" s="106"/>
      <c r="N379" s="106"/>
      <c r="O379" s="106"/>
      <c r="P379" s="106"/>
      <c r="Q379" s="106"/>
      <c r="R379" s="106"/>
      <c r="S379" s="106"/>
      <c r="T379" s="106"/>
      <c r="U379" s="106"/>
      <c r="V379" s="106"/>
      <c r="W379" s="106"/>
      <c r="X379" s="106"/>
      <c r="Y379" s="106"/>
      <c r="Z379" s="106"/>
    </row>
    <row r="380" spans="1:26" ht="13.5" customHeight="1" x14ac:dyDescent="0.2">
      <c r="A380" s="106"/>
      <c r="B380" s="106"/>
      <c r="C380" s="106"/>
      <c r="D380" s="106"/>
      <c r="E380" s="106"/>
      <c r="F380" s="106"/>
      <c r="G380" s="106"/>
      <c r="H380" s="106"/>
      <c r="I380" s="106"/>
      <c r="J380" s="106"/>
      <c r="K380" s="106"/>
      <c r="L380" s="106"/>
      <c r="M380" s="106"/>
      <c r="N380" s="106"/>
      <c r="O380" s="106"/>
      <c r="P380" s="106"/>
      <c r="Q380" s="106"/>
      <c r="R380" s="106"/>
      <c r="S380" s="106"/>
      <c r="T380" s="106"/>
      <c r="U380" s="106"/>
      <c r="V380" s="106"/>
      <c r="W380" s="106"/>
      <c r="X380" s="106"/>
      <c r="Y380" s="106"/>
      <c r="Z380" s="106"/>
    </row>
    <row r="381" spans="1:26" ht="13.5" customHeight="1" x14ac:dyDescent="0.2">
      <c r="A381" s="106"/>
      <c r="B381" s="106"/>
      <c r="C381" s="106"/>
      <c r="D381" s="106"/>
      <c r="E381" s="106"/>
      <c r="F381" s="106"/>
      <c r="G381" s="106"/>
      <c r="H381" s="106"/>
      <c r="I381" s="106"/>
      <c r="J381" s="106"/>
      <c r="K381" s="106"/>
      <c r="L381" s="106"/>
      <c r="M381" s="106"/>
      <c r="N381" s="106"/>
      <c r="O381" s="106"/>
      <c r="P381" s="106"/>
      <c r="Q381" s="106"/>
      <c r="R381" s="106"/>
      <c r="S381" s="106"/>
      <c r="T381" s="106"/>
      <c r="U381" s="106"/>
      <c r="V381" s="106"/>
      <c r="W381" s="106"/>
      <c r="X381" s="106"/>
      <c r="Y381" s="106"/>
      <c r="Z381" s="106"/>
    </row>
    <row r="382" spans="1:26" ht="13.5" customHeight="1" x14ac:dyDescent="0.2">
      <c r="A382" s="106"/>
      <c r="B382" s="106"/>
      <c r="C382" s="106"/>
      <c r="D382" s="106"/>
      <c r="E382" s="106"/>
      <c r="F382" s="106"/>
      <c r="G382" s="106"/>
      <c r="H382" s="106"/>
      <c r="I382" s="106"/>
      <c r="J382" s="106"/>
      <c r="K382" s="106"/>
      <c r="L382" s="106"/>
      <c r="M382" s="106"/>
      <c r="N382" s="106"/>
      <c r="O382" s="106"/>
      <c r="P382" s="106"/>
      <c r="Q382" s="106"/>
      <c r="R382" s="106"/>
      <c r="S382" s="106"/>
      <c r="T382" s="106"/>
      <c r="U382" s="106"/>
      <c r="V382" s="106"/>
      <c r="W382" s="106"/>
      <c r="X382" s="106"/>
      <c r="Y382" s="106"/>
      <c r="Z382" s="106"/>
    </row>
    <row r="383" spans="1:26" ht="13.5" customHeight="1" x14ac:dyDescent="0.2">
      <c r="A383" s="106"/>
      <c r="B383" s="106"/>
      <c r="C383" s="106"/>
      <c r="D383" s="106"/>
      <c r="E383" s="106"/>
      <c r="F383" s="106"/>
      <c r="G383" s="106"/>
      <c r="H383" s="106"/>
      <c r="I383" s="106"/>
      <c r="J383" s="106"/>
      <c r="K383" s="106"/>
      <c r="L383" s="106"/>
      <c r="M383" s="106"/>
      <c r="N383" s="106"/>
      <c r="O383" s="106"/>
      <c r="P383" s="106"/>
      <c r="Q383" s="106"/>
      <c r="R383" s="106"/>
      <c r="S383" s="106"/>
      <c r="T383" s="106"/>
      <c r="U383" s="106"/>
      <c r="V383" s="106"/>
      <c r="W383" s="106"/>
      <c r="X383" s="106"/>
      <c r="Y383" s="106"/>
      <c r="Z383" s="106"/>
    </row>
    <row r="384" spans="1:26" ht="13.5" customHeight="1" x14ac:dyDescent="0.2">
      <c r="A384" s="106"/>
      <c r="B384" s="106"/>
      <c r="C384" s="106"/>
      <c r="D384" s="106"/>
      <c r="E384" s="106"/>
      <c r="F384" s="106"/>
      <c r="G384" s="106"/>
      <c r="H384" s="106"/>
      <c r="I384" s="106"/>
      <c r="J384" s="106"/>
      <c r="K384" s="106"/>
      <c r="L384" s="106"/>
      <c r="M384" s="106"/>
      <c r="N384" s="106"/>
      <c r="O384" s="106"/>
      <c r="P384" s="106"/>
      <c r="Q384" s="106"/>
      <c r="R384" s="106"/>
      <c r="S384" s="106"/>
      <c r="T384" s="106"/>
      <c r="U384" s="106"/>
      <c r="V384" s="106"/>
      <c r="W384" s="106"/>
      <c r="X384" s="106"/>
      <c r="Y384" s="106"/>
      <c r="Z384" s="106"/>
    </row>
    <row r="385" spans="1:26" ht="13.5" customHeight="1" x14ac:dyDescent="0.2">
      <c r="A385" s="106"/>
      <c r="B385" s="106"/>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106"/>
      <c r="Y385" s="106"/>
      <c r="Z385" s="106"/>
    </row>
    <row r="386" spans="1:26" ht="13.5" customHeight="1" x14ac:dyDescent="0.2">
      <c r="A386" s="106"/>
      <c r="B386" s="106"/>
      <c r="C386" s="106"/>
      <c r="D386" s="106"/>
      <c r="E386" s="106"/>
      <c r="F386" s="106"/>
      <c r="G386" s="106"/>
      <c r="H386" s="106"/>
      <c r="I386" s="106"/>
      <c r="J386" s="106"/>
      <c r="K386" s="106"/>
      <c r="L386" s="106"/>
      <c r="M386" s="106"/>
      <c r="N386" s="106"/>
      <c r="O386" s="106"/>
      <c r="P386" s="106"/>
      <c r="Q386" s="106"/>
      <c r="R386" s="106"/>
      <c r="S386" s="106"/>
      <c r="T386" s="106"/>
      <c r="U386" s="106"/>
      <c r="V386" s="106"/>
      <c r="W386" s="106"/>
      <c r="X386" s="106"/>
      <c r="Y386" s="106"/>
      <c r="Z386" s="106"/>
    </row>
    <row r="387" spans="1:26" ht="13.5" customHeight="1" x14ac:dyDescent="0.2">
      <c r="A387" s="106"/>
      <c r="B387" s="106"/>
      <c r="C387" s="106"/>
      <c r="D387" s="106"/>
      <c r="E387" s="106"/>
      <c r="F387" s="106"/>
      <c r="G387" s="106"/>
      <c r="H387" s="106"/>
      <c r="I387" s="106"/>
      <c r="J387" s="106"/>
      <c r="K387" s="106"/>
      <c r="L387" s="106"/>
      <c r="M387" s="106"/>
      <c r="N387" s="106"/>
      <c r="O387" s="106"/>
      <c r="P387" s="106"/>
      <c r="Q387" s="106"/>
      <c r="R387" s="106"/>
      <c r="S387" s="106"/>
      <c r="T387" s="106"/>
      <c r="U387" s="106"/>
      <c r="V387" s="106"/>
      <c r="W387" s="106"/>
      <c r="X387" s="106"/>
      <c r="Y387" s="106"/>
      <c r="Z387" s="106"/>
    </row>
    <row r="388" spans="1:26" ht="13.5" customHeight="1" x14ac:dyDescent="0.2">
      <c r="A388" s="106"/>
      <c r="B388" s="106"/>
      <c r="C388" s="106"/>
      <c r="D388" s="106"/>
      <c r="E388" s="106"/>
      <c r="F388" s="106"/>
      <c r="G388" s="106"/>
      <c r="H388" s="106"/>
      <c r="I388" s="106"/>
      <c r="J388" s="106"/>
      <c r="K388" s="106"/>
      <c r="L388" s="106"/>
      <c r="M388" s="106"/>
      <c r="N388" s="106"/>
      <c r="O388" s="106"/>
      <c r="P388" s="106"/>
      <c r="Q388" s="106"/>
      <c r="R388" s="106"/>
      <c r="S388" s="106"/>
      <c r="T388" s="106"/>
      <c r="U388" s="106"/>
      <c r="V388" s="106"/>
      <c r="W388" s="106"/>
      <c r="X388" s="106"/>
      <c r="Y388" s="106"/>
      <c r="Z388" s="106"/>
    </row>
    <row r="389" spans="1:26" ht="13.5" customHeight="1" x14ac:dyDescent="0.2">
      <c r="A389" s="106"/>
      <c r="B389" s="106"/>
      <c r="C389" s="106"/>
      <c r="D389" s="106"/>
      <c r="E389" s="106"/>
      <c r="F389" s="106"/>
      <c r="G389" s="106"/>
      <c r="H389" s="106"/>
      <c r="I389" s="106"/>
      <c r="J389" s="106"/>
      <c r="K389" s="106"/>
      <c r="L389" s="106"/>
      <c r="M389" s="106"/>
      <c r="N389" s="106"/>
      <c r="O389" s="106"/>
      <c r="P389" s="106"/>
      <c r="Q389" s="106"/>
      <c r="R389" s="106"/>
      <c r="S389" s="106"/>
      <c r="T389" s="106"/>
      <c r="U389" s="106"/>
      <c r="V389" s="106"/>
      <c r="W389" s="106"/>
      <c r="X389" s="106"/>
      <c r="Y389" s="106"/>
      <c r="Z389" s="106"/>
    </row>
    <row r="390" spans="1:26" ht="13.5" customHeight="1" x14ac:dyDescent="0.2">
      <c r="A390" s="106"/>
      <c r="B390" s="106"/>
      <c r="C390" s="106"/>
      <c r="D390" s="106"/>
      <c r="E390" s="106"/>
      <c r="F390" s="106"/>
      <c r="G390" s="106"/>
      <c r="H390" s="106"/>
      <c r="I390" s="106"/>
      <c r="J390" s="106"/>
      <c r="K390" s="106"/>
      <c r="L390" s="106"/>
      <c r="M390" s="106"/>
      <c r="N390" s="106"/>
      <c r="O390" s="106"/>
      <c r="P390" s="106"/>
      <c r="Q390" s="106"/>
      <c r="R390" s="106"/>
      <c r="S390" s="106"/>
      <c r="T390" s="106"/>
      <c r="U390" s="106"/>
      <c r="V390" s="106"/>
      <c r="W390" s="106"/>
      <c r="X390" s="106"/>
      <c r="Y390" s="106"/>
      <c r="Z390" s="106"/>
    </row>
    <row r="391" spans="1:26" ht="13.5" customHeight="1" x14ac:dyDescent="0.2">
      <c r="A391" s="106"/>
      <c r="B391" s="106"/>
      <c r="C391" s="106"/>
      <c r="D391" s="106"/>
      <c r="E391" s="106"/>
      <c r="F391" s="106"/>
      <c r="G391" s="106"/>
      <c r="H391" s="106"/>
      <c r="I391" s="106"/>
      <c r="J391" s="106"/>
      <c r="K391" s="106"/>
      <c r="L391" s="106"/>
      <c r="M391" s="106"/>
      <c r="N391" s="106"/>
      <c r="O391" s="106"/>
      <c r="P391" s="106"/>
      <c r="Q391" s="106"/>
      <c r="R391" s="106"/>
      <c r="S391" s="106"/>
      <c r="T391" s="106"/>
      <c r="U391" s="106"/>
      <c r="V391" s="106"/>
      <c r="W391" s="106"/>
      <c r="X391" s="106"/>
      <c r="Y391" s="106"/>
      <c r="Z391" s="106"/>
    </row>
    <row r="392" spans="1:26" ht="13.5" customHeight="1" x14ac:dyDescent="0.2">
      <c r="A392" s="106"/>
      <c r="B392" s="106"/>
      <c r="C392" s="106"/>
      <c r="D392" s="106"/>
      <c r="E392" s="106"/>
      <c r="F392" s="106"/>
      <c r="G392" s="106"/>
      <c r="H392" s="106"/>
      <c r="I392" s="106"/>
      <c r="J392" s="106"/>
      <c r="K392" s="106"/>
      <c r="L392" s="106"/>
      <c r="M392" s="106"/>
      <c r="N392" s="106"/>
      <c r="O392" s="106"/>
      <c r="P392" s="106"/>
      <c r="Q392" s="106"/>
      <c r="R392" s="106"/>
      <c r="S392" s="106"/>
      <c r="T392" s="106"/>
      <c r="U392" s="106"/>
      <c r="V392" s="106"/>
      <c r="W392" s="106"/>
      <c r="X392" s="106"/>
      <c r="Y392" s="106"/>
      <c r="Z392" s="106"/>
    </row>
    <row r="393" spans="1:26" ht="13.5" customHeight="1" x14ac:dyDescent="0.2">
      <c r="A393" s="106"/>
      <c r="B393" s="106"/>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row>
    <row r="394" spans="1:26" ht="13.5" customHeight="1" x14ac:dyDescent="0.2">
      <c r="A394" s="106"/>
      <c r="B394" s="106"/>
      <c r="C394" s="106"/>
      <c r="D394" s="106"/>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row>
    <row r="395" spans="1:26" ht="13.5" customHeight="1" x14ac:dyDescent="0.2">
      <c r="A395" s="106"/>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c r="Z395" s="106"/>
    </row>
    <row r="396" spans="1:26" ht="13.5" customHeight="1" x14ac:dyDescent="0.2">
      <c r="A396" s="106"/>
      <c r="B396" s="106"/>
      <c r="C396" s="106"/>
      <c r="D396" s="106"/>
      <c r="E396" s="106"/>
      <c r="F396" s="106"/>
      <c r="G396" s="106"/>
      <c r="H396" s="106"/>
      <c r="I396" s="106"/>
      <c r="J396" s="106"/>
      <c r="K396" s="106"/>
      <c r="L396" s="106"/>
      <c r="M396" s="106"/>
      <c r="N396" s="106"/>
      <c r="O396" s="106"/>
      <c r="P396" s="106"/>
      <c r="Q396" s="106"/>
      <c r="R396" s="106"/>
      <c r="S396" s="106"/>
      <c r="T396" s="106"/>
      <c r="U396" s="106"/>
      <c r="V396" s="106"/>
      <c r="W396" s="106"/>
      <c r="X396" s="106"/>
      <c r="Y396" s="106"/>
      <c r="Z396" s="106"/>
    </row>
    <row r="397" spans="1:26" ht="13.5" customHeight="1" x14ac:dyDescent="0.2">
      <c r="A397" s="106"/>
      <c r="B397" s="106"/>
      <c r="C397" s="106"/>
      <c r="D397" s="106"/>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6"/>
    </row>
    <row r="398" spans="1:26" ht="13.5" customHeight="1" x14ac:dyDescent="0.2">
      <c r="A398" s="106"/>
      <c r="B398" s="106"/>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row>
    <row r="399" spans="1:26" ht="13.5" customHeight="1" x14ac:dyDescent="0.2">
      <c r="A399" s="106"/>
      <c r="B399" s="106"/>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row>
    <row r="400" spans="1:26" ht="13.5" customHeight="1" x14ac:dyDescent="0.2">
      <c r="A400" s="106"/>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c r="Z400" s="106"/>
    </row>
    <row r="401" spans="1:26" ht="13.5" customHeight="1" x14ac:dyDescent="0.2">
      <c r="A401" s="106"/>
      <c r="B401" s="106"/>
      <c r="C401" s="106"/>
      <c r="D401" s="106"/>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row>
    <row r="402" spans="1:26" ht="13.5" customHeight="1" x14ac:dyDescent="0.2">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c r="Z402" s="106"/>
    </row>
    <row r="403" spans="1:26" ht="13.5" customHeight="1" x14ac:dyDescent="0.2">
      <c r="A403" s="106"/>
      <c r="B403" s="106"/>
      <c r="C403" s="106"/>
      <c r="D403" s="106"/>
      <c r="E403" s="106"/>
      <c r="F403" s="106"/>
      <c r="G403" s="106"/>
      <c r="H403" s="106"/>
      <c r="I403" s="106"/>
      <c r="J403" s="106"/>
      <c r="K403" s="106"/>
      <c r="L403" s="106"/>
      <c r="M403" s="106"/>
      <c r="N403" s="106"/>
      <c r="O403" s="106"/>
      <c r="P403" s="106"/>
      <c r="Q403" s="106"/>
      <c r="R403" s="106"/>
      <c r="S403" s="106"/>
      <c r="T403" s="106"/>
      <c r="U403" s="106"/>
      <c r="V403" s="106"/>
      <c r="W403" s="106"/>
      <c r="X403" s="106"/>
      <c r="Y403" s="106"/>
      <c r="Z403" s="106"/>
    </row>
    <row r="404" spans="1:26" ht="13.5" customHeight="1" x14ac:dyDescent="0.2">
      <c r="A404" s="106"/>
      <c r="B404" s="106"/>
      <c r="C404" s="106"/>
      <c r="D404" s="106"/>
      <c r="E404" s="106"/>
      <c r="F404" s="106"/>
      <c r="G404" s="106"/>
      <c r="H404" s="106"/>
      <c r="I404" s="106"/>
      <c r="J404" s="106"/>
      <c r="K404" s="106"/>
      <c r="L404" s="106"/>
      <c r="M404" s="106"/>
      <c r="N404" s="106"/>
      <c r="O404" s="106"/>
      <c r="P404" s="106"/>
      <c r="Q404" s="106"/>
      <c r="R404" s="106"/>
      <c r="S404" s="106"/>
      <c r="T404" s="106"/>
      <c r="U404" s="106"/>
      <c r="V404" s="106"/>
      <c r="W404" s="106"/>
      <c r="X404" s="106"/>
      <c r="Y404" s="106"/>
      <c r="Z404" s="106"/>
    </row>
    <row r="405" spans="1:26" ht="13.5" customHeight="1" x14ac:dyDescent="0.2">
      <c r="A405" s="106"/>
      <c r="B405" s="106"/>
      <c r="C405" s="106"/>
      <c r="D405" s="106"/>
      <c r="E405" s="106"/>
      <c r="F405" s="106"/>
      <c r="G405" s="106"/>
      <c r="H405" s="106"/>
      <c r="I405" s="106"/>
      <c r="J405" s="106"/>
      <c r="K405" s="106"/>
      <c r="L405" s="106"/>
      <c r="M405" s="106"/>
      <c r="N405" s="106"/>
      <c r="O405" s="106"/>
      <c r="P405" s="106"/>
      <c r="Q405" s="106"/>
      <c r="R405" s="106"/>
      <c r="S405" s="106"/>
      <c r="T405" s="106"/>
      <c r="U405" s="106"/>
      <c r="V405" s="106"/>
      <c r="W405" s="106"/>
      <c r="X405" s="106"/>
      <c r="Y405" s="106"/>
      <c r="Z405" s="106"/>
    </row>
    <row r="406" spans="1:26" ht="13.5" customHeight="1" x14ac:dyDescent="0.2">
      <c r="A406" s="106"/>
      <c r="B406" s="106"/>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6"/>
      <c r="Z406" s="106"/>
    </row>
    <row r="407" spans="1:26" ht="13.5" customHeight="1" x14ac:dyDescent="0.2">
      <c r="A407" s="106"/>
      <c r="B407" s="106"/>
      <c r="C407" s="106"/>
      <c r="D407" s="106"/>
      <c r="E407" s="106"/>
      <c r="F407" s="106"/>
      <c r="G407" s="106"/>
      <c r="H407" s="106"/>
      <c r="I407" s="106"/>
      <c r="J407" s="106"/>
      <c r="K407" s="106"/>
      <c r="L407" s="106"/>
      <c r="M407" s="106"/>
      <c r="N407" s="106"/>
      <c r="O407" s="106"/>
      <c r="P407" s="106"/>
      <c r="Q407" s="106"/>
      <c r="R407" s="106"/>
      <c r="S407" s="106"/>
      <c r="T407" s="106"/>
      <c r="U407" s="106"/>
      <c r="V407" s="106"/>
      <c r="W407" s="106"/>
      <c r="X407" s="106"/>
      <c r="Y407" s="106"/>
      <c r="Z407" s="106"/>
    </row>
    <row r="408" spans="1:26" ht="13.5" customHeight="1" x14ac:dyDescent="0.2">
      <c r="A408" s="106"/>
      <c r="B408" s="106"/>
      <c r="C408" s="106"/>
      <c r="D408" s="106"/>
      <c r="E408" s="106"/>
      <c r="F408" s="106"/>
      <c r="G408" s="106"/>
      <c r="H408" s="106"/>
      <c r="I408" s="106"/>
      <c r="J408" s="106"/>
      <c r="K408" s="106"/>
      <c r="L408" s="106"/>
      <c r="M408" s="106"/>
      <c r="N408" s="106"/>
      <c r="O408" s="106"/>
      <c r="P408" s="106"/>
      <c r="Q408" s="106"/>
      <c r="R408" s="106"/>
      <c r="S408" s="106"/>
      <c r="T408" s="106"/>
      <c r="U408" s="106"/>
      <c r="V408" s="106"/>
      <c r="W408" s="106"/>
      <c r="X408" s="106"/>
      <c r="Y408" s="106"/>
      <c r="Z408" s="106"/>
    </row>
    <row r="409" spans="1:26" ht="13.5" customHeight="1" x14ac:dyDescent="0.2">
      <c r="A409" s="106"/>
      <c r="B409" s="106"/>
      <c r="C409" s="106"/>
      <c r="D409" s="106"/>
      <c r="E409" s="106"/>
      <c r="F409" s="106"/>
      <c r="G409" s="106"/>
      <c r="H409" s="106"/>
      <c r="I409" s="106"/>
      <c r="J409" s="106"/>
      <c r="K409" s="106"/>
      <c r="L409" s="106"/>
      <c r="M409" s="106"/>
      <c r="N409" s="106"/>
      <c r="O409" s="106"/>
      <c r="P409" s="106"/>
      <c r="Q409" s="106"/>
      <c r="R409" s="106"/>
      <c r="S409" s="106"/>
      <c r="T409" s="106"/>
      <c r="U409" s="106"/>
      <c r="V409" s="106"/>
      <c r="W409" s="106"/>
      <c r="X409" s="106"/>
      <c r="Y409" s="106"/>
      <c r="Z409" s="106"/>
    </row>
    <row r="410" spans="1:26" ht="13.5" customHeight="1" x14ac:dyDescent="0.2">
      <c r="A410" s="106"/>
      <c r="B410" s="106"/>
      <c r="C410" s="106"/>
      <c r="D410" s="106"/>
      <c r="E410" s="106"/>
      <c r="F410" s="106"/>
      <c r="G410" s="106"/>
      <c r="H410" s="106"/>
      <c r="I410" s="106"/>
      <c r="J410" s="106"/>
      <c r="K410" s="106"/>
      <c r="L410" s="106"/>
      <c r="M410" s="106"/>
      <c r="N410" s="106"/>
      <c r="O410" s="106"/>
      <c r="P410" s="106"/>
      <c r="Q410" s="106"/>
      <c r="R410" s="106"/>
      <c r="S410" s="106"/>
      <c r="T410" s="106"/>
      <c r="U410" s="106"/>
      <c r="V410" s="106"/>
      <c r="W410" s="106"/>
      <c r="X410" s="106"/>
      <c r="Y410" s="106"/>
      <c r="Z410" s="106"/>
    </row>
    <row r="411" spans="1:26" ht="13.5" customHeight="1" x14ac:dyDescent="0.2">
      <c r="A411" s="106"/>
      <c r="B411" s="106"/>
      <c r="C411" s="106"/>
      <c r="D411" s="106"/>
      <c r="E411" s="106"/>
      <c r="F411" s="106"/>
      <c r="G411" s="106"/>
      <c r="H411" s="106"/>
      <c r="I411" s="106"/>
      <c r="J411" s="106"/>
      <c r="K411" s="106"/>
      <c r="L411" s="106"/>
      <c r="M411" s="106"/>
      <c r="N411" s="106"/>
      <c r="O411" s="106"/>
      <c r="P411" s="106"/>
      <c r="Q411" s="106"/>
      <c r="R411" s="106"/>
      <c r="S411" s="106"/>
      <c r="T411" s="106"/>
      <c r="U411" s="106"/>
      <c r="V411" s="106"/>
      <c r="W411" s="106"/>
      <c r="X411" s="106"/>
      <c r="Y411" s="106"/>
      <c r="Z411" s="106"/>
    </row>
    <row r="412" spans="1:26" ht="13.5" customHeight="1" x14ac:dyDescent="0.2">
      <c r="A412" s="106"/>
      <c r="B412" s="106"/>
      <c r="C412" s="106"/>
      <c r="D412" s="106"/>
      <c r="E412" s="106"/>
      <c r="F412" s="106"/>
      <c r="G412" s="106"/>
      <c r="H412" s="106"/>
      <c r="I412" s="106"/>
      <c r="J412" s="106"/>
      <c r="K412" s="106"/>
      <c r="L412" s="106"/>
      <c r="M412" s="106"/>
      <c r="N412" s="106"/>
      <c r="O412" s="106"/>
      <c r="P412" s="106"/>
      <c r="Q412" s="106"/>
      <c r="R412" s="106"/>
      <c r="S412" s="106"/>
      <c r="T412" s="106"/>
      <c r="U412" s="106"/>
      <c r="V412" s="106"/>
      <c r="W412" s="106"/>
      <c r="X412" s="106"/>
      <c r="Y412" s="106"/>
      <c r="Z412" s="106"/>
    </row>
    <row r="413" spans="1:26" ht="13.5" customHeight="1" x14ac:dyDescent="0.2">
      <c r="A413" s="106"/>
      <c r="B413" s="106"/>
      <c r="C413" s="106"/>
      <c r="D413" s="106"/>
      <c r="E413" s="106"/>
      <c r="F413" s="106"/>
      <c r="G413" s="106"/>
      <c r="H413" s="106"/>
      <c r="I413" s="106"/>
      <c r="J413" s="106"/>
      <c r="K413" s="106"/>
      <c r="L413" s="106"/>
      <c r="M413" s="106"/>
      <c r="N413" s="106"/>
      <c r="O413" s="106"/>
      <c r="P413" s="106"/>
      <c r="Q413" s="106"/>
      <c r="R413" s="106"/>
      <c r="S413" s="106"/>
      <c r="T413" s="106"/>
      <c r="U413" s="106"/>
      <c r="V413" s="106"/>
      <c r="W413" s="106"/>
      <c r="X413" s="106"/>
      <c r="Y413" s="106"/>
      <c r="Z413" s="106"/>
    </row>
    <row r="414" spans="1:26" ht="13.5" customHeight="1" x14ac:dyDescent="0.2">
      <c r="A414" s="106"/>
      <c r="B414" s="106"/>
      <c r="C414" s="106"/>
      <c r="D414" s="106"/>
      <c r="E414" s="106"/>
      <c r="F414" s="106"/>
      <c r="G414" s="106"/>
      <c r="H414" s="106"/>
      <c r="I414" s="106"/>
      <c r="J414" s="106"/>
      <c r="K414" s="106"/>
      <c r="L414" s="106"/>
      <c r="M414" s="106"/>
      <c r="N414" s="106"/>
      <c r="O414" s="106"/>
      <c r="P414" s="106"/>
      <c r="Q414" s="106"/>
      <c r="R414" s="106"/>
      <c r="S414" s="106"/>
      <c r="T414" s="106"/>
      <c r="U414" s="106"/>
      <c r="V414" s="106"/>
      <c r="W414" s="106"/>
      <c r="X414" s="106"/>
      <c r="Y414" s="106"/>
      <c r="Z414" s="106"/>
    </row>
    <row r="415" spans="1:26" ht="13.5" customHeight="1" x14ac:dyDescent="0.2">
      <c r="A415" s="106"/>
      <c r="B415" s="106"/>
      <c r="C415" s="106"/>
      <c r="D415" s="106"/>
      <c r="E415" s="106"/>
      <c r="F415" s="106"/>
      <c r="G415" s="106"/>
      <c r="H415" s="106"/>
      <c r="I415" s="106"/>
      <c r="J415" s="106"/>
      <c r="K415" s="106"/>
      <c r="L415" s="106"/>
      <c r="M415" s="106"/>
      <c r="N415" s="106"/>
      <c r="O415" s="106"/>
      <c r="P415" s="106"/>
      <c r="Q415" s="106"/>
      <c r="R415" s="106"/>
      <c r="S415" s="106"/>
      <c r="T415" s="106"/>
      <c r="U415" s="106"/>
      <c r="V415" s="106"/>
      <c r="W415" s="106"/>
      <c r="X415" s="106"/>
      <c r="Y415" s="106"/>
      <c r="Z415" s="106"/>
    </row>
    <row r="416" spans="1:26" ht="13.5" customHeight="1" x14ac:dyDescent="0.2">
      <c r="A416" s="106"/>
      <c r="B416" s="106"/>
      <c r="C416" s="106"/>
      <c r="D416" s="106"/>
      <c r="E416" s="106"/>
      <c r="F416" s="106"/>
      <c r="G416" s="106"/>
      <c r="H416" s="106"/>
      <c r="I416" s="106"/>
      <c r="J416" s="106"/>
      <c r="K416" s="106"/>
      <c r="L416" s="106"/>
      <c r="M416" s="106"/>
      <c r="N416" s="106"/>
      <c r="O416" s="106"/>
      <c r="P416" s="106"/>
      <c r="Q416" s="106"/>
      <c r="R416" s="106"/>
      <c r="S416" s="106"/>
      <c r="T416" s="106"/>
      <c r="U416" s="106"/>
      <c r="V416" s="106"/>
      <c r="W416" s="106"/>
      <c r="X416" s="106"/>
      <c r="Y416" s="106"/>
      <c r="Z416" s="106"/>
    </row>
    <row r="417" spans="1:26" ht="13.5" customHeight="1" x14ac:dyDescent="0.2">
      <c r="A417" s="106"/>
      <c r="B417" s="106"/>
      <c r="C417" s="106"/>
      <c r="D417" s="106"/>
      <c r="E417" s="106"/>
      <c r="F417" s="106"/>
      <c r="G417" s="106"/>
      <c r="H417" s="106"/>
      <c r="I417" s="106"/>
      <c r="J417" s="106"/>
      <c r="K417" s="106"/>
      <c r="L417" s="106"/>
      <c r="M417" s="106"/>
      <c r="N417" s="106"/>
      <c r="O417" s="106"/>
      <c r="P417" s="106"/>
      <c r="Q417" s="106"/>
      <c r="R417" s="106"/>
      <c r="S417" s="106"/>
      <c r="T417" s="106"/>
      <c r="U417" s="106"/>
      <c r="V417" s="106"/>
      <c r="W417" s="106"/>
      <c r="X417" s="106"/>
      <c r="Y417" s="106"/>
      <c r="Z417" s="106"/>
    </row>
    <row r="418" spans="1:26" ht="13.5" customHeight="1" x14ac:dyDescent="0.2">
      <c r="A418" s="106"/>
      <c r="B418" s="106"/>
      <c r="C418" s="106"/>
      <c r="D418" s="106"/>
      <c r="E418" s="106"/>
      <c r="F418" s="106"/>
      <c r="G418" s="106"/>
      <c r="H418" s="106"/>
      <c r="I418" s="106"/>
      <c r="J418" s="106"/>
      <c r="K418" s="106"/>
      <c r="L418" s="106"/>
      <c r="M418" s="106"/>
      <c r="N418" s="106"/>
      <c r="O418" s="106"/>
      <c r="P418" s="106"/>
      <c r="Q418" s="106"/>
      <c r="R418" s="106"/>
      <c r="S418" s="106"/>
      <c r="T418" s="106"/>
      <c r="U418" s="106"/>
      <c r="V418" s="106"/>
      <c r="W418" s="106"/>
      <c r="X418" s="106"/>
      <c r="Y418" s="106"/>
      <c r="Z418" s="106"/>
    </row>
    <row r="419" spans="1:26" ht="13.5" customHeight="1" x14ac:dyDescent="0.2">
      <c r="A419" s="106"/>
      <c r="B419" s="106"/>
      <c r="C419" s="106"/>
      <c r="D419" s="106"/>
      <c r="E419" s="106"/>
      <c r="F419" s="106"/>
      <c r="G419" s="106"/>
      <c r="H419" s="106"/>
      <c r="I419" s="106"/>
      <c r="J419" s="106"/>
      <c r="K419" s="106"/>
      <c r="L419" s="106"/>
      <c r="M419" s="106"/>
      <c r="N419" s="106"/>
      <c r="O419" s="106"/>
      <c r="P419" s="106"/>
      <c r="Q419" s="106"/>
      <c r="R419" s="106"/>
      <c r="S419" s="106"/>
      <c r="T419" s="106"/>
      <c r="U419" s="106"/>
      <c r="V419" s="106"/>
      <c r="W419" s="106"/>
      <c r="X419" s="106"/>
      <c r="Y419" s="106"/>
      <c r="Z419" s="106"/>
    </row>
    <row r="420" spans="1:26" ht="13.5" customHeight="1" x14ac:dyDescent="0.2">
      <c r="A420" s="106"/>
      <c r="B420" s="106"/>
      <c r="C420" s="106"/>
      <c r="D420" s="106"/>
      <c r="E420" s="106"/>
      <c r="F420" s="106"/>
      <c r="G420" s="106"/>
      <c r="H420" s="106"/>
      <c r="I420" s="106"/>
      <c r="J420" s="106"/>
      <c r="K420" s="106"/>
      <c r="L420" s="106"/>
      <c r="M420" s="106"/>
      <c r="N420" s="106"/>
      <c r="O420" s="106"/>
      <c r="P420" s="106"/>
      <c r="Q420" s="106"/>
      <c r="R420" s="106"/>
      <c r="S420" s="106"/>
      <c r="T420" s="106"/>
      <c r="U420" s="106"/>
      <c r="V420" s="106"/>
      <c r="W420" s="106"/>
      <c r="X420" s="106"/>
      <c r="Y420" s="106"/>
      <c r="Z420" s="106"/>
    </row>
    <row r="421" spans="1:26" ht="13.5" customHeight="1" x14ac:dyDescent="0.2">
      <c r="A421" s="106"/>
      <c r="B421" s="106"/>
      <c r="C421" s="106"/>
      <c r="D421" s="106"/>
      <c r="E421" s="106"/>
      <c r="F421" s="106"/>
      <c r="G421" s="106"/>
      <c r="H421" s="106"/>
      <c r="I421" s="106"/>
      <c r="J421" s="106"/>
      <c r="K421" s="106"/>
      <c r="L421" s="106"/>
      <c r="M421" s="106"/>
      <c r="N421" s="106"/>
      <c r="O421" s="106"/>
      <c r="P421" s="106"/>
      <c r="Q421" s="106"/>
      <c r="R421" s="106"/>
      <c r="S421" s="106"/>
      <c r="T421" s="106"/>
      <c r="U421" s="106"/>
      <c r="V421" s="106"/>
      <c r="W421" s="106"/>
      <c r="X421" s="106"/>
      <c r="Y421" s="106"/>
      <c r="Z421" s="106"/>
    </row>
    <row r="422" spans="1:26" ht="13.5" customHeight="1" x14ac:dyDescent="0.2">
      <c r="A422" s="106"/>
      <c r="B422" s="106"/>
      <c r="C422" s="106"/>
      <c r="D422" s="106"/>
      <c r="E422" s="106"/>
      <c r="F422" s="106"/>
      <c r="G422" s="106"/>
      <c r="H422" s="106"/>
      <c r="I422" s="106"/>
      <c r="J422" s="106"/>
      <c r="K422" s="106"/>
      <c r="L422" s="106"/>
      <c r="M422" s="106"/>
      <c r="N422" s="106"/>
      <c r="O422" s="106"/>
      <c r="P422" s="106"/>
      <c r="Q422" s="106"/>
      <c r="R422" s="106"/>
      <c r="S422" s="106"/>
      <c r="T422" s="106"/>
      <c r="U422" s="106"/>
      <c r="V422" s="106"/>
      <c r="W422" s="106"/>
      <c r="X422" s="106"/>
      <c r="Y422" s="106"/>
      <c r="Z422" s="106"/>
    </row>
    <row r="423" spans="1:26" ht="13.5" customHeight="1" x14ac:dyDescent="0.2">
      <c r="A423" s="106"/>
      <c r="B423" s="106"/>
      <c r="C423" s="106"/>
      <c r="D423" s="106"/>
      <c r="E423" s="106"/>
      <c r="F423" s="106"/>
      <c r="G423" s="106"/>
      <c r="H423" s="106"/>
      <c r="I423" s="106"/>
      <c r="J423" s="106"/>
      <c r="K423" s="106"/>
      <c r="L423" s="106"/>
      <c r="M423" s="106"/>
      <c r="N423" s="106"/>
      <c r="O423" s="106"/>
      <c r="P423" s="106"/>
      <c r="Q423" s="106"/>
      <c r="R423" s="106"/>
      <c r="S423" s="106"/>
      <c r="T423" s="106"/>
      <c r="U423" s="106"/>
      <c r="V423" s="106"/>
      <c r="W423" s="106"/>
      <c r="X423" s="106"/>
      <c r="Y423" s="106"/>
      <c r="Z423" s="106"/>
    </row>
    <row r="424" spans="1:26" ht="13.5" customHeight="1" x14ac:dyDescent="0.2">
      <c r="A424" s="106"/>
      <c r="B424" s="106"/>
      <c r="C424" s="106"/>
      <c r="D424" s="106"/>
      <c r="E424" s="106"/>
      <c r="F424" s="106"/>
      <c r="G424" s="106"/>
      <c r="H424" s="106"/>
      <c r="I424" s="106"/>
      <c r="J424" s="106"/>
      <c r="K424" s="106"/>
      <c r="L424" s="106"/>
      <c r="M424" s="106"/>
      <c r="N424" s="106"/>
      <c r="O424" s="106"/>
      <c r="P424" s="106"/>
      <c r="Q424" s="106"/>
      <c r="R424" s="106"/>
      <c r="S424" s="106"/>
      <c r="T424" s="106"/>
      <c r="U424" s="106"/>
      <c r="V424" s="106"/>
      <c r="W424" s="106"/>
      <c r="X424" s="106"/>
      <c r="Y424" s="106"/>
      <c r="Z424" s="106"/>
    </row>
    <row r="425" spans="1:26" ht="13.5" customHeight="1" x14ac:dyDescent="0.2">
      <c r="A425" s="106"/>
      <c r="B425" s="106"/>
      <c r="C425" s="106"/>
      <c r="D425" s="106"/>
      <c r="E425" s="106"/>
      <c r="F425" s="106"/>
      <c r="G425" s="106"/>
      <c r="H425" s="106"/>
      <c r="I425" s="106"/>
      <c r="J425" s="106"/>
      <c r="K425" s="106"/>
      <c r="L425" s="106"/>
      <c r="M425" s="106"/>
      <c r="N425" s="106"/>
      <c r="O425" s="106"/>
      <c r="P425" s="106"/>
      <c r="Q425" s="106"/>
      <c r="R425" s="106"/>
      <c r="S425" s="106"/>
      <c r="T425" s="106"/>
      <c r="U425" s="106"/>
      <c r="V425" s="106"/>
      <c r="W425" s="106"/>
      <c r="X425" s="106"/>
      <c r="Y425" s="106"/>
      <c r="Z425" s="106"/>
    </row>
    <row r="426" spans="1:26" ht="13.5" customHeight="1" x14ac:dyDescent="0.2">
      <c r="A426" s="106"/>
      <c r="B426" s="106"/>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6"/>
      <c r="Z426" s="106"/>
    </row>
    <row r="427" spans="1:26" ht="13.5" customHeight="1" x14ac:dyDescent="0.2">
      <c r="A427" s="106"/>
      <c r="B427" s="106"/>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6"/>
      <c r="Z427" s="106"/>
    </row>
    <row r="428" spans="1:26" ht="13.5" customHeight="1" x14ac:dyDescent="0.2">
      <c r="A428" s="106"/>
      <c r="B428" s="106"/>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row>
    <row r="429" spans="1:26" ht="13.5" customHeight="1" x14ac:dyDescent="0.2">
      <c r="A429" s="106"/>
      <c r="B429" s="106"/>
      <c r="C429" s="106"/>
      <c r="D429" s="106"/>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row>
    <row r="430" spans="1:26" ht="13.5" customHeight="1" x14ac:dyDescent="0.2">
      <c r="A430" s="106"/>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row>
    <row r="431" spans="1:26" ht="13.5" customHeight="1" x14ac:dyDescent="0.2">
      <c r="A431" s="106"/>
      <c r="B431" s="106"/>
      <c r="C431" s="106"/>
      <c r="D431" s="106"/>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row>
    <row r="432" spans="1:26" ht="13.5" customHeight="1" x14ac:dyDescent="0.2">
      <c r="A432" s="106"/>
      <c r="B432" s="106"/>
      <c r="C432" s="106"/>
      <c r="D432" s="106"/>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row>
    <row r="433" spans="1:26" ht="13.5" customHeight="1" x14ac:dyDescent="0.2">
      <c r="A433" s="106"/>
      <c r="B433" s="106"/>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row>
    <row r="434" spans="1:26" ht="13.5" customHeight="1" x14ac:dyDescent="0.2">
      <c r="A434" s="106"/>
      <c r="B434" s="106"/>
      <c r="C434" s="106"/>
      <c r="D434" s="106"/>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row>
    <row r="435" spans="1:26" ht="13.5" customHeight="1" x14ac:dyDescent="0.2">
      <c r="A435" s="106"/>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row>
    <row r="436" spans="1:26" ht="13.5" customHeight="1" x14ac:dyDescent="0.2">
      <c r="A436" s="106"/>
      <c r="B436" s="106"/>
      <c r="C436" s="106"/>
      <c r="D436" s="106"/>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row>
    <row r="437" spans="1:26" ht="13.5" customHeight="1" x14ac:dyDescent="0.2">
      <c r="A437" s="106"/>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row>
    <row r="438" spans="1:26" ht="13.5" customHeight="1" x14ac:dyDescent="0.2">
      <c r="A438" s="106"/>
      <c r="B438" s="106"/>
      <c r="C438" s="106"/>
      <c r="D438" s="106"/>
      <c r="E438" s="106"/>
      <c r="F438" s="106"/>
      <c r="G438" s="106"/>
      <c r="H438" s="106"/>
      <c r="I438" s="106"/>
      <c r="J438" s="106"/>
      <c r="K438" s="106"/>
      <c r="L438" s="106"/>
      <c r="M438" s="106"/>
      <c r="N438" s="106"/>
      <c r="O438" s="106"/>
      <c r="P438" s="106"/>
      <c r="Q438" s="106"/>
      <c r="R438" s="106"/>
      <c r="S438" s="106"/>
      <c r="T438" s="106"/>
      <c r="U438" s="106"/>
      <c r="V438" s="106"/>
      <c r="W438" s="106"/>
      <c r="X438" s="106"/>
      <c r="Y438" s="106"/>
      <c r="Z438" s="106"/>
    </row>
    <row r="439" spans="1:26" ht="13.5" customHeight="1" x14ac:dyDescent="0.2">
      <c r="A439" s="106"/>
      <c r="B439" s="106"/>
      <c r="C439" s="106"/>
      <c r="D439" s="106"/>
      <c r="E439" s="106"/>
      <c r="F439" s="106"/>
      <c r="G439" s="106"/>
      <c r="H439" s="106"/>
      <c r="I439" s="106"/>
      <c r="J439" s="106"/>
      <c r="K439" s="106"/>
      <c r="L439" s="106"/>
      <c r="M439" s="106"/>
      <c r="N439" s="106"/>
      <c r="O439" s="106"/>
      <c r="P439" s="106"/>
      <c r="Q439" s="106"/>
      <c r="R439" s="106"/>
      <c r="S439" s="106"/>
      <c r="T439" s="106"/>
      <c r="U439" s="106"/>
      <c r="V439" s="106"/>
      <c r="W439" s="106"/>
      <c r="X439" s="106"/>
      <c r="Y439" s="106"/>
      <c r="Z439" s="106"/>
    </row>
    <row r="440" spans="1:26" ht="13.5" customHeight="1" x14ac:dyDescent="0.2">
      <c r="A440" s="106"/>
      <c r="B440" s="106"/>
      <c r="C440" s="106"/>
      <c r="D440" s="106"/>
      <c r="E440" s="106"/>
      <c r="F440" s="106"/>
      <c r="G440" s="106"/>
      <c r="H440" s="106"/>
      <c r="I440" s="106"/>
      <c r="J440" s="106"/>
      <c r="K440" s="106"/>
      <c r="L440" s="106"/>
      <c r="M440" s="106"/>
      <c r="N440" s="106"/>
      <c r="O440" s="106"/>
      <c r="P440" s="106"/>
      <c r="Q440" s="106"/>
      <c r="R440" s="106"/>
      <c r="S440" s="106"/>
      <c r="T440" s="106"/>
      <c r="U440" s="106"/>
      <c r="V440" s="106"/>
      <c r="W440" s="106"/>
      <c r="X440" s="106"/>
      <c r="Y440" s="106"/>
      <c r="Z440" s="106"/>
    </row>
    <row r="441" spans="1:26" ht="13.5" customHeight="1" x14ac:dyDescent="0.2">
      <c r="A441" s="106"/>
      <c r="B441" s="106"/>
      <c r="C441" s="106"/>
      <c r="D441" s="106"/>
      <c r="E441" s="106"/>
      <c r="F441" s="106"/>
      <c r="G441" s="106"/>
      <c r="H441" s="106"/>
      <c r="I441" s="106"/>
      <c r="J441" s="106"/>
      <c r="K441" s="106"/>
      <c r="L441" s="106"/>
      <c r="M441" s="106"/>
      <c r="N441" s="106"/>
      <c r="O441" s="106"/>
      <c r="P441" s="106"/>
      <c r="Q441" s="106"/>
      <c r="R441" s="106"/>
      <c r="S441" s="106"/>
      <c r="T441" s="106"/>
      <c r="U441" s="106"/>
      <c r="V441" s="106"/>
      <c r="W441" s="106"/>
      <c r="X441" s="106"/>
      <c r="Y441" s="106"/>
      <c r="Z441" s="106"/>
    </row>
    <row r="442" spans="1:26" ht="13.5" customHeight="1" x14ac:dyDescent="0.2">
      <c r="A442" s="106"/>
      <c r="B442" s="106"/>
      <c r="C442" s="106"/>
      <c r="D442" s="106"/>
      <c r="E442" s="106"/>
      <c r="F442" s="106"/>
      <c r="G442" s="106"/>
      <c r="H442" s="106"/>
      <c r="I442" s="106"/>
      <c r="J442" s="106"/>
      <c r="K442" s="106"/>
      <c r="L442" s="106"/>
      <c r="M442" s="106"/>
      <c r="N442" s="106"/>
      <c r="O442" s="106"/>
      <c r="P442" s="106"/>
      <c r="Q442" s="106"/>
      <c r="R442" s="106"/>
      <c r="S442" s="106"/>
      <c r="T442" s="106"/>
      <c r="U442" s="106"/>
      <c r="V442" s="106"/>
      <c r="W442" s="106"/>
      <c r="X442" s="106"/>
      <c r="Y442" s="106"/>
      <c r="Z442" s="106"/>
    </row>
    <row r="443" spans="1:26" ht="13.5" customHeight="1" x14ac:dyDescent="0.2">
      <c r="A443" s="106"/>
      <c r="B443" s="106"/>
      <c r="C443" s="106"/>
      <c r="D443" s="106"/>
      <c r="E443" s="106"/>
      <c r="F443" s="106"/>
      <c r="G443" s="106"/>
      <c r="H443" s="106"/>
      <c r="I443" s="106"/>
      <c r="J443" s="106"/>
      <c r="K443" s="106"/>
      <c r="L443" s="106"/>
      <c r="M443" s="106"/>
      <c r="N443" s="106"/>
      <c r="O443" s="106"/>
      <c r="P443" s="106"/>
      <c r="Q443" s="106"/>
      <c r="R443" s="106"/>
      <c r="S443" s="106"/>
      <c r="T443" s="106"/>
      <c r="U443" s="106"/>
      <c r="V443" s="106"/>
      <c r="W443" s="106"/>
      <c r="X443" s="106"/>
      <c r="Y443" s="106"/>
      <c r="Z443" s="106"/>
    </row>
    <row r="444" spans="1:26" ht="13.5" customHeight="1" x14ac:dyDescent="0.2">
      <c r="A444" s="106"/>
      <c r="B444" s="106"/>
      <c r="C444" s="106"/>
      <c r="D444" s="106"/>
      <c r="E444" s="106"/>
      <c r="F444" s="106"/>
      <c r="G444" s="106"/>
      <c r="H444" s="106"/>
      <c r="I444" s="106"/>
      <c r="J444" s="106"/>
      <c r="K444" s="106"/>
      <c r="L444" s="106"/>
      <c r="M444" s="106"/>
      <c r="N444" s="106"/>
      <c r="O444" s="106"/>
      <c r="P444" s="106"/>
      <c r="Q444" s="106"/>
      <c r="R444" s="106"/>
      <c r="S444" s="106"/>
      <c r="T444" s="106"/>
      <c r="U444" s="106"/>
      <c r="V444" s="106"/>
      <c r="W444" s="106"/>
      <c r="X444" s="106"/>
      <c r="Y444" s="106"/>
      <c r="Z444" s="106"/>
    </row>
    <row r="445" spans="1:26" ht="13.5" customHeight="1" x14ac:dyDescent="0.2">
      <c r="A445" s="106"/>
      <c r="B445" s="106"/>
      <c r="C445" s="106"/>
      <c r="D445" s="106"/>
      <c r="E445" s="106"/>
      <c r="F445" s="106"/>
      <c r="G445" s="106"/>
      <c r="H445" s="106"/>
      <c r="I445" s="106"/>
      <c r="J445" s="106"/>
      <c r="K445" s="106"/>
      <c r="L445" s="106"/>
      <c r="M445" s="106"/>
      <c r="N445" s="106"/>
      <c r="O445" s="106"/>
      <c r="P445" s="106"/>
      <c r="Q445" s="106"/>
      <c r="R445" s="106"/>
      <c r="S445" s="106"/>
      <c r="T445" s="106"/>
      <c r="U445" s="106"/>
      <c r="V445" s="106"/>
      <c r="W445" s="106"/>
      <c r="X445" s="106"/>
      <c r="Y445" s="106"/>
      <c r="Z445" s="106"/>
    </row>
    <row r="446" spans="1:26" ht="13.5" customHeight="1" x14ac:dyDescent="0.2">
      <c r="A446" s="106"/>
      <c r="B446" s="106"/>
      <c r="C446" s="106"/>
      <c r="D446" s="106"/>
      <c r="E446" s="106"/>
      <c r="F446" s="106"/>
      <c r="G446" s="106"/>
      <c r="H446" s="106"/>
      <c r="I446" s="106"/>
      <c r="J446" s="106"/>
      <c r="K446" s="106"/>
      <c r="L446" s="106"/>
      <c r="M446" s="106"/>
      <c r="N446" s="106"/>
      <c r="O446" s="106"/>
      <c r="P446" s="106"/>
      <c r="Q446" s="106"/>
      <c r="R446" s="106"/>
      <c r="S446" s="106"/>
      <c r="T446" s="106"/>
      <c r="U446" s="106"/>
      <c r="V446" s="106"/>
      <c r="W446" s="106"/>
      <c r="X446" s="106"/>
      <c r="Y446" s="106"/>
      <c r="Z446" s="106"/>
    </row>
    <row r="447" spans="1:26" ht="13.5" customHeight="1" x14ac:dyDescent="0.2">
      <c r="A447" s="106"/>
      <c r="B447" s="106"/>
      <c r="C447" s="106"/>
      <c r="D447" s="106"/>
      <c r="E447" s="106"/>
      <c r="F447" s="106"/>
      <c r="G447" s="106"/>
      <c r="H447" s="106"/>
      <c r="I447" s="106"/>
      <c r="J447" s="106"/>
      <c r="K447" s="106"/>
      <c r="L447" s="106"/>
      <c r="M447" s="106"/>
      <c r="N447" s="106"/>
      <c r="O447" s="106"/>
      <c r="P447" s="106"/>
      <c r="Q447" s="106"/>
      <c r="R447" s="106"/>
      <c r="S447" s="106"/>
      <c r="T447" s="106"/>
      <c r="U447" s="106"/>
      <c r="V447" s="106"/>
      <c r="W447" s="106"/>
      <c r="X447" s="106"/>
      <c r="Y447" s="106"/>
      <c r="Z447" s="106"/>
    </row>
    <row r="448" spans="1:26" ht="13.5" customHeight="1" x14ac:dyDescent="0.2">
      <c r="A448" s="106"/>
      <c r="B448" s="106"/>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c r="Z448" s="106"/>
    </row>
    <row r="449" spans="1:26" ht="13.5" customHeight="1" x14ac:dyDescent="0.2">
      <c r="A449" s="106"/>
      <c r="B449" s="106"/>
      <c r="C449" s="106"/>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6"/>
      <c r="Z449" s="106"/>
    </row>
    <row r="450" spans="1:26" ht="13.5" customHeight="1" x14ac:dyDescent="0.2">
      <c r="A450" s="106"/>
      <c r="B450" s="106"/>
      <c r="C450" s="106"/>
      <c r="D450" s="106"/>
      <c r="E450" s="106"/>
      <c r="F450" s="106"/>
      <c r="G450" s="106"/>
      <c r="H450" s="106"/>
      <c r="I450" s="106"/>
      <c r="J450" s="106"/>
      <c r="K450" s="106"/>
      <c r="L450" s="106"/>
      <c r="M450" s="106"/>
      <c r="N450" s="106"/>
      <c r="O450" s="106"/>
      <c r="P450" s="106"/>
      <c r="Q450" s="106"/>
      <c r="R450" s="106"/>
      <c r="S450" s="106"/>
      <c r="T450" s="106"/>
      <c r="U450" s="106"/>
      <c r="V450" s="106"/>
      <c r="W450" s="106"/>
      <c r="X450" s="106"/>
      <c r="Y450" s="106"/>
      <c r="Z450" s="106"/>
    </row>
    <row r="451" spans="1:26" ht="13.5" customHeight="1" x14ac:dyDescent="0.2">
      <c r="A451" s="106"/>
      <c r="B451" s="106"/>
      <c r="C451" s="106"/>
      <c r="D451" s="106"/>
      <c r="E451" s="106"/>
      <c r="F451" s="106"/>
      <c r="G451" s="106"/>
      <c r="H451" s="106"/>
      <c r="I451" s="106"/>
      <c r="J451" s="106"/>
      <c r="K451" s="106"/>
      <c r="L451" s="106"/>
      <c r="M451" s="106"/>
      <c r="N451" s="106"/>
      <c r="O451" s="106"/>
      <c r="P451" s="106"/>
      <c r="Q451" s="106"/>
      <c r="R451" s="106"/>
      <c r="S451" s="106"/>
      <c r="T451" s="106"/>
      <c r="U451" s="106"/>
      <c r="V451" s="106"/>
      <c r="W451" s="106"/>
      <c r="X451" s="106"/>
      <c r="Y451" s="106"/>
      <c r="Z451" s="106"/>
    </row>
    <row r="452" spans="1:26" ht="13.5" customHeight="1" x14ac:dyDescent="0.2">
      <c r="A452" s="106"/>
      <c r="B452" s="106"/>
      <c r="C452" s="106"/>
      <c r="D452" s="106"/>
      <c r="E452" s="106"/>
      <c r="F452" s="106"/>
      <c r="G452" s="106"/>
      <c r="H452" s="106"/>
      <c r="I452" s="106"/>
      <c r="J452" s="106"/>
      <c r="K452" s="106"/>
      <c r="L452" s="106"/>
      <c r="M452" s="106"/>
      <c r="N452" s="106"/>
      <c r="O452" s="106"/>
      <c r="P452" s="106"/>
      <c r="Q452" s="106"/>
      <c r="R452" s="106"/>
      <c r="S452" s="106"/>
      <c r="T452" s="106"/>
      <c r="U452" s="106"/>
      <c r="V452" s="106"/>
      <c r="W452" s="106"/>
      <c r="X452" s="106"/>
      <c r="Y452" s="106"/>
      <c r="Z452" s="106"/>
    </row>
    <row r="453" spans="1:26" ht="13.5" customHeight="1" x14ac:dyDescent="0.2">
      <c r="A453" s="106"/>
      <c r="B453" s="106"/>
      <c r="C453" s="106"/>
      <c r="D453" s="106"/>
      <c r="E453" s="106"/>
      <c r="F453" s="106"/>
      <c r="G453" s="106"/>
      <c r="H453" s="106"/>
      <c r="I453" s="106"/>
      <c r="J453" s="106"/>
      <c r="K453" s="106"/>
      <c r="L453" s="106"/>
      <c r="M453" s="106"/>
      <c r="N453" s="106"/>
      <c r="O453" s="106"/>
      <c r="P453" s="106"/>
      <c r="Q453" s="106"/>
      <c r="R453" s="106"/>
      <c r="S453" s="106"/>
      <c r="T453" s="106"/>
      <c r="U453" s="106"/>
      <c r="V453" s="106"/>
      <c r="W453" s="106"/>
      <c r="X453" s="106"/>
      <c r="Y453" s="106"/>
      <c r="Z453" s="106"/>
    </row>
    <row r="454" spans="1:26" ht="13.5" customHeight="1" x14ac:dyDescent="0.2">
      <c r="A454" s="106"/>
      <c r="B454" s="106"/>
      <c r="C454" s="106"/>
      <c r="D454" s="106"/>
      <c r="E454" s="106"/>
      <c r="F454" s="106"/>
      <c r="G454" s="106"/>
      <c r="H454" s="106"/>
      <c r="I454" s="106"/>
      <c r="J454" s="106"/>
      <c r="K454" s="106"/>
      <c r="L454" s="106"/>
      <c r="M454" s="106"/>
      <c r="N454" s="106"/>
      <c r="O454" s="106"/>
      <c r="P454" s="106"/>
      <c r="Q454" s="106"/>
      <c r="R454" s="106"/>
      <c r="S454" s="106"/>
      <c r="T454" s="106"/>
      <c r="U454" s="106"/>
      <c r="V454" s="106"/>
      <c r="W454" s="106"/>
      <c r="X454" s="106"/>
      <c r="Y454" s="106"/>
      <c r="Z454" s="106"/>
    </row>
    <row r="455" spans="1:26" ht="13.5" customHeight="1" x14ac:dyDescent="0.2">
      <c r="A455" s="106"/>
      <c r="B455" s="106"/>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6"/>
      <c r="Z455" s="106"/>
    </row>
    <row r="456" spans="1:26" ht="13.5" customHeight="1" x14ac:dyDescent="0.2">
      <c r="A456" s="106"/>
      <c r="B456" s="106"/>
      <c r="C456" s="106"/>
      <c r="D456" s="106"/>
      <c r="E456" s="106"/>
      <c r="F456" s="106"/>
      <c r="G456" s="106"/>
      <c r="H456" s="106"/>
      <c r="I456" s="106"/>
      <c r="J456" s="106"/>
      <c r="K456" s="106"/>
      <c r="L456" s="106"/>
      <c r="M456" s="106"/>
      <c r="N456" s="106"/>
      <c r="O456" s="106"/>
      <c r="P456" s="106"/>
      <c r="Q456" s="106"/>
      <c r="R456" s="106"/>
      <c r="S456" s="106"/>
      <c r="T456" s="106"/>
      <c r="U456" s="106"/>
      <c r="V456" s="106"/>
      <c r="W456" s="106"/>
      <c r="X456" s="106"/>
      <c r="Y456" s="106"/>
      <c r="Z456" s="106"/>
    </row>
    <row r="457" spans="1:26" ht="13.5" customHeight="1" x14ac:dyDescent="0.2">
      <c r="A457" s="106"/>
      <c r="B457" s="106"/>
      <c r="C457" s="106"/>
      <c r="D457" s="106"/>
      <c r="E457" s="106"/>
      <c r="F457" s="106"/>
      <c r="G457" s="106"/>
      <c r="H457" s="106"/>
      <c r="I457" s="106"/>
      <c r="J457" s="106"/>
      <c r="K457" s="106"/>
      <c r="L457" s="106"/>
      <c r="M457" s="106"/>
      <c r="N457" s="106"/>
      <c r="O457" s="106"/>
      <c r="P457" s="106"/>
      <c r="Q457" s="106"/>
      <c r="R457" s="106"/>
      <c r="S457" s="106"/>
      <c r="T457" s="106"/>
      <c r="U457" s="106"/>
      <c r="V457" s="106"/>
      <c r="W457" s="106"/>
      <c r="X457" s="106"/>
      <c r="Y457" s="106"/>
      <c r="Z457" s="106"/>
    </row>
    <row r="458" spans="1:26" ht="13.5" customHeight="1" x14ac:dyDescent="0.2">
      <c r="A458" s="106"/>
      <c r="B458" s="106"/>
      <c r="C458" s="106"/>
      <c r="D458" s="106"/>
      <c r="E458" s="106"/>
      <c r="F458" s="106"/>
      <c r="G458" s="106"/>
      <c r="H458" s="106"/>
      <c r="I458" s="106"/>
      <c r="J458" s="106"/>
      <c r="K458" s="106"/>
      <c r="L458" s="106"/>
      <c r="M458" s="106"/>
      <c r="N458" s="106"/>
      <c r="O458" s="106"/>
      <c r="P458" s="106"/>
      <c r="Q458" s="106"/>
      <c r="R458" s="106"/>
      <c r="S458" s="106"/>
      <c r="T458" s="106"/>
      <c r="U458" s="106"/>
      <c r="V458" s="106"/>
      <c r="W458" s="106"/>
      <c r="X458" s="106"/>
      <c r="Y458" s="106"/>
      <c r="Z458" s="106"/>
    </row>
    <row r="459" spans="1:26" ht="13.5" customHeight="1" x14ac:dyDescent="0.2">
      <c r="A459" s="106"/>
      <c r="B459" s="106"/>
      <c r="C459" s="106"/>
      <c r="D459" s="106"/>
      <c r="E459" s="106"/>
      <c r="F459" s="106"/>
      <c r="G459" s="106"/>
      <c r="H459" s="106"/>
      <c r="I459" s="106"/>
      <c r="J459" s="106"/>
      <c r="K459" s="106"/>
      <c r="L459" s="106"/>
      <c r="M459" s="106"/>
      <c r="N459" s="106"/>
      <c r="O459" s="106"/>
      <c r="P459" s="106"/>
      <c r="Q459" s="106"/>
      <c r="R459" s="106"/>
      <c r="S459" s="106"/>
      <c r="T459" s="106"/>
      <c r="U459" s="106"/>
      <c r="V459" s="106"/>
      <c r="W459" s="106"/>
      <c r="X459" s="106"/>
      <c r="Y459" s="106"/>
      <c r="Z459" s="106"/>
    </row>
    <row r="460" spans="1:26" ht="13.5" customHeight="1" x14ac:dyDescent="0.2">
      <c r="A460" s="106"/>
      <c r="B460" s="106"/>
      <c r="C460" s="106"/>
      <c r="D460" s="106"/>
      <c r="E460" s="106"/>
      <c r="F460" s="106"/>
      <c r="G460" s="106"/>
      <c r="H460" s="106"/>
      <c r="I460" s="106"/>
      <c r="J460" s="106"/>
      <c r="K460" s="106"/>
      <c r="L460" s="106"/>
      <c r="M460" s="106"/>
      <c r="N460" s="106"/>
      <c r="O460" s="106"/>
      <c r="P460" s="106"/>
      <c r="Q460" s="106"/>
      <c r="R460" s="106"/>
      <c r="S460" s="106"/>
      <c r="T460" s="106"/>
      <c r="U460" s="106"/>
      <c r="V460" s="106"/>
      <c r="W460" s="106"/>
      <c r="X460" s="106"/>
      <c r="Y460" s="106"/>
      <c r="Z460" s="106"/>
    </row>
    <row r="461" spans="1:26" ht="13.5" customHeight="1" x14ac:dyDescent="0.2">
      <c r="A461" s="106"/>
      <c r="B461" s="106"/>
      <c r="C461" s="106"/>
      <c r="D461" s="106"/>
      <c r="E461" s="106"/>
      <c r="F461" s="106"/>
      <c r="G461" s="106"/>
      <c r="H461" s="106"/>
      <c r="I461" s="106"/>
      <c r="J461" s="106"/>
      <c r="K461" s="106"/>
      <c r="L461" s="106"/>
      <c r="M461" s="106"/>
      <c r="N461" s="106"/>
      <c r="O461" s="106"/>
      <c r="P461" s="106"/>
      <c r="Q461" s="106"/>
      <c r="R461" s="106"/>
      <c r="S461" s="106"/>
      <c r="T461" s="106"/>
      <c r="U461" s="106"/>
      <c r="V461" s="106"/>
      <c r="W461" s="106"/>
      <c r="X461" s="106"/>
      <c r="Y461" s="106"/>
      <c r="Z461" s="106"/>
    </row>
    <row r="462" spans="1:26" ht="13.5" customHeight="1" x14ac:dyDescent="0.2">
      <c r="A462" s="106"/>
      <c r="B462" s="106"/>
      <c r="C462" s="106"/>
      <c r="D462" s="106"/>
      <c r="E462" s="106"/>
      <c r="F462" s="106"/>
      <c r="G462" s="106"/>
      <c r="H462" s="106"/>
      <c r="I462" s="106"/>
      <c r="J462" s="106"/>
      <c r="K462" s="106"/>
      <c r="L462" s="106"/>
      <c r="M462" s="106"/>
      <c r="N462" s="106"/>
      <c r="O462" s="106"/>
      <c r="P462" s="106"/>
      <c r="Q462" s="106"/>
      <c r="R462" s="106"/>
      <c r="S462" s="106"/>
      <c r="T462" s="106"/>
      <c r="U462" s="106"/>
      <c r="V462" s="106"/>
      <c r="W462" s="106"/>
      <c r="X462" s="106"/>
      <c r="Y462" s="106"/>
      <c r="Z462" s="106"/>
    </row>
    <row r="463" spans="1:26" ht="13.5" customHeight="1" x14ac:dyDescent="0.2">
      <c r="A463" s="106"/>
      <c r="B463" s="106"/>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6"/>
      <c r="Z463" s="106"/>
    </row>
    <row r="464" spans="1:26" ht="13.5" customHeight="1" x14ac:dyDescent="0.2">
      <c r="A464" s="106"/>
      <c r="B464" s="106"/>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6"/>
      <c r="Z464" s="106"/>
    </row>
    <row r="465" spans="1:26" ht="13.5" customHeight="1" x14ac:dyDescent="0.2">
      <c r="A465" s="106"/>
      <c r="B465" s="106"/>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6"/>
      <c r="Z465" s="106"/>
    </row>
    <row r="466" spans="1:26" ht="13.5" customHeight="1" x14ac:dyDescent="0.2">
      <c r="A466" s="106"/>
      <c r="B466" s="106"/>
      <c r="C466" s="106"/>
      <c r="D466" s="106"/>
      <c r="E466" s="106"/>
      <c r="F466" s="106"/>
      <c r="G466" s="106"/>
      <c r="H466" s="106"/>
      <c r="I466" s="106"/>
      <c r="J466" s="106"/>
      <c r="K466" s="106"/>
      <c r="L466" s="106"/>
      <c r="M466" s="106"/>
      <c r="N466" s="106"/>
      <c r="O466" s="106"/>
      <c r="P466" s="106"/>
      <c r="Q466" s="106"/>
      <c r="R466" s="106"/>
      <c r="S466" s="106"/>
      <c r="T466" s="106"/>
      <c r="U466" s="106"/>
      <c r="V466" s="106"/>
      <c r="W466" s="106"/>
      <c r="X466" s="106"/>
      <c r="Y466" s="106"/>
      <c r="Z466" s="106"/>
    </row>
    <row r="467" spans="1:26" ht="13.5" customHeight="1" x14ac:dyDescent="0.2">
      <c r="A467" s="106"/>
      <c r="B467" s="106"/>
      <c r="C467" s="106"/>
      <c r="D467" s="106"/>
      <c r="E467" s="106"/>
      <c r="F467" s="106"/>
      <c r="G467" s="106"/>
      <c r="H467" s="106"/>
      <c r="I467" s="106"/>
      <c r="J467" s="106"/>
      <c r="K467" s="106"/>
      <c r="L467" s="106"/>
      <c r="M467" s="106"/>
      <c r="N467" s="106"/>
      <c r="O467" s="106"/>
      <c r="P467" s="106"/>
      <c r="Q467" s="106"/>
      <c r="R467" s="106"/>
      <c r="S467" s="106"/>
      <c r="T467" s="106"/>
      <c r="U467" s="106"/>
      <c r="V467" s="106"/>
      <c r="W467" s="106"/>
      <c r="X467" s="106"/>
      <c r="Y467" s="106"/>
      <c r="Z467" s="106"/>
    </row>
    <row r="468" spans="1:26" ht="13.5" customHeight="1" x14ac:dyDescent="0.2">
      <c r="A468" s="106"/>
      <c r="B468" s="106"/>
      <c r="C468" s="106"/>
      <c r="D468" s="106"/>
      <c r="E468" s="106"/>
      <c r="F468" s="106"/>
      <c r="G468" s="106"/>
      <c r="H468" s="106"/>
      <c r="I468" s="106"/>
      <c r="J468" s="106"/>
      <c r="K468" s="106"/>
      <c r="L468" s="106"/>
      <c r="M468" s="106"/>
      <c r="N468" s="106"/>
      <c r="O468" s="106"/>
      <c r="P468" s="106"/>
      <c r="Q468" s="106"/>
      <c r="R468" s="106"/>
      <c r="S468" s="106"/>
      <c r="T468" s="106"/>
      <c r="U468" s="106"/>
      <c r="V468" s="106"/>
      <c r="W468" s="106"/>
      <c r="X468" s="106"/>
      <c r="Y468" s="106"/>
      <c r="Z468" s="106"/>
    </row>
    <row r="469" spans="1:26" ht="13.5" customHeight="1" x14ac:dyDescent="0.2">
      <c r="A469" s="106"/>
      <c r="B469" s="106"/>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106"/>
      <c r="Y469" s="106"/>
      <c r="Z469" s="106"/>
    </row>
    <row r="470" spans="1:26" ht="13.5" customHeight="1" x14ac:dyDescent="0.2">
      <c r="A470" s="106"/>
      <c r="B470" s="106"/>
      <c r="C470" s="106"/>
      <c r="D470" s="106"/>
      <c r="E470" s="106"/>
      <c r="F470" s="106"/>
      <c r="G470" s="106"/>
      <c r="H470" s="106"/>
      <c r="I470" s="106"/>
      <c r="J470" s="106"/>
      <c r="K470" s="106"/>
      <c r="L470" s="106"/>
      <c r="M470" s="106"/>
      <c r="N470" s="106"/>
      <c r="O470" s="106"/>
      <c r="P470" s="106"/>
      <c r="Q470" s="106"/>
      <c r="R470" s="106"/>
      <c r="S470" s="106"/>
      <c r="T470" s="106"/>
      <c r="U470" s="106"/>
      <c r="V470" s="106"/>
      <c r="W470" s="106"/>
      <c r="X470" s="106"/>
      <c r="Y470" s="106"/>
      <c r="Z470" s="106"/>
    </row>
    <row r="471" spans="1:26" ht="13.5" customHeight="1" x14ac:dyDescent="0.2">
      <c r="A471" s="106"/>
      <c r="B471" s="106"/>
      <c r="C471" s="106"/>
      <c r="D471" s="106"/>
      <c r="E471" s="106"/>
      <c r="F471" s="106"/>
      <c r="G471" s="106"/>
      <c r="H471" s="106"/>
      <c r="I471" s="106"/>
      <c r="J471" s="106"/>
      <c r="K471" s="106"/>
      <c r="L471" s="106"/>
      <c r="M471" s="106"/>
      <c r="N471" s="106"/>
      <c r="O471" s="106"/>
      <c r="P471" s="106"/>
      <c r="Q471" s="106"/>
      <c r="R471" s="106"/>
      <c r="S471" s="106"/>
      <c r="T471" s="106"/>
      <c r="U471" s="106"/>
      <c r="V471" s="106"/>
      <c r="W471" s="106"/>
      <c r="X471" s="106"/>
      <c r="Y471" s="106"/>
      <c r="Z471" s="106"/>
    </row>
    <row r="472" spans="1:26" ht="13.5" customHeight="1" x14ac:dyDescent="0.2">
      <c r="A472" s="106"/>
      <c r="B472" s="106"/>
      <c r="C472" s="106"/>
      <c r="D472" s="106"/>
      <c r="E472" s="106"/>
      <c r="F472" s="106"/>
      <c r="G472" s="106"/>
      <c r="H472" s="106"/>
      <c r="I472" s="106"/>
      <c r="J472" s="106"/>
      <c r="K472" s="106"/>
      <c r="L472" s="106"/>
      <c r="M472" s="106"/>
      <c r="N472" s="106"/>
      <c r="O472" s="106"/>
      <c r="P472" s="106"/>
      <c r="Q472" s="106"/>
      <c r="R472" s="106"/>
      <c r="S472" s="106"/>
      <c r="T472" s="106"/>
      <c r="U472" s="106"/>
      <c r="V472" s="106"/>
      <c r="W472" s="106"/>
      <c r="X472" s="106"/>
      <c r="Y472" s="106"/>
      <c r="Z472" s="106"/>
    </row>
    <row r="473" spans="1:26" ht="13.5" customHeight="1" x14ac:dyDescent="0.2">
      <c r="A473" s="106"/>
      <c r="B473" s="106"/>
      <c r="C473" s="106"/>
      <c r="D473" s="106"/>
      <c r="E473" s="106"/>
      <c r="F473" s="106"/>
      <c r="G473" s="106"/>
      <c r="H473" s="106"/>
      <c r="I473" s="106"/>
      <c r="J473" s="106"/>
      <c r="K473" s="106"/>
      <c r="L473" s="106"/>
      <c r="M473" s="106"/>
      <c r="N473" s="106"/>
      <c r="O473" s="106"/>
      <c r="P473" s="106"/>
      <c r="Q473" s="106"/>
      <c r="R473" s="106"/>
      <c r="S473" s="106"/>
      <c r="T473" s="106"/>
      <c r="U473" s="106"/>
      <c r="V473" s="106"/>
      <c r="W473" s="106"/>
      <c r="X473" s="106"/>
      <c r="Y473" s="106"/>
      <c r="Z473" s="106"/>
    </row>
    <row r="474" spans="1:26" ht="13.5" customHeight="1" x14ac:dyDescent="0.2">
      <c r="A474" s="106"/>
      <c r="B474" s="106"/>
      <c r="C474" s="106"/>
      <c r="D474" s="106"/>
      <c r="E474" s="106"/>
      <c r="F474" s="106"/>
      <c r="G474" s="106"/>
      <c r="H474" s="106"/>
      <c r="I474" s="106"/>
      <c r="J474" s="106"/>
      <c r="K474" s="106"/>
      <c r="L474" s="106"/>
      <c r="M474" s="106"/>
      <c r="N474" s="106"/>
      <c r="O474" s="106"/>
      <c r="P474" s="106"/>
      <c r="Q474" s="106"/>
      <c r="R474" s="106"/>
      <c r="S474" s="106"/>
      <c r="T474" s="106"/>
      <c r="U474" s="106"/>
      <c r="V474" s="106"/>
      <c r="W474" s="106"/>
      <c r="X474" s="106"/>
      <c r="Y474" s="106"/>
      <c r="Z474" s="106"/>
    </row>
    <row r="475" spans="1:26" ht="13.5" customHeight="1" x14ac:dyDescent="0.2">
      <c r="A475" s="106"/>
      <c r="B475" s="106"/>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106"/>
      <c r="Y475" s="106"/>
      <c r="Z475" s="106"/>
    </row>
    <row r="476" spans="1:26" ht="13.5" customHeight="1" x14ac:dyDescent="0.2">
      <c r="A476" s="106"/>
      <c r="B476" s="106"/>
      <c r="C476" s="106"/>
      <c r="D476" s="106"/>
      <c r="E476" s="106"/>
      <c r="F476" s="106"/>
      <c r="G476" s="106"/>
      <c r="H476" s="106"/>
      <c r="I476" s="106"/>
      <c r="J476" s="106"/>
      <c r="K476" s="106"/>
      <c r="L476" s="106"/>
      <c r="M476" s="106"/>
      <c r="N476" s="106"/>
      <c r="O476" s="106"/>
      <c r="P476" s="106"/>
      <c r="Q476" s="106"/>
      <c r="R476" s="106"/>
      <c r="S476" s="106"/>
      <c r="T476" s="106"/>
      <c r="U476" s="106"/>
      <c r="V476" s="106"/>
      <c r="W476" s="106"/>
      <c r="X476" s="106"/>
      <c r="Y476" s="106"/>
      <c r="Z476" s="106"/>
    </row>
    <row r="477" spans="1:26" ht="13.5" customHeight="1" x14ac:dyDescent="0.2">
      <c r="A477" s="106"/>
      <c r="B477" s="106"/>
      <c r="C477" s="106"/>
      <c r="D477" s="106"/>
      <c r="E477" s="106"/>
      <c r="F477" s="106"/>
      <c r="G477" s="106"/>
      <c r="H477" s="106"/>
      <c r="I477" s="106"/>
      <c r="J477" s="106"/>
      <c r="K477" s="106"/>
      <c r="L477" s="106"/>
      <c r="M477" s="106"/>
      <c r="N477" s="106"/>
      <c r="O477" s="106"/>
      <c r="P477" s="106"/>
      <c r="Q477" s="106"/>
      <c r="R477" s="106"/>
      <c r="S477" s="106"/>
      <c r="T477" s="106"/>
      <c r="U477" s="106"/>
      <c r="V477" s="106"/>
      <c r="W477" s="106"/>
      <c r="X477" s="106"/>
      <c r="Y477" s="106"/>
      <c r="Z477" s="106"/>
    </row>
    <row r="478" spans="1:26" ht="13.5" customHeight="1" x14ac:dyDescent="0.2">
      <c r="A478" s="106"/>
      <c r="B478" s="106"/>
      <c r="C478" s="106"/>
      <c r="D478" s="106"/>
      <c r="E478" s="106"/>
      <c r="F478" s="106"/>
      <c r="G478" s="106"/>
      <c r="H478" s="106"/>
      <c r="I478" s="106"/>
      <c r="J478" s="106"/>
      <c r="K478" s="106"/>
      <c r="L478" s="106"/>
      <c r="M478" s="106"/>
      <c r="N478" s="106"/>
      <c r="O478" s="106"/>
      <c r="P478" s="106"/>
      <c r="Q478" s="106"/>
      <c r="R478" s="106"/>
      <c r="S478" s="106"/>
      <c r="T478" s="106"/>
      <c r="U478" s="106"/>
      <c r="V478" s="106"/>
      <c r="W478" s="106"/>
      <c r="X478" s="106"/>
      <c r="Y478" s="106"/>
      <c r="Z478" s="106"/>
    </row>
    <row r="479" spans="1:26" ht="13.5" customHeight="1" x14ac:dyDescent="0.2">
      <c r="A479" s="106"/>
      <c r="B479" s="106"/>
      <c r="C479" s="106"/>
      <c r="D479" s="106"/>
      <c r="E479" s="106"/>
      <c r="F479" s="106"/>
      <c r="G479" s="106"/>
      <c r="H479" s="106"/>
      <c r="I479" s="106"/>
      <c r="J479" s="106"/>
      <c r="K479" s="106"/>
      <c r="L479" s="106"/>
      <c r="M479" s="106"/>
      <c r="N479" s="106"/>
      <c r="O479" s="106"/>
      <c r="P479" s="106"/>
      <c r="Q479" s="106"/>
      <c r="R479" s="106"/>
      <c r="S479" s="106"/>
      <c r="T479" s="106"/>
      <c r="U479" s="106"/>
      <c r="V479" s="106"/>
      <c r="W479" s="106"/>
      <c r="X479" s="106"/>
      <c r="Y479" s="106"/>
      <c r="Z479" s="106"/>
    </row>
    <row r="480" spans="1:26" ht="13.5" customHeight="1" x14ac:dyDescent="0.2">
      <c r="A480" s="106"/>
      <c r="B480" s="106"/>
      <c r="C480" s="106"/>
      <c r="D480" s="106"/>
      <c r="E480" s="106"/>
      <c r="F480" s="106"/>
      <c r="G480" s="106"/>
      <c r="H480" s="106"/>
      <c r="I480" s="106"/>
      <c r="J480" s="106"/>
      <c r="K480" s="106"/>
      <c r="L480" s="106"/>
      <c r="M480" s="106"/>
      <c r="N480" s="106"/>
      <c r="O480" s="106"/>
      <c r="P480" s="106"/>
      <c r="Q480" s="106"/>
      <c r="R480" s="106"/>
      <c r="S480" s="106"/>
      <c r="T480" s="106"/>
      <c r="U480" s="106"/>
      <c r="V480" s="106"/>
      <c r="W480" s="106"/>
      <c r="X480" s="106"/>
      <c r="Y480" s="106"/>
      <c r="Z480" s="106"/>
    </row>
    <row r="481" spans="1:26" ht="13.5" customHeight="1" x14ac:dyDescent="0.2">
      <c r="A481" s="106"/>
      <c r="B481" s="106"/>
      <c r="C481" s="106"/>
      <c r="D481" s="106"/>
      <c r="E481" s="106"/>
      <c r="F481" s="106"/>
      <c r="G481" s="106"/>
      <c r="H481" s="106"/>
      <c r="I481" s="106"/>
      <c r="J481" s="106"/>
      <c r="K481" s="106"/>
      <c r="L481" s="106"/>
      <c r="M481" s="106"/>
      <c r="N481" s="106"/>
      <c r="O481" s="106"/>
      <c r="P481" s="106"/>
      <c r="Q481" s="106"/>
      <c r="R481" s="106"/>
      <c r="S481" s="106"/>
      <c r="T481" s="106"/>
      <c r="U481" s="106"/>
      <c r="V481" s="106"/>
      <c r="W481" s="106"/>
      <c r="X481" s="106"/>
      <c r="Y481" s="106"/>
      <c r="Z481" s="106"/>
    </row>
    <row r="482" spans="1:26" ht="13.5" customHeight="1" x14ac:dyDescent="0.2">
      <c r="A482" s="106"/>
      <c r="B482" s="106"/>
      <c r="C482" s="106"/>
      <c r="D482" s="106"/>
      <c r="E482" s="106"/>
      <c r="F482" s="106"/>
      <c r="G482" s="106"/>
      <c r="H482" s="106"/>
      <c r="I482" s="106"/>
      <c r="J482" s="106"/>
      <c r="K482" s="106"/>
      <c r="L482" s="106"/>
      <c r="M482" s="106"/>
      <c r="N482" s="106"/>
      <c r="O482" s="106"/>
      <c r="P482" s="106"/>
      <c r="Q482" s="106"/>
      <c r="R482" s="106"/>
      <c r="S482" s="106"/>
      <c r="T482" s="106"/>
      <c r="U482" s="106"/>
      <c r="V482" s="106"/>
      <c r="W482" s="106"/>
      <c r="X482" s="106"/>
      <c r="Y482" s="106"/>
      <c r="Z482" s="106"/>
    </row>
    <row r="483" spans="1:26" ht="13.5" customHeight="1" x14ac:dyDescent="0.2">
      <c r="A483" s="106"/>
      <c r="B483" s="106"/>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6"/>
      <c r="Z483" s="106"/>
    </row>
    <row r="484" spans="1:26" ht="13.5" customHeight="1" x14ac:dyDescent="0.2">
      <c r="A484" s="106"/>
      <c r="B484" s="106"/>
      <c r="C484" s="106"/>
      <c r="D484" s="106"/>
      <c r="E484" s="106"/>
      <c r="F484" s="106"/>
      <c r="G484" s="106"/>
      <c r="H484" s="106"/>
      <c r="I484" s="106"/>
      <c r="J484" s="106"/>
      <c r="K484" s="106"/>
      <c r="L484" s="106"/>
      <c r="M484" s="106"/>
      <c r="N484" s="106"/>
      <c r="O484" s="106"/>
      <c r="P484" s="106"/>
      <c r="Q484" s="106"/>
      <c r="R484" s="106"/>
      <c r="S484" s="106"/>
      <c r="T484" s="106"/>
      <c r="U484" s="106"/>
      <c r="V484" s="106"/>
      <c r="W484" s="106"/>
      <c r="X484" s="106"/>
      <c r="Y484" s="106"/>
      <c r="Z484" s="106"/>
    </row>
    <row r="485" spans="1:26" ht="13.5" customHeight="1" x14ac:dyDescent="0.2">
      <c r="A485" s="106"/>
      <c r="B485" s="106"/>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106"/>
      <c r="Y485" s="106"/>
      <c r="Z485" s="106"/>
    </row>
    <row r="486" spans="1:26" ht="13.5" customHeight="1" x14ac:dyDescent="0.2">
      <c r="A486" s="106"/>
      <c r="B486" s="106"/>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106"/>
      <c r="Y486" s="106"/>
      <c r="Z486" s="106"/>
    </row>
    <row r="487" spans="1:26" ht="13.5" customHeight="1" x14ac:dyDescent="0.2">
      <c r="A487" s="106"/>
      <c r="B487" s="106"/>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106"/>
      <c r="Y487" s="106"/>
      <c r="Z487" s="106"/>
    </row>
    <row r="488" spans="1:26" ht="13.5" customHeight="1" x14ac:dyDescent="0.2">
      <c r="A488" s="106"/>
      <c r="B488" s="106"/>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106"/>
      <c r="Y488" s="106"/>
      <c r="Z488" s="106"/>
    </row>
    <row r="489" spans="1:26" ht="13.5" customHeight="1" x14ac:dyDescent="0.2">
      <c r="A489" s="106"/>
      <c r="B489" s="106"/>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106"/>
      <c r="Y489" s="106"/>
      <c r="Z489" s="106"/>
    </row>
    <row r="490" spans="1:26" ht="13.5" customHeight="1" x14ac:dyDescent="0.2">
      <c r="A490" s="106"/>
      <c r="B490" s="106"/>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106"/>
      <c r="Y490" s="106"/>
      <c r="Z490" s="106"/>
    </row>
    <row r="491" spans="1:26" ht="13.5" customHeight="1" x14ac:dyDescent="0.2">
      <c r="A491" s="106"/>
      <c r="B491" s="106"/>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106"/>
      <c r="Y491" s="106"/>
      <c r="Z491" s="106"/>
    </row>
    <row r="492" spans="1:26" ht="13.5" customHeight="1" x14ac:dyDescent="0.2">
      <c r="A492" s="106"/>
      <c r="B492" s="106"/>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106"/>
      <c r="Y492" s="106"/>
      <c r="Z492" s="106"/>
    </row>
    <row r="493" spans="1:26" ht="13.5" customHeight="1" x14ac:dyDescent="0.2">
      <c r="A493" s="106"/>
      <c r="B493" s="106"/>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6"/>
      <c r="Z493" s="106"/>
    </row>
    <row r="494" spans="1:26" ht="13.5" customHeight="1" x14ac:dyDescent="0.2">
      <c r="A494" s="106"/>
      <c r="B494" s="106"/>
      <c r="C494" s="106"/>
      <c r="D494" s="106"/>
      <c r="E494" s="106"/>
      <c r="F494" s="106"/>
      <c r="G494" s="106"/>
      <c r="H494" s="106"/>
      <c r="I494" s="106"/>
      <c r="J494" s="106"/>
      <c r="K494" s="106"/>
      <c r="L494" s="106"/>
      <c r="M494" s="106"/>
      <c r="N494" s="106"/>
      <c r="O494" s="106"/>
      <c r="P494" s="106"/>
      <c r="Q494" s="106"/>
      <c r="R494" s="106"/>
      <c r="S494" s="106"/>
      <c r="T494" s="106"/>
      <c r="U494" s="106"/>
      <c r="V494" s="106"/>
      <c r="W494" s="106"/>
      <c r="X494" s="106"/>
      <c r="Y494" s="106"/>
      <c r="Z494" s="106"/>
    </row>
    <row r="495" spans="1:26" ht="13.5" customHeight="1" x14ac:dyDescent="0.2">
      <c r="A495" s="106"/>
      <c r="B495" s="106"/>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6"/>
      <c r="Z495" s="106"/>
    </row>
    <row r="496" spans="1:26" ht="13.5" customHeight="1" x14ac:dyDescent="0.2">
      <c r="A496" s="106"/>
      <c r="B496" s="106"/>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106"/>
      <c r="Y496" s="106"/>
      <c r="Z496" s="106"/>
    </row>
    <row r="497" spans="1:26" ht="13.5" customHeight="1" x14ac:dyDescent="0.2">
      <c r="A497" s="106"/>
      <c r="B497" s="106"/>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106"/>
      <c r="Y497" s="106"/>
      <c r="Z497" s="106"/>
    </row>
    <row r="498" spans="1:26" ht="13.5" customHeight="1" x14ac:dyDescent="0.2">
      <c r="A498" s="106"/>
      <c r="B498" s="106"/>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106"/>
      <c r="Y498" s="106"/>
      <c r="Z498" s="106"/>
    </row>
    <row r="499" spans="1:26" ht="13.5" customHeight="1" x14ac:dyDescent="0.2">
      <c r="A499" s="106"/>
      <c r="B499" s="106"/>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106"/>
      <c r="Y499" s="106"/>
      <c r="Z499" s="106"/>
    </row>
    <row r="500" spans="1:26" ht="13.5" customHeight="1" x14ac:dyDescent="0.2">
      <c r="A500" s="106"/>
      <c r="B500" s="106"/>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6"/>
      <c r="Z500" s="106"/>
    </row>
    <row r="501" spans="1:26" ht="13.5" customHeight="1" x14ac:dyDescent="0.2">
      <c r="A501" s="106"/>
      <c r="B501" s="106"/>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106"/>
      <c r="Y501" s="106"/>
      <c r="Z501" s="106"/>
    </row>
    <row r="502" spans="1:26" ht="13.5" customHeight="1" x14ac:dyDescent="0.2">
      <c r="A502" s="106"/>
      <c r="B502" s="106"/>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6"/>
      <c r="Z502" s="106"/>
    </row>
    <row r="503" spans="1:26" ht="13.5" customHeight="1" x14ac:dyDescent="0.2">
      <c r="A503" s="106"/>
      <c r="B503" s="106"/>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row>
    <row r="504" spans="1:26" ht="13.5" customHeight="1" x14ac:dyDescent="0.2">
      <c r="A504" s="106"/>
      <c r="B504" s="106"/>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row>
    <row r="505" spans="1:26" ht="13.5" customHeight="1" x14ac:dyDescent="0.2">
      <c r="A505" s="106"/>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row>
    <row r="506" spans="1:26" ht="13.5" customHeight="1" x14ac:dyDescent="0.2">
      <c r="A506" s="106"/>
      <c r="B506" s="106"/>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106"/>
      <c r="Y506" s="106"/>
      <c r="Z506" s="106"/>
    </row>
    <row r="507" spans="1:26" ht="13.5" customHeight="1" x14ac:dyDescent="0.2">
      <c r="A507" s="106"/>
      <c r="B507" s="106"/>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106"/>
      <c r="Y507" s="106"/>
      <c r="Z507" s="106"/>
    </row>
    <row r="508" spans="1:26" ht="13.5" customHeight="1" x14ac:dyDescent="0.2">
      <c r="A508" s="106"/>
      <c r="B508" s="106"/>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106"/>
      <c r="Y508" s="106"/>
      <c r="Z508" s="106"/>
    </row>
    <row r="509" spans="1:26" ht="13.5" customHeight="1" x14ac:dyDescent="0.2">
      <c r="A509" s="106"/>
      <c r="B509" s="106"/>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106"/>
      <c r="Y509" s="106"/>
      <c r="Z509" s="106"/>
    </row>
    <row r="510" spans="1:26" ht="13.5" customHeight="1" x14ac:dyDescent="0.2">
      <c r="A510" s="106"/>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c r="Z510" s="106"/>
    </row>
    <row r="511" spans="1:26" ht="13.5" customHeight="1" x14ac:dyDescent="0.2">
      <c r="A511" s="106"/>
      <c r="B511" s="106"/>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row>
    <row r="512" spans="1:26" ht="13.5" customHeight="1" x14ac:dyDescent="0.2">
      <c r="A512" s="106"/>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c r="Z512" s="106"/>
    </row>
    <row r="513" spans="1:26" ht="13.5" customHeight="1" x14ac:dyDescent="0.2">
      <c r="A513" s="106"/>
      <c r="B513" s="106"/>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6"/>
      <c r="Z513" s="106"/>
    </row>
    <row r="514" spans="1:26" ht="13.5" customHeight="1" x14ac:dyDescent="0.2">
      <c r="A514" s="106"/>
      <c r="B514" s="106"/>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106"/>
      <c r="Y514" s="106"/>
      <c r="Z514" s="106"/>
    </row>
    <row r="515" spans="1:26" ht="13.5" customHeight="1" x14ac:dyDescent="0.2">
      <c r="A515" s="106"/>
      <c r="B515" s="106"/>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106"/>
      <c r="Y515" s="106"/>
      <c r="Z515" s="106"/>
    </row>
    <row r="516" spans="1:26" ht="13.5" customHeight="1" x14ac:dyDescent="0.2">
      <c r="A516" s="106"/>
      <c r="B516" s="106"/>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106"/>
      <c r="Y516" s="106"/>
      <c r="Z516" s="106"/>
    </row>
    <row r="517" spans="1:26" ht="13.5" customHeight="1" x14ac:dyDescent="0.2">
      <c r="A517" s="106"/>
      <c r="B517" s="106"/>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6"/>
      <c r="Z517" s="106"/>
    </row>
    <row r="518" spans="1:26" ht="13.5" customHeight="1" x14ac:dyDescent="0.2">
      <c r="A518" s="106"/>
      <c r="B518" s="106"/>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106"/>
      <c r="Y518" s="106"/>
      <c r="Z518" s="106"/>
    </row>
    <row r="519" spans="1:26" ht="13.5" customHeight="1" x14ac:dyDescent="0.2">
      <c r="A519" s="106"/>
      <c r="B519" s="106"/>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106"/>
      <c r="Y519" s="106"/>
      <c r="Z519" s="106"/>
    </row>
    <row r="520" spans="1:26" ht="13.5" customHeight="1" x14ac:dyDescent="0.2">
      <c r="A520" s="106"/>
      <c r="B520" s="106"/>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106"/>
      <c r="Y520" s="106"/>
      <c r="Z520" s="106"/>
    </row>
    <row r="521" spans="1:26" ht="13.5" customHeight="1" x14ac:dyDescent="0.2">
      <c r="A521" s="106"/>
      <c r="B521" s="106"/>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6"/>
      <c r="Z521" s="106"/>
    </row>
    <row r="522" spans="1:26" ht="13.5" customHeight="1" x14ac:dyDescent="0.2">
      <c r="A522" s="106"/>
      <c r="B522" s="106"/>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6"/>
      <c r="Z522" s="106"/>
    </row>
    <row r="523" spans="1:26" ht="13.5" customHeight="1" x14ac:dyDescent="0.2">
      <c r="A523" s="106"/>
      <c r="B523" s="106"/>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6"/>
      <c r="Z523" s="106"/>
    </row>
    <row r="524" spans="1:26" ht="13.5" customHeight="1" x14ac:dyDescent="0.2">
      <c r="A524" s="106"/>
      <c r="B524" s="106"/>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106"/>
      <c r="Y524" s="106"/>
      <c r="Z524" s="106"/>
    </row>
    <row r="525" spans="1:26" ht="13.5" customHeight="1" x14ac:dyDescent="0.2">
      <c r="A525" s="106"/>
      <c r="B525" s="106"/>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106"/>
      <c r="Y525" s="106"/>
      <c r="Z525" s="106"/>
    </row>
    <row r="526" spans="1:26" ht="13.5" customHeight="1" x14ac:dyDescent="0.2">
      <c r="A526" s="106"/>
      <c r="B526" s="106"/>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106"/>
      <c r="Y526" s="106"/>
      <c r="Z526" s="106"/>
    </row>
    <row r="527" spans="1:26" ht="13.5" customHeight="1" x14ac:dyDescent="0.2">
      <c r="A527" s="106"/>
      <c r="B527" s="106"/>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106"/>
      <c r="Y527" s="106"/>
      <c r="Z527" s="106"/>
    </row>
    <row r="528" spans="1:26" ht="13.5" customHeight="1" x14ac:dyDescent="0.2">
      <c r="A528" s="106"/>
      <c r="B528" s="106"/>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106"/>
      <c r="Y528" s="106"/>
      <c r="Z528" s="106"/>
    </row>
    <row r="529" spans="1:26" ht="13.5" customHeight="1" x14ac:dyDescent="0.2">
      <c r="A529" s="106"/>
      <c r="B529" s="106"/>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106"/>
      <c r="Y529" s="106"/>
      <c r="Z529" s="106"/>
    </row>
    <row r="530" spans="1:26" ht="13.5" customHeight="1" x14ac:dyDescent="0.2">
      <c r="A530" s="106"/>
      <c r="B530" s="106"/>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106"/>
      <c r="Y530" s="106"/>
      <c r="Z530" s="106"/>
    </row>
    <row r="531" spans="1:26" ht="13.5" customHeight="1" x14ac:dyDescent="0.2">
      <c r="A531" s="106"/>
      <c r="B531" s="106"/>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106"/>
      <c r="Y531" s="106"/>
      <c r="Z531" s="106"/>
    </row>
    <row r="532" spans="1:26" ht="13.5" customHeight="1" x14ac:dyDescent="0.2">
      <c r="A532" s="106"/>
      <c r="B532" s="106"/>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106"/>
      <c r="Y532" s="106"/>
      <c r="Z532" s="106"/>
    </row>
    <row r="533" spans="1:26" ht="13.5" customHeight="1" x14ac:dyDescent="0.2">
      <c r="A533" s="106"/>
      <c r="B533" s="106"/>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106"/>
      <c r="Y533" s="106"/>
      <c r="Z533" s="106"/>
    </row>
    <row r="534" spans="1:26" ht="13.5" customHeight="1" x14ac:dyDescent="0.2">
      <c r="A534" s="106"/>
      <c r="B534" s="106"/>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106"/>
      <c r="Y534" s="106"/>
      <c r="Z534" s="106"/>
    </row>
    <row r="535" spans="1:26" ht="13.5" customHeight="1" x14ac:dyDescent="0.2">
      <c r="A535" s="106"/>
      <c r="B535" s="106"/>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106"/>
      <c r="Y535" s="106"/>
      <c r="Z535" s="106"/>
    </row>
    <row r="536" spans="1:26" ht="13.5" customHeight="1" x14ac:dyDescent="0.2">
      <c r="A536" s="106"/>
      <c r="B536" s="106"/>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106"/>
      <c r="Y536" s="106"/>
      <c r="Z536" s="106"/>
    </row>
    <row r="537" spans="1:26" ht="13.5" customHeight="1" x14ac:dyDescent="0.2">
      <c r="A537" s="106"/>
      <c r="B537" s="106"/>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106"/>
      <c r="Y537" s="106"/>
      <c r="Z537" s="106"/>
    </row>
    <row r="538" spans="1:26" ht="13.5" customHeight="1" x14ac:dyDescent="0.2">
      <c r="A538" s="106"/>
      <c r="B538" s="106"/>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106"/>
      <c r="Y538" s="106"/>
      <c r="Z538" s="106"/>
    </row>
    <row r="539" spans="1:26" ht="13.5" customHeight="1" x14ac:dyDescent="0.2">
      <c r="A539" s="106"/>
      <c r="B539" s="106"/>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6"/>
      <c r="Z539" s="106"/>
    </row>
    <row r="540" spans="1:26" ht="13.5" customHeight="1" x14ac:dyDescent="0.2">
      <c r="A540" s="106"/>
      <c r="B540" s="106"/>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106"/>
      <c r="Y540" s="106"/>
      <c r="Z540" s="106"/>
    </row>
    <row r="541" spans="1:26" ht="13.5" customHeight="1" x14ac:dyDescent="0.2">
      <c r="A541" s="106"/>
      <c r="B541" s="106"/>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106"/>
      <c r="Y541" s="106"/>
      <c r="Z541" s="106"/>
    </row>
    <row r="542" spans="1:26" ht="13.5" customHeight="1" x14ac:dyDescent="0.2">
      <c r="A542" s="106"/>
      <c r="B542" s="106"/>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106"/>
      <c r="Y542" s="106"/>
      <c r="Z542" s="106"/>
    </row>
    <row r="543" spans="1:26" ht="13.5" customHeight="1" x14ac:dyDescent="0.2">
      <c r="A543" s="106"/>
      <c r="B543" s="106"/>
      <c r="C543" s="106"/>
      <c r="D543" s="106"/>
      <c r="E543" s="106"/>
      <c r="F543" s="106"/>
      <c r="G543" s="106"/>
      <c r="H543" s="106"/>
      <c r="I543" s="106"/>
      <c r="J543" s="106"/>
      <c r="K543" s="106"/>
      <c r="L543" s="106"/>
      <c r="M543" s="106"/>
      <c r="N543" s="106"/>
      <c r="O543" s="106"/>
      <c r="P543" s="106"/>
      <c r="Q543" s="106"/>
      <c r="R543" s="106"/>
      <c r="S543" s="106"/>
      <c r="T543" s="106"/>
      <c r="U543" s="106"/>
      <c r="V543" s="106"/>
      <c r="W543" s="106"/>
      <c r="X543" s="106"/>
      <c r="Y543" s="106"/>
      <c r="Z543" s="106"/>
    </row>
    <row r="544" spans="1:26" ht="13.5" customHeight="1" x14ac:dyDescent="0.2">
      <c r="A544" s="106"/>
      <c r="B544" s="106"/>
      <c r="C544" s="106"/>
      <c r="D544" s="106"/>
      <c r="E544" s="106"/>
      <c r="F544" s="106"/>
      <c r="G544" s="106"/>
      <c r="H544" s="106"/>
      <c r="I544" s="106"/>
      <c r="J544" s="106"/>
      <c r="K544" s="106"/>
      <c r="L544" s="106"/>
      <c r="M544" s="106"/>
      <c r="N544" s="106"/>
      <c r="O544" s="106"/>
      <c r="P544" s="106"/>
      <c r="Q544" s="106"/>
      <c r="R544" s="106"/>
      <c r="S544" s="106"/>
      <c r="T544" s="106"/>
      <c r="U544" s="106"/>
      <c r="V544" s="106"/>
      <c r="W544" s="106"/>
      <c r="X544" s="106"/>
      <c r="Y544" s="106"/>
      <c r="Z544" s="106"/>
    </row>
    <row r="545" spans="1:26" ht="13.5" customHeight="1" x14ac:dyDescent="0.2">
      <c r="A545" s="106"/>
      <c r="B545" s="106"/>
      <c r="C545" s="106"/>
      <c r="D545" s="106"/>
      <c r="E545" s="106"/>
      <c r="F545" s="106"/>
      <c r="G545" s="106"/>
      <c r="H545" s="106"/>
      <c r="I545" s="106"/>
      <c r="J545" s="106"/>
      <c r="K545" s="106"/>
      <c r="L545" s="106"/>
      <c r="M545" s="106"/>
      <c r="N545" s="106"/>
      <c r="O545" s="106"/>
      <c r="P545" s="106"/>
      <c r="Q545" s="106"/>
      <c r="R545" s="106"/>
      <c r="S545" s="106"/>
      <c r="T545" s="106"/>
      <c r="U545" s="106"/>
      <c r="V545" s="106"/>
      <c r="W545" s="106"/>
      <c r="X545" s="106"/>
      <c r="Y545" s="106"/>
      <c r="Z545" s="106"/>
    </row>
    <row r="546" spans="1:26" ht="13.5" customHeight="1" x14ac:dyDescent="0.2">
      <c r="A546" s="106"/>
      <c r="B546" s="106"/>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106"/>
      <c r="Y546" s="106"/>
      <c r="Z546" s="106"/>
    </row>
    <row r="547" spans="1:26" ht="13.5" customHeight="1" x14ac:dyDescent="0.2">
      <c r="A547" s="106"/>
      <c r="B547" s="106"/>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106"/>
      <c r="Y547" s="106"/>
      <c r="Z547" s="106"/>
    </row>
    <row r="548" spans="1:26" ht="13.5" customHeight="1" x14ac:dyDescent="0.2">
      <c r="A548" s="106"/>
      <c r="B548" s="106"/>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106"/>
      <c r="Y548" s="106"/>
      <c r="Z548" s="106"/>
    </row>
    <row r="549" spans="1:26" ht="13.5" customHeight="1" x14ac:dyDescent="0.2">
      <c r="A549" s="106"/>
      <c r="B549" s="106"/>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106"/>
      <c r="Y549" s="106"/>
      <c r="Z549" s="106"/>
    </row>
    <row r="550" spans="1:26" ht="13.5" customHeight="1" x14ac:dyDescent="0.2">
      <c r="A550" s="106"/>
      <c r="B550" s="106"/>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106"/>
      <c r="Y550" s="106"/>
      <c r="Z550" s="106"/>
    </row>
    <row r="551" spans="1:26" ht="13.5" customHeight="1" x14ac:dyDescent="0.2">
      <c r="A551" s="106"/>
      <c r="B551" s="106"/>
      <c r="C551" s="106"/>
      <c r="D551" s="106"/>
      <c r="E551" s="106"/>
      <c r="F551" s="106"/>
      <c r="G551" s="106"/>
      <c r="H551" s="106"/>
      <c r="I551" s="106"/>
      <c r="J551" s="106"/>
      <c r="K551" s="106"/>
      <c r="L551" s="106"/>
      <c r="M551" s="106"/>
      <c r="N551" s="106"/>
      <c r="O551" s="106"/>
      <c r="P551" s="106"/>
      <c r="Q551" s="106"/>
      <c r="R551" s="106"/>
      <c r="S551" s="106"/>
      <c r="T551" s="106"/>
      <c r="U551" s="106"/>
      <c r="V551" s="106"/>
      <c r="W551" s="106"/>
      <c r="X551" s="106"/>
      <c r="Y551" s="106"/>
      <c r="Z551" s="106"/>
    </row>
    <row r="552" spans="1:26" ht="13.5" customHeight="1" x14ac:dyDescent="0.2">
      <c r="A552" s="106"/>
      <c r="B552" s="106"/>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106"/>
      <c r="Y552" s="106"/>
      <c r="Z552" s="106"/>
    </row>
    <row r="553" spans="1:26" ht="13.5" customHeight="1" x14ac:dyDescent="0.2">
      <c r="A553" s="106"/>
      <c r="B553" s="106"/>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106"/>
      <c r="Y553" s="106"/>
      <c r="Z553" s="106"/>
    </row>
    <row r="554" spans="1:26" ht="13.5" customHeight="1" x14ac:dyDescent="0.2">
      <c r="A554" s="106"/>
      <c r="B554" s="106"/>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106"/>
      <c r="Y554" s="106"/>
      <c r="Z554" s="106"/>
    </row>
    <row r="555" spans="1:26" ht="13.5" customHeight="1" x14ac:dyDescent="0.2">
      <c r="A555" s="106"/>
      <c r="B555" s="106"/>
      <c r="C555" s="106"/>
      <c r="D555" s="106"/>
      <c r="E555" s="106"/>
      <c r="F555" s="106"/>
      <c r="G555" s="106"/>
      <c r="H555" s="106"/>
      <c r="I555" s="106"/>
      <c r="J555" s="106"/>
      <c r="K555" s="106"/>
      <c r="L555" s="106"/>
      <c r="M555" s="106"/>
      <c r="N555" s="106"/>
      <c r="O555" s="106"/>
      <c r="P555" s="106"/>
      <c r="Q555" s="106"/>
      <c r="R555" s="106"/>
      <c r="S555" s="106"/>
      <c r="T555" s="106"/>
      <c r="U555" s="106"/>
      <c r="V555" s="106"/>
      <c r="W555" s="106"/>
      <c r="X555" s="106"/>
      <c r="Y555" s="106"/>
      <c r="Z555" s="106"/>
    </row>
    <row r="556" spans="1:26" ht="13.5" customHeight="1" x14ac:dyDescent="0.2">
      <c r="A556" s="106"/>
      <c r="B556" s="106"/>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106"/>
      <c r="Y556" s="106"/>
      <c r="Z556" s="106"/>
    </row>
    <row r="557" spans="1:26" ht="13.5" customHeight="1" x14ac:dyDescent="0.2">
      <c r="A557" s="106"/>
      <c r="B557" s="106"/>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106"/>
      <c r="Y557" s="106"/>
      <c r="Z557" s="106"/>
    </row>
    <row r="558" spans="1:26" ht="13.5" customHeight="1" x14ac:dyDescent="0.2">
      <c r="A558" s="106"/>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6"/>
      <c r="Z558" s="106"/>
    </row>
    <row r="559" spans="1:26" ht="13.5" customHeight="1" x14ac:dyDescent="0.2">
      <c r="A559" s="1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c r="Z559" s="106"/>
    </row>
    <row r="560" spans="1:26" ht="13.5" customHeight="1" x14ac:dyDescent="0.2">
      <c r="A560" s="106"/>
      <c r="B560" s="106"/>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6"/>
      <c r="Z560" s="106"/>
    </row>
    <row r="561" spans="1:26" ht="13.5" customHeight="1" x14ac:dyDescent="0.2">
      <c r="A561" s="106"/>
      <c r="B561" s="106"/>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6"/>
      <c r="Z561" s="106"/>
    </row>
    <row r="562" spans="1:26" ht="13.5" customHeight="1" x14ac:dyDescent="0.2">
      <c r="A562" s="106"/>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6"/>
      <c r="Z562" s="106"/>
    </row>
    <row r="563" spans="1:26" ht="13.5" customHeight="1" x14ac:dyDescent="0.2">
      <c r="A563" s="106"/>
      <c r="B563" s="106"/>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6"/>
      <c r="Z563" s="106"/>
    </row>
    <row r="564" spans="1:26" ht="13.5" customHeight="1" x14ac:dyDescent="0.2">
      <c r="A564" s="106"/>
      <c r="B564" s="106"/>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106"/>
      <c r="Y564" s="106"/>
      <c r="Z564" s="106"/>
    </row>
    <row r="565" spans="1:26" ht="13.5" customHeight="1" x14ac:dyDescent="0.2">
      <c r="A565" s="106"/>
      <c r="B565" s="106"/>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106"/>
      <c r="Y565" s="106"/>
      <c r="Z565" s="106"/>
    </row>
    <row r="566" spans="1:26" ht="13.5" customHeight="1" x14ac:dyDescent="0.2">
      <c r="A566" s="106"/>
      <c r="B566" s="106"/>
      <c r="C566" s="106"/>
      <c r="D566" s="106"/>
      <c r="E566" s="106"/>
      <c r="F566" s="106"/>
      <c r="G566" s="106"/>
      <c r="H566" s="106"/>
      <c r="I566" s="106"/>
      <c r="J566" s="106"/>
      <c r="K566" s="106"/>
      <c r="L566" s="106"/>
      <c r="M566" s="106"/>
      <c r="N566" s="106"/>
      <c r="O566" s="106"/>
      <c r="P566" s="106"/>
      <c r="Q566" s="106"/>
      <c r="R566" s="106"/>
      <c r="S566" s="106"/>
      <c r="T566" s="106"/>
      <c r="U566" s="106"/>
      <c r="V566" s="106"/>
      <c r="W566" s="106"/>
      <c r="X566" s="106"/>
      <c r="Y566" s="106"/>
      <c r="Z566" s="106"/>
    </row>
    <row r="567" spans="1:26" ht="13.5" customHeight="1" x14ac:dyDescent="0.2">
      <c r="A567" s="106"/>
      <c r="B567" s="106"/>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6"/>
      <c r="Z567" s="106"/>
    </row>
    <row r="568" spans="1:26" ht="13.5" customHeight="1" x14ac:dyDescent="0.2">
      <c r="A568" s="106"/>
      <c r="B568" s="106"/>
      <c r="C568" s="106"/>
      <c r="D568" s="106"/>
      <c r="E568" s="106"/>
      <c r="F568" s="106"/>
      <c r="G568" s="106"/>
      <c r="H568" s="106"/>
      <c r="I568" s="106"/>
      <c r="J568" s="106"/>
      <c r="K568" s="106"/>
      <c r="L568" s="106"/>
      <c r="M568" s="106"/>
      <c r="N568" s="106"/>
      <c r="O568" s="106"/>
      <c r="P568" s="106"/>
      <c r="Q568" s="106"/>
      <c r="R568" s="106"/>
      <c r="S568" s="106"/>
      <c r="T568" s="106"/>
      <c r="U568" s="106"/>
      <c r="V568" s="106"/>
      <c r="W568" s="106"/>
      <c r="X568" s="106"/>
      <c r="Y568" s="106"/>
      <c r="Z568" s="106"/>
    </row>
    <row r="569" spans="1:26" ht="13.5" customHeight="1" x14ac:dyDescent="0.2">
      <c r="A569" s="106"/>
      <c r="B569" s="106"/>
      <c r="C569" s="106"/>
      <c r="D569" s="106"/>
      <c r="E569" s="106"/>
      <c r="F569" s="106"/>
      <c r="G569" s="106"/>
      <c r="H569" s="106"/>
      <c r="I569" s="106"/>
      <c r="J569" s="106"/>
      <c r="K569" s="106"/>
      <c r="L569" s="106"/>
      <c r="M569" s="106"/>
      <c r="N569" s="106"/>
      <c r="O569" s="106"/>
      <c r="P569" s="106"/>
      <c r="Q569" s="106"/>
      <c r="R569" s="106"/>
      <c r="S569" s="106"/>
      <c r="T569" s="106"/>
      <c r="U569" s="106"/>
      <c r="V569" s="106"/>
      <c r="W569" s="106"/>
      <c r="X569" s="106"/>
      <c r="Y569" s="106"/>
      <c r="Z569" s="106"/>
    </row>
    <row r="570" spans="1:26" ht="13.5" customHeight="1" x14ac:dyDescent="0.2">
      <c r="A570" s="106"/>
      <c r="B570" s="106"/>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106"/>
      <c r="Y570" s="106"/>
      <c r="Z570" s="106"/>
    </row>
    <row r="571" spans="1:26" ht="13.5" customHeight="1" x14ac:dyDescent="0.2">
      <c r="A571" s="106"/>
      <c r="B571" s="106"/>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106"/>
      <c r="Y571" s="106"/>
      <c r="Z571" s="106"/>
    </row>
    <row r="572" spans="1:26" ht="13.5" customHeight="1" x14ac:dyDescent="0.2">
      <c r="A572" s="106"/>
      <c r="B572" s="106"/>
      <c r="C572" s="106"/>
      <c r="D572" s="106"/>
      <c r="E572" s="106"/>
      <c r="F572" s="106"/>
      <c r="G572" s="106"/>
      <c r="H572" s="106"/>
      <c r="I572" s="106"/>
      <c r="J572" s="106"/>
      <c r="K572" s="106"/>
      <c r="L572" s="106"/>
      <c r="M572" s="106"/>
      <c r="N572" s="106"/>
      <c r="O572" s="106"/>
      <c r="P572" s="106"/>
      <c r="Q572" s="106"/>
      <c r="R572" s="106"/>
      <c r="S572" s="106"/>
      <c r="T572" s="106"/>
      <c r="U572" s="106"/>
      <c r="V572" s="106"/>
      <c r="W572" s="106"/>
      <c r="X572" s="106"/>
      <c r="Y572" s="106"/>
      <c r="Z572" s="106"/>
    </row>
    <row r="573" spans="1:26" ht="13.5" customHeight="1" x14ac:dyDescent="0.2">
      <c r="A573" s="106"/>
      <c r="B573" s="106"/>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106"/>
      <c r="Y573" s="106"/>
      <c r="Z573" s="106"/>
    </row>
    <row r="574" spans="1:26" ht="13.5" customHeight="1" x14ac:dyDescent="0.2">
      <c r="A574" s="106"/>
      <c r="B574" s="106"/>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106"/>
      <c r="Y574" s="106"/>
      <c r="Z574" s="106"/>
    </row>
    <row r="575" spans="1:26" ht="13.5" customHeight="1" x14ac:dyDescent="0.2">
      <c r="A575" s="106"/>
      <c r="B575" s="106"/>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106"/>
      <c r="Y575" s="106"/>
      <c r="Z575" s="106"/>
    </row>
    <row r="576" spans="1:26" ht="13.5" customHeight="1" x14ac:dyDescent="0.2">
      <c r="A576" s="106"/>
      <c r="B576" s="106"/>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106"/>
      <c r="Y576" s="106"/>
      <c r="Z576" s="106"/>
    </row>
    <row r="577" spans="1:26" ht="13.5" customHeight="1" x14ac:dyDescent="0.2">
      <c r="A577" s="106"/>
      <c r="B577" s="106"/>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106"/>
      <c r="Y577" s="106"/>
      <c r="Z577" s="106"/>
    </row>
    <row r="578" spans="1:26" ht="13.5" customHeight="1" x14ac:dyDescent="0.2">
      <c r="A578" s="106"/>
      <c r="B578" s="106"/>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106"/>
      <c r="Y578" s="106"/>
      <c r="Z578" s="106"/>
    </row>
    <row r="579" spans="1:26" ht="13.5" customHeight="1" x14ac:dyDescent="0.2">
      <c r="A579" s="106"/>
      <c r="B579" s="106"/>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106"/>
      <c r="Y579" s="106"/>
      <c r="Z579" s="106"/>
    </row>
    <row r="580" spans="1:26" ht="13.5" customHeight="1" x14ac:dyDescent="0.2">
      <c r="A580" s="106"/>
      <c r="B580" s="106"/>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106"/>
      <c r="Y580" s="106"/>
      <c r="Z580" s="106"/>
    </row>
    <row r="581" spans="1:26" ht="13.5" customHeight="1" x14ac:dyDescent="0.2">
      <c r="A581" s="106"/>
      <c r="B581" s="106"/>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106"/>
      <c r="Y581" s="106"/>
      <c r="Z581" s="106"/>
    </row>
    <row r="582" spans="1:26" ht="13.5" customHeight="1" x14ac:dyDescent="0.2">
      <c r="A582" s="106"/>
      <c r="B582" s="106"/>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106"/>
      <c r="Y582" s="106"/>
      <c r="Z582" s="106"/>
    </row>
    <row r="583" spans="1:26" ht="13.5" customHeight="1" x14ac:dyDescent="0.2">
      <c r="A583" s="106"/>
      <c r="B583" s="106"/>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106"/>
      <c r="Y583" s="106"/>
      <c r="Z583" s="106"/>
    </row>
    <row r="584" spans="1:26" ht="13.5" customHeight="1" x14ac:dyDescent="0.2">
      <c r="A584" s="106"/>
      <c r="B584" s="106"/>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106"/>
      <c r="Y584" s="106"/>
      <c r="Z584" s="106"/>
    </row>
    <row r="585" spans="1:26" ht="13.5" customHeight="1" x14ac:dyDescent="0.2">
      <c r="A585" s="106"/>
      <c r="B585" s="106"/>
      <c r="C585" s="106"/>
      <c r="D585" s="106"/>
      <c r="E585" s="106"/>
      <c r="F585" s="106"/>
      <c r="G585" s="106"/>
      <c r="H585" s="106"/>
      <c r="I585" s="106"/>
      <c r="J585" s="106"/>
      <c r="K585" s="106"/>
      <c r="L585" s="106"/>
      <c r="M585" s="106"/>
      <c r="N585" s="106"/>
      <c r="O585" s="106"/>
      <c r="P585" s="106"/>
      <c r="Q585" s="106"/>
      <c r="R585" s="106"/>
      <c r="S585" s="106"/>
      <c r="T585" s="106"/>
      <c r="U585" s="106"/>
      <c r="V585" s="106"/>
      <c r="W585" s="106"/>
      <c r="X585" s="106"/>
      <c r="Y585" s="106"/>
      <c r="Z585" s="106"/>
    </row>
    <row r="586" spans="1:26" ht="13.5" customHeight="1" x14ac:dyDescent="0.2">
      <c r="A586" s="106"/>
      <c r="B586" s="106"/>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106"/>
      <c r="Y586" s="106"/>
      <c r="Z586" s="106"/>
    </row>
    <row r="587" spans="1:26" ht="13.5" customHeight="1" x14ac:dyDescent="0.2">
      <c r="A587" s="106"/>
      <c r="B587" s="106"/>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106"/>
      <c r="Y587" s="106"/>
      <c r="Z587" s="106"/>
    </row>
    <row r="588" spans="1:26" ht="13.5" customHeight="1" x14ac:dyDescent="0.2">
      <c r="A588" s="106"/>
      <c r="B588" s="106"/>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106"/>
      <c r="Y588" s="106"/>
      <c r="Z588" s="106"/>
    </row>
    <row r="589" spans="1:26" ht="13.5" customHeight="1" x14ac:dyDescent="0.2">
      <c r="A589" s="106"/>
      <c r="B589" s="106"/>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106"/>
      <c r="Y589" s="106"/>
      <c r="Z589" s="106"/>
    </row>
    <row r="590" spans="1:26" ht="13.5" customHeight="1" x14ac:dyDescent="0.2">
      <c r="A590" s="106"/>
      <c r="B590" s="106"/>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106"/>
      <c r="Y590" s="106"/>
      <c r="Z590" s="106"/>
    </row>
    <row r="591" spans="1:26" ht="13.5" customHeight="1" x14ac:dyDescent="0.2">
      <c r="A591" s="106"/>
      <c r="B591" s="106"/>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106"/>
      <c r="Y591" s="106"/>
      <c r="Z591" s="106"/>
    </row>
    <row r="592" spans="1:26" ht="13.5" customHeight="1" x14ac:dyDescent="0.2">
      <c r="A592" s="106"/>
      <c r="B592" s="106"/>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106"/>
      <c r="Y592" s="106"/>
      <c r="Z592" s="106"/>
    </row>
    <row r="593" spans="1:26" ht="13.5" customHeight="1" x14ac:dyDescent="0.2">
      <c r="A593" s="106"/>
      <c r="B593" s="106"/>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106"/>
      <c r="Y593" s="106"/>
      <c r="Z593" s="106"/>
    </row>
    <row r="594" spans="1:26" ht="13.5" customHeight="1" x14ac:dyDescent="0.2">
      <c r="A594" s="106"/>
      <c r="B594" s="106"/>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106"/>
      <c r="Y594" s="106"/>
      <c r="Z594" s="106"/>
    </row>
    <row r="595" spans="1:26" ht="13.5" customHeight="1" x14ac:dyDescent="0.2">
      <c r="A595" s="106"/>
      <c r="B595" s="106"/>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6"/>
      <c r="Z595" s="106"/>
    </row>
    <row r="596" spans="1:26" ht="13.5" customHeight="1" x14ac:dyDescent="0.2">
      <c r="A596" s="106"/>
      <c r="B596" s="106"/>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6"/>
      <c r="Z596" s="106"/>
    </row>
    <row r="597" spans="1:26" ht="13.5" customHeight="1" x14ac:dyDescent="0.2">
      <c r="A597" s="106"/>
      <c r="B597" s="106"/>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6"/>
      <c r="Z597" s="106"/>
    </row>
    <row r="598" spans="1:26" ht="13.5" customHeight="1" x14ac:dyDescent="0.2">
      <c r="A598" s="106"/>
      <c r="B598" s="106"/>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6"/>
      <c r="Z598" s="106"/>
    </row>
    <row r="599" spans="1:26" ht="13.5" customHeight="1" x14ac:dyDescent="0.2">
      <c r="A599" s="106"/>
      <c r="B599" s="106"/>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6"/>
      <c r="Z599" s="106"/>
    </row>
    <row r="600" spans="1:26" ht="13.5" customHeight="1" x14ac:dyDescent="0.2">
      <c r="A600" s="106"/>
      <c r="B600" s="106"/>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106"/>
      <c r="Y600" s="106"/>
      <c r="Z600" s="106"/>
    </row>
    <row r="601" spans="1:26" ht="13.5" customHeight="1" x14ac:dyDescent="0.2">
      <c r="A601" s="106"/>
      <c r="B601" s="106"/>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106"/>
      <c r="Y601" s="106"/>
      <c r="Z601" s="106"/>
    </row>
    <row r="602" spans="1:26" ht="13.5" customHeight="1" x14ac:dyDescent="0.2">
      <c r="A602" s="106"/>
      <c r="B602" s="106"/>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106"/>
      <c r="Y602" s="106"/>
      <c r="Z602" s="106"/>
    </row>
    <row r="603" spans="1:26" ht="13.5" customHeight="1" x14ac:dyDescent="0.2">
      <c r="A603" s="106"/>
      <c r="B603" s="106"/>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106"/>
      <c r="Y603" s="106"/>
      <c r="Z603" s="106"/>
    </row>
    <row r="604" spans="1:26" ht="13.5" customHeight="1" x14ac:dyDescent="0.2">
      <c r="A604" s="106"/>
      <c r="B604" s="106"/>
      <c r="C604" s="106"/>
      <c r="D604" s="106"/>
      <c r="E604" s="106"/>
      <c r="F604" s="106"/>
      <c r="G604" s="106"/>
      <c r="H604" s="106"/>
      <c r="I604" s="106"/>
      <c r="J604" s="106"/>
      <c r="K604" s="106"/>
      <c r="L604" s="106"/>
      <c r="M604" s="106"/>
      <c r="N604" s="106"/>
      <c r="O604" s="106"/>
      <c r="P604" s="106"/>
      <c r="Q604" s="106"/>
      <c r="R604" s="106"/>
      <c r="S604" s="106"/>
      <c r="T604" s="106"/>
      <c r="U604" s="106"/>
      <c r="V604" s="106"/>
      <c r="W604" s="106"/>
      <c r="X604" s="106"/>
      <c r="Y604" s="106"/>
      <c r="Z604" s="106"/>
    </row>
    <row r="605" spans="1:26" ht="13.5" customHeight="1" x14ac:dyDescent="0.2">
      <c r="A605" s="106"/>
      <c r="B605" s="106"/>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106"/>
      <c r="Y605" s="106"/>
      <c r="Z605" s="106"/>
    </row>
    <row r="606" spans="1:26" ht="13.5" customHeight="1" x14ac:dyDescent="0.2">
      <c r="A606" s="106"/>
      <c r="B606" s="106"/>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106"/>
      <c r="Y606" s="106"/>
      <c r="Z606" s="106"/>
    </row>
    <row r="607" spans="1:26" ht="13.5" customHeight="1" x14ac:dyDescent="0.2">
      <c r="A607" s="106"/>
      <c r="B607" s="106"/>
      <c r="C607" s="106"/>
      <c r="D607" s="106"/>
      <c r="E607" s="106"/>
      <c r="F607" s="106"/>
      <c r="G607" s="106"/>
      <c r="H607" s="106"/>
      <c r="I607" s="106"/>
      <c r="J607" s="106"/>
      <c r="K607" s="106"/>
      <c r="L607" s="106"/>
      <c r="M607" s="106"/>
      <c r="N607" s="106"/>
      <c r="O607" s="106"/>
      <c r="P607" s="106"/>
      <c r="Q607" s="106"/>
      <c r="R607" s="106"/>
      <c r="S607" s="106"/>
      <c r="T607" s="106"/>
      <c r="U607" s="106"/>
      <c r="V607" s="106"/>
      <c r="W607" s="106"/>
      <c r="X607" s="106"/>
      <c r="Y607" s="106"/>
      <c r="Z607" s="106"/>
    </row>
    <row r="608" spans="1:26" ht="13.5" customHeight="1" x14ac:dyDescent="0.2">
      <c r="A608" s="106"/>
      <c r="B608" s="106"/>
      <c r="C608" s="106"/>
      <c r="D608" s="106"/>
      <c r="E608" s="106"/>
      <c r="F608" s="106"/>
      <c r="G608" s="106"/>
      <c r="H608" s="106"/>
      <c r="I608" s="106"/>
      <c r="J608" s="106"/>
      <c r="K608" s="106"/>
      <c r="L608" s="106"/>
      <c r="M608" s="106"/>
      <c r="N608" s="106"/>
      <c r="O608" s="106"/>
      <c r="P608" s="106"/>
      <c r="Q608" s="106"/>
      <c r="R608" s="106"/>
      <c r="S608" s="106"/>
      <c r="T608" s="106"/>
      <c r="U608" s="106"/>
      <c r="V608" s="106"/>
      <c r="W608" s="106"/>
      <c r="X608" s="106"/>
      <c r="Y608" s="106"/>
      <c r="Z608" s="106"/>
    </row>
    <row r="609" spans="1:26" ht="13.5" customHeight="1" x14ac:dyDescent="0.2">
      <c r="A609" s="106"/>
      <c r="B609" s="106"/>
      <c r="C609" s="106"/>
      <c r="D609" s="106"/>
      <c r="E609" s="106"/>
      <c r="F609" s="106"/>
      <c r="G609" s="106"/>
      <c r="H609" s="106"/>
      <c r="I609" s="106"/>
      <c r="J609" s="106"/>
      <c r="K609" s="106"/>
      <c r="L609" s="106"/>
      <c r="M609" s="106"/>
      <c r="N609" s="106"/>
      <c r="O609" s="106"/>
      <c r="P609" s="106"/>
      <c r="Q609" s="106"/>
      <c r="R609" s="106"/>
      <c r="S609" s="106"/>
      <c r="T609" s="106"/>
      <c r="U609" s="106"/>
      <c r="V609" s="106"/>
      <c r="W609" s="106"/>
      <c r="X609" s="106"/>
      <c r="Y609" s="106"/>
      <c r="Z609" s="106"/>
    </row>
    <row r="610" spans="1:26" ht="13.5" customHeight="1" x14ac:dyDescent="0.2">
      <c r="A610" s="106"/>
      <c r="B610" s="106"/>
      <c r="C610" s="106"/>
      <c r="D610" s="106"/>
      <c r="E610" s="106"/>
      <c r="F610" s="106"/>
      <c r="G610" s="106"/>
      <c r="H610" s="106"/>
      <c r="I610" s="106"/>
      <c r="J610" s="106"/>
      <c r="K610" s="106"/>
      <c r="L610" s="106"/>
      <c r="M610" s="106"/>
      <c r="N610" s="106"/>
      <c r="O610" s="106"/>
      <c r="P610" s="106"/>
      <c r="Q610" s="106"/>
      <c r="R610" s="106"/>
      <c r="S610" s="106"/>
      <c r="T610" s="106"/>
      <c r="U610" s="106"/>
      <c r="V610" s="106"/>
      <c r="W610" s="106"/>
      <c r="X610" s="106"/>
      <c r="Y610" s="106"/>
      <c r="Z610" s="106"/>
    </row>
    <row r="611" spans="1:26" ht="13.5" customHeight="1" x14ac:dyDescent="0.2">
      <c r="A611" s="106"/>
      <c r="B611" s="106"/>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106"/>
      <c r="Y611" s="106"/>
      <c r="Z611" s="106"/>
    </row>
    <row r="612" spans="1:26" ht="13.5" customHeight="1" x14ac:dyDescent="0.2">
      <c r="A612" s="106"/>
      <c r="B612" s="106"/>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106"/>
      <c r="Y612" s="106"/>
      <c r="Z612" s="106"/>
    </row>
    <row r="613" spans="1:26" ht="13.5" customHeight="1" x14ac:dyDescent="0.2">
      <c r="A613" s="106"/>
      <c r="B613" s="106"/>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106"/>
      <c r="Y613" s="106"/>
      <c r="Z613" s="106"/>
    </row>
    <row r="614" spans="1:26" ht="13.5" customHeight="1" x14ac:dyDescent="0.2">
      <c r="A614" s="106"/>
      <c r="B614" s="106"/>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106"/>
      <c r="Y614" s="106"/>
      <c r="Z614" s="106"/>
    </row>
    <row r="615" spans="1:26" ht="13.5" customHeight="1" x14ac:dyDescent="0.2">
      <c r="A615" s="106"/>
      <c r="B615" s="106"/>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6"/>
      <c r="Z615" s="106"/>
    </row>
    <row r="616" spans="1:26" ht="13.5" customHeight="1" x14ac:dyDescent="0.2">
      <c r="A616" s="106"/>
      <c r="B616" s="106"/>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6"/>
      <c r="Z616" s="106"/>
    </row>
    <row r="617" spans="1:26" ht="13.5" customHeight="1" x14ac:dyDescent="0.2">
      <c r="A617" s="106"/>
      <c r="B617" s="106"/>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6"/>
      <c r="Z617" s="106"/>
    </row>
    <row r="618" spans="1:26" ht="13.5" customHeight="1" x14ac:dyDescent="0.2">
      <c r="A618" s="106"/>
      <c r="B618" s="106"/>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106"/>
      <c r="Y618" s="106"/>
      <c r="Z618" s="106"/>
    </row>
    <row r="619" spans="1:26" ht="13.5" customHeight="1" x14ac:dyDescent="0.2">
      <c r="A619" s="106"/>
      <c r="B619" s="106"/>
      <c r="C619" s="106"/>
      <c r="D619" s="106"/>
      <c r="E619" s="106"/>
      <c r="F619" s="106"/>
      <c r="G619" s="106"/>
      <c r="H619" s="106"/>
      <c r="I619" s="106"/>
      <c r="J619" s="106"/>
      <c r="K619" s="106"/>
      <c r="L619" s="106"/>
      <c r="M619" s="106"/>
      <c r="N619" s="106"/>
      <c r="O619" s="106"/>
      <c r="P619" s="106"/>
      <c r="Q619" s="106"/>
      <c r="R619" s="106"/>
      <c r="S619" s="106"/>
      <c r="T619" s="106"/>
      <c r="U619" s="106"/>
      <c r="V619" s="106"/>
      <c r="W619" s="106"/>
      <c r="X619" s="106"/>
      <c r="Y619" s="106"/>
      <c r="Z619" s="106"/>
    </row>
    <row r="620" spans="1:26" ht="13.5" customHeight="1" x14ac:dyDescent="0.2">
      <c r="A620" s="106"/>
      <c r="B620" s="106"/>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106"/>
      <c r="Y620" s="106"/>
      <c r="Z620" s="106"/>
    </row>
    <row r="621" spans="1:26" ht="13.5" customHeight="1" x14ac:dyDescent="0.2">
      <c r="A621" s="106"/>
      <c r="B621" s="106"/>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106"/>
      <c r="Y621" s="106"/>
      <c r="Z621" s="106"/>
    </row>
    <row r="622" spans="1:26" ht="13.5" customHeight="1" x14ac:dyDescent="0.2">
      <c r="A622" s="106"/>
      <c r="B622" s="106"/>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106"/>
      <c r="Y622" s="106"/>
      <c r="Z622" s="106"/>
    </row>
    <row r="623" spans="1:26" ht="13.5" customHeight="1" x14ac:dyDescent="0.2">
      <c r="A623" s="106"/>
      <c r="B623" s="106"/>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6"/>
      <c r="Z623" s="106"/>
    </row>
    <row r="624" spans="1:26" ht="13.5" customHeight="1" x14ac:dyDescent="0.2">
      <c r="A624" s="106"/>
      <c r="B624" s="106"/>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106"/>
      <c r="Y624" s="106"/>
      <c r="Z624" s="106"/>
    </row>
    <row r="625" spans="1:26" ht="13.5" customHeight="1" x14ac:dyDescent="0.2">
      <c r="A625" s="106"/>
      <c r="B625" s="106"/>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106"/>
      <c r="Y625" s="106"/>
      <c r="Z625" s="106"/>
    </row>
    <row r="626" spans="1:26" ht="13.5" customHeight="1" x14ac:dyDescent="0.2">
      <c r="A626" s="106"/>
      <c r="B626" s="106"/>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106"/>
      <c r="Y626" s="106"/>
      <c r="Z626" s="106"/>
    </row>
    <row r="627" spans="1:26" ht="13.5" customHeight="1" x14ac:dyDescent="0.2">
      <c r="A627" s="106"/>
      <c r="B627" s="106"/>
      <c r="C627" s="106"/>
      <c r="D627" s="106"/>
      <c r="E627" s="106"/>
      <c r="F627" s="106"/>
      <c r="G627" s="106"/>
      <c r="H627" s="106"/>
      <c r="I627" s="106"/>
      <c r="J627" s="106"/>
      <c r="K627" s="106"/>
      <c r="L627" s="106"/>
      <c r="M627" s="106"/>
      <c r="N627" s="106"/>
      <c r="O627" s="106"/>
      <c r="P627" s="106"/>
      <c r="Q627" s="106"/>
      <c r="R627" s="106"/>
      <c r="S627" s="106"/>
      <c r="T627" s="106"/>
      <c r="U627" s="106"/>
      <c r="V627" s="106"/>
      <c r="W627" s="106"/>
      <c r="X627" s="106"/>
      <c r="Y627" s="106"/>
      <c r="Z627" s="106"/>
    </row>
    <row r="628" spans="1:26" ht="13.5" customHeight="1" x14ac:dyDescent="0.2">
      <c r="A628" s="106"/>
      <c r="B628" s="106"/>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106"/>
      <c r="Y628" s="106"/>
      <c r="Z628" s="106"/>
    </row>
    <row r="629" spans="1:26" ht="13.5" customHeight="1" x14ac:dyDescent="0.2">
      <c r="A629" s="106"/>
      <c r="B629" s="106"/>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106"/>
      <c r="Y629" s="106"/>
      <c r="Z629" s="106"/>
    </row>
    <row r="630" spans="1:26" ht="13.5" customHeight="1" x14ac:dyDescent="0.2">
      <c r="A630" s="106"/>
      <c r="B630" s="106"/>
      <c r="C630" s="106"/>
      <c r="D630" s="106"/>
      <c r="E630" s="106"/>
      <c r="F630" s="106"/>
      <c r="G630" s="106"/>
      <c r="H630" s="106"/>
      <c r="I630" s="106"/>
      <c r="J630" s="106"/>
      <c r="K630" s="106"/>
      <c r="L630" s="106"/>
      <c r="M630" s="106"/>
      <c r="N630" s="106"/>
      <c r="O630" s="106"/>
      <c r="P630" s="106"/>
      <c r="Q630" s="106"/>
      <c r="R630" s="106"/>
      <c r="S630" s="106"/>
      <c r="T630" s="106"/>
      <c r="U630" s="106"/>
      <c r="V630" s="106"/>
      <c r="W630" s="106"/>
      <c r="X630" s="106"/>
      <c r="Y630" s="106"/>
      <c r="Z630" s="106"/>
    </row>
    <row r="631" spans="1:26" ht="13.5" customHeight="1" x14ac:dyDescent="0.2">
      <c r="A631" s="106"/>
      <c r="B631" s="106"/>
      <c r="C631" s="106"/>
      <c r="D631" s="106"/>
      <c r="E631" s="106"/>
      <c r="F631" s="106"/>
      <c r="G631" s="106"/>
      <c r="H631" s="106"/>
      <c r="I631" s="106"/>
      <c r="J631" s="106"/>
      <c r="K631" s="106"/>
      <c r="L631" s="106"/>
      <c r="M631" s="106"/>
      <c r="N631" s="106"/>
      <c r="O631" s="106"/>
      <c r="P631" s="106"/>
      <c r="Q631" s="106"/>
      <c r="R631" s="106"/>
      <c r="S631" s="106"/>
      <c r="T631" s="106"/>
      <c r="U631" s="106"/>
      <c r="V631" s="106"/>
      <c r="W631" s="106"/>
      <c r="X631" s="106"/>
      <c r="Y631" s="106"/>
      <c r="Z631" s="106"/>
    </row>
    <row r="632" spans="1:26" ht="13.5" customHeight="1" x14ac:dyDescent="0.2">
      <c r="A632" s="106"/>
      <c r="B632" s="106"/>
      <c r="C632" s="106"/>
      <c r="D632" s="106"/>
      <c r="E632" s="106"/>
      <c r="F632" s="106"/>
      <c r="G632" s="106"/>
      <c r="H632" s="106"/>
      <c r="I632" s="106"/>
      <c r="J632" s="106"/>
      <c r="K632" s="106"/>
      <c r="L632" s="106"/>
      <c r="M632" s="106"/>
      <c r="N632" s="106"/>
      <c r="O632" s="106"/>
      <c r="P632" s="106"/>
      <c r="Q632" s="106"/>
      <c r="R632" s="106"/>
      <c r="S632" s="106"/>
      <c r="T632" s="106"/>
      <c r="U632" s="106"/>
      <c r="V632" s="106"/>
      <c r="W632" s="106"/>
      <c r="X632" s="106"/>
      <c r="Y632" s="106"/>
      <c r="Z632" s="106"/>
    </row>
    <row r="633" spans="1:26" ht="13.5" customHeight="1" x14ac:dyDescent="0.2">
      <c r="A633" s="106"/>
      <c r="B633" s="106"/>
      <c r="C633" s="106"/>
      <c r="D633" s="106"/>
      <c r="E633" s="106"/>
      <c r="F633" s="106"/>
      <c r="G633" s="106"/>
      <c r="H633" s="106"/>
      <c r="I633" s="106"/>
      <c r="J633" s="106"/>
      <c r="K633" s="106"/>
      <c r="L633" s="106"/>
      <c r="M633" s="106"/>
      <c r="N633" s="106"/>
      <c r="O633" s="106"/>
      <c r="P633" s="106"/>
      <c r="Q633" s="106"/>
      <c r="R633" s="106"/>
      <c r="S633" s="106"/>
      <c r="T633" s="106"/>
      <c r="U633" s="106"/>
      <c r="V633" s="106"/>
      <c r="W633" s="106"/>
      <c r="X633" s="106"/>
      <c r="Y633" s="106"/>
      <c r="Z633" s="106"/>
    </row>
    <row r="634" spans="1:26" ht="13.5" customHeight="1" x14ac:dyDescent="0.2">
      <c r="A634" s="106"/>
      <c r="B634" s="106"/>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106"/>
      <c r="Y634" s="106"/>
      <c r="Z634" s="106"/>
    </row>
    <row r="635" spans="1:26" ht="13.5" customHeight="1" x14ac:dyDescent="0.2">
      <c r="A635" s="106"/>
      <c r="B635" s="106"/>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106"/>
      <c r="Y635" s="106"/>
      <c r="Z635" s="106"/>
    </row>
    <row r="636" spans="1:26" ht="13.5" customHeight="1" x14ac:dyDescent="0.2">
      <c r="A636" s="106"/>
      <c r="B636" s="106"/>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106"/>
      <c r="Y636" s="106"/>
      <c r="Z636" s="106"/>
    </row>
    <row r="637" spans="1:26" ht="13.5" customHeight="1" x14ac:dyDescent="0.2">
      <c r="A637" s="106"/>
      <c r="B637" s="106"/>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106"/>
      <c r="Y637" s="106"/>
      <c r="Z637" s="106"/>
    </row>
    <row r="638" spans="1:26" ht="13.5" customHeight="1" x14ac:dyDescent="0.2">
      <c r="A638" s="106"/>
      <c r="B638" s="106"/>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106"/>
      <c r="Y638" s="106"/>
      <c r="Z638" s="106"/>
    </row>
    <row r="639" spans="1:26" ht="13.5" customHeight="1" x14ac:dyDescent="0.2">
      <c r="A639" s="106"/>
      <c r="B639" s="106"/>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106"/>
      <c r="Y639" s="106"/>
      <c r="Z639" s="106"/>
    </row>
    <row r="640" spans="1:26" ht="13.5" customHeight="1" x14ac:dyDescent="0.2">
      <c r="A640" s="106"/>
      <c r="B640" s="106"/>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106"/>
      <c r="Y640" s="106"/>
      <c r="Z640" s="106"/>
    </row>
    <row r="641" spans="1:26" ht="13.5" customHeight="1" x14ac:dyDescent="0.2">
      <c r="A641" s="106"/>
      <c r="B641" s="106"/>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106"/>
      <c r="Y641" s="106"/>
      <c r="Z641" s="106"/>
    </row>
    <row r="642" spans="1:26" ht="13.5" customHeight="1" x14ac:dyDescent="0.2">
      <c r="A642" s="106"/>
      <c r="B642" s="106"/>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106"/>
      <c r="Y642" s="106"/>
      <c r="Z642" s="106"/>
    </row>
    <row r="643" spans="1:26" ht="13.5" customHeight="1" x14ac:dyDescent="0.2">
      <c r="A643" s="106"/>
      <c r="B643" s="106"/>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106"/>
      <c r="Y643" s="106"/>
      <c r="Z643" s="106"/>
    </row>
    <row r="644" spans="1:26" ht="13.5" customHeight="1" x14ac:dyDescent="0.2">
      <c r="A644" s="106"/>
      <c r="B644" s="106"/>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106"/>
      <c r="Y644" s="106"/>
      <c r="Z644" s="106"/>
    </row>
    <row r="645" spans="1:26" ht="13.5" customHeight="1" x14ac:dyDescent="0.2">
      <c r="A645" s="106"/>
      <c r="B645" s="106"/>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106"/>
      <c r="Y645" s="106"/>
      <c r="Z645" s="106"/>
    </row>
    <row r="646" spans="1:26" ht="13.5" customHeight="1" x14ac:dyDescent="0.2">
      <c r="A646" s="106"/>
      <c r="B646" s="106"/>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106"/>
      <c r="Y646" s="106"/>
      <c r="Z646" s="106"/>
    </row>
    <row r="647" spans="1:26" ht="13.5" customHeight="1" x14ac:dyDescent="0.2">
      <c r="A647" s="106"/>
      <c r="B647" s="106"/>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106"/>
      <c r="Y647" s="106"/>
      <c r="Z647" s="106"/>
    </row>
    <row r="648" spans="1:26" ht="13.5" customHeight="1" x14ac:dyDescent="0.2">
      <c r="A648" s="106"/>
      <c r="B648" s="106"/>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106"/>
      <c r="Y648" s="106"/>
      <c r="Z648" s="106"/>
    </row>
    <row r="649" spans="1:26" ht="13.5" customHeight="1" x14ac:dyDescent="0.2">
      <c r="A649" s="106"/>
      <c r="B649" s="106"/>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106"/>
      <c r="Y649" s="106"/>
      <c r="Z649" s="106"/>
    </row>
    <row r="650" spans="1:26" ht="13.5" customHeight="1" x14ac:dyDescent="0.2">
      <c r="A650" s="106"/>
      <c r="B650" s="106"/>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106"/>
      <c r="Y650" s="106"/>
      <c r="Z650" s="106"/>
    </row>
    <row r="651" spans="1:26" ht="13.5" customHeight="1" x14ac:dyDescent="0.2">
      <c r="A651" s="106"/>
      <c r="B651" s="106"/>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6"/>
      <c r="Z651" s="106"/>
    </row>
    <row r="652" spans="1:26" ht="13.5" customHeight="1" x14ac:dyDescent="0.2">
      <c r="A652" s="106"/>
      <c r="B652" s="106"/>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106"/>
      <c r="Y652" s="106"/>
      <c r="Z652" s="106"/>
    </row>
    <row r="653" spans="1:26" ht="13.5" customHeight="1" x14ac:dyDescent="0.2">
      <c r="A653" s="106"/>
      <c r="B653" s="106"/>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106"/>
      <c r="Y653" s="106"/>
      <c r="Z653" s="106"/>
    </row>
    <row r="654" spans="1:26" ht="13.5" customHeight="1" x14ac:dyDescent="0.2">
      <c r="A654" s="106"/>
      <c r="B654" s="106"/>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106"/>
      <c r="Y654" s="106"/>
      <c r="Z654" s="106"/>
    </row>
    <row r="655" spans="1:26" ht="13.5" customHeight="1" x14ac:dyDescent="0.2">
      <c r="A655" s="106"/>
      <c r="B655" s="106"/>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106"/>
      <c r="Y655" s="106"/>
      <c r="Z655" s="106"/>
    </row>
    <row r="656" spans="1:26" ht="13.5" customHeight="1" x14ac:dyDescent="0.2">
      <c r="A656" s="106"/>
      <c r="B656" s="106"/>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106"/>
      <c r="Y656" s="106"/>
      <c r="Z656" s="106"/>
    </row>
    <row r="657" spans="1:26" ht="13.5" customHeight="1" x14ac:dyDescent="0.2">
      <c r="A657" s="106"/>
      <c r="B657" s="106"/>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6"/>
      <c r="Z657" s="106"/>
    </row>
    <row r="658" spans="1:26" ht="13.5" customHeight="1" x14ac:dyDescent="0.2">
      <c r="A658" s="106"/>
      <c r="B658" s="106"/>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6"/>
      <c r="Z658" s="106"/>
    </row>
    <row r="659" spans="1:26" ht="13.5" customHeight="1" x14ac:dyDescent="0.2">
      <c r="A659" s="106"/>
      <c r="B659" s="106"/>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6"/>
      <c r="Z659" s="106"/>
    </row>
    <row r="660" spans="1:26" ht="13.5" customHeight="1" x14ac:dyDescent="0.2">
      <c r="A660" s="106"/>
      <c r="B660" s="106"/>
      <c r="C660" s="106"/>
      <c r="D660" s="106"/>
      <c r="E660" s="106"/>
      <c r="F660" s="106"/>
      <c r="G660" s="106"/>
      <c r="H660" s="106"/>
      <c r="I660" s="106"/>
      <c r="J660" s="106"/>
      <c r="K660" s="106"/>
      <c r="L660" s="106"/>
      <c r="M660" s="106"/>
      <c r="N660" s="106"/>
      <c r="O660" s="106"/>
      <c r="P660" s="106"/>
      <c r="Q660" s="106"/>
      <c r="R660" s="106"/>
      <c r="S660" s="106"/>
      <c r="T660" s="106"/>
      <c r="U660" s="106"/>
      <c r="V660" s="106"/>
      <c r="W660" s="106"/>
      <c r="X660" s="106"/>
      <c r="Y660" s="106"/>
      <c r="Z660" s="106"/>
    </row>
    <row r="661" spans="1:26" ht="13.5" customHeight="1" x14ac:dyDescent="0.2">
      <c r="A661" s="106"/>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6"/>
      <c r="Z661" s="106"/>
    </row>
    <row r="662" spans="1:26" ht="13.5" customHeight="1" x14ac:dyDescent="0.2">
      <c r="A662" s="106"/>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6"/>
      <c r="Z662" s="106"/>
    </row>
    <row r="663" spans="1:26" ht="13.5" customHeight="1" x14ac:dyDescent="0.2">
      <c r="A663" s="106"/>
      <c r="B663" s="106"/>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6"/>
      <c r="Z663" s="106"/>
    </row>
    <row r="664" spans="1:26" ht="13.5" customHeight="1" x14ac:dyDescent="0.2">
      <c r="A664" s="106"/>
      <c r="B664" s="106"/>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106"/>
      <c r="Y664" s="106"/>
      <c r="Z664" s="106"/>
    </row>
    <row r="665" spans="1:26" ht="13.5" customHeight="1" x14ac:dyDescent="0.2">
      <c r="A665" s="106"/>
      <c r="B665" s="106"/>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106"/>
      <c r="Y665" s="106"/>
      <c r="Z665" s="106"/>
    </row>
    <row r="666" spans="1:26" ht="13.5" customHeight="1" x14ac:dyDescent="0.2">
      <c r="A666" s="106"/>
      <c r="B666" s="106"/>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106"/>
      <c r="Y666" s="106"/>
      <c r="Z666" s="106"/>
    </row>
    <row r="667" spans="1:26" ht="13.5" customHeight="1" x14ac:dyDescent="0.2">
      <c r="A667" s="106"/>
      <c r="B667" s="106"/>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106"/>
      <c r="Y667" s="106"/>
      <c r="Z667" s="106"/>
    </row>
    <row r="668" spans="1:26" ht="13.5" customHeight="1" x14ac:dyDescent="0.2">
      <c r="A668" s="106"/>
      <c r="B668" s="106"/>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106"/>
      <c r="Y668" s="106"/>
      <c r="Z668" s="106"/>
    </row>
    <row r="669" spans="1:26" ht="13.5" customHeight="1" x14ac:dyDescent="0.2">
      <c r="A669" s="106"/>
      <c r="B669" s="106"/>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106"/>
      <c r="Y669" s="106"/>
      <c r="Z669" s="106"/>
    </row>
    <row r="670" spans="1:26" ht="13.5" customHeight="1" x14ac:dyDescent="0.2">
      <c r="A670" s="106"/>
      <c r="B670" s="106"/>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106"/>
      <c r="Y670" s="106"/>
      <c r="Z670" s="106"/>
    </row>
    <row r="671" spans="1:26" ht="13.5" customHeight="1" x14ac:dyDescent="0.2">
      <c r="A671" s="106"/>
      <c r="B671" s="106"/>
      <c r="C671" s="106"/>
      <c r="D671" s="106"/>
      <c r="E671" s="106"/>
      <c r="F671" s="106"/>
      <c r="G671" s="106"/>
      <c r="H671" s="106"/>
      <c r="I671" s="106"/>
      <c r="J671" s="106"/>
      <c r="K671" s="106"/>
      <c r="L671" s="106"/>
      <c r="M671" s="106"/>
      <c r="N671" s="106"/>
      <c r="O671" s="106"/>
      <c r="P671" s="106"/>
      <c r="Q671" s="106"/>
      <c r="R671" s="106"/>
      <c r="S671" s="106"/>
      <c r="T671" s="106"/>
      <c r="U671" s="106"/>
      <c r="V671" s="106"/>
      <c r="W671" s="106"/>
      <c r="X671" s="106"/>
      <c r="Y671" s="106"/>
      <c r="Z671" s="106"/>
    </row>
    <row r="672" spans="1:26" ht="13.5" customHeight="1" x14ac:dyDescent="0.2">
      <c r="A672" s="106"/>
      <c r="B672" s="106"/>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6"/>
      <c r="Z672" s="106"/>
    </row>
    <row r="673" spans="1:26" ht="13.5" customHeight="1" x14ac:dyDescent="0.2">
      <c r="A673" s="106"/>
      <c r="B673" s="106"/>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6"/>
      <c r="Z673" s="106"/>
    </row>
    <row r="674" spans="1:26" ht="13.5" customHeight="1" x14ac:dyDescent="0.2">
      <c r="A674" s="106"/>
      <c r="B674" s="106"/>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106"/>
      <c r="Y674" s="106"/>
      <c r="Z674" s="106"/>
    </row>
    <row r="675" spans="1:26" ht="13.5" customHeight="1" x14ac:dyDescent="0.2">
      <c r="A675" s="106"/>
      <c r="B675" s="106"/>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106"/>
      <c r="Y675" s="106"/>
      <c r="Z675" s="106"/>
    </row>
    <row r="676" spans="1:26" ht="13.5" customHeight="1" x14ac:dyDescent="0.2">
      <c r="A676" s="106"/>
      <c r="B676" s="106"/>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106"/>
      <c r="Y676" s="106"/>
      <c r="Z676" s="106"/>
    </row>
    <row r="677" spans="1:26" ht="13.5" customHeight="1" x14ac:dyDescent="0.2">
      <c r="A677" s="106"/>
      <c r="B677" s="106"/>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106"/>
      <c r="Y677" s="106"/>
      <c r="Z677" s="106"/>
    </row>
    <row r="678" spans="1:26" ht="13.5" customHeight="1" x14ac:dyDescent="0.2">
      <c r="A678" s="106"/>
      <c r="B678" s="106"/>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106"/>
      <c r="Y678" s="106"/>
      <c r="Z678" s="106"/>
    </row>
    <row r="679" spans="1:26" ht="13.5" customHeight="1" x14ac:dyDescent="0.2">
      <c r="A679" s="106"/>
      <c r="B679" s="106"/>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row>
    <row r="680" spans="1:26" ht="13.5" customHeight="1" x14ac:dyDescent="0.2">
      <c r="A680" s="106"/>
      <c r="B680" s="106"/>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6"/>
      <c r="Z680" s="106"/>
    </row>
    <row r="681" spans="1:26" ht="13.5" customHeight="1" x14ac:dyDescent="0.2">
      <c r="A681" s="106"/>
      <c r="B681" s="106"/>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6"/>
      <c r="Z681" s="106"/>
    </row>
    <row r="682" spans="1:26" ht="13.5" customHeight="1" x14ac:dyDescent="0.2">
      <c r="A682" s="106"/>
      <c r="B682" s="106"/>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106"/>
      <c r="Y682" s="106"/>
      <c r="Z682" s="106"/>
    </row>
    <row r="683" spans="1:26" ht="13.5" customHeight="1" x14ac:dyDescent="0.2">
      <c r="A683" s="106"/>
      <c r="B683" s="106"/>
      <c r="C683" s="106"/>
      <c r="D683" s="106"/>
      <c r="E683" s="106"/>
      <c r="F683" s="106"/>
      <c r="G683" s="106"/>
      <c r="H683" s="106"/>
      <c r="I683" s="106"/>
      <c r="J683" s="106"/>
      <c r="K683" s="106"/>
      <c r="L683" s="106"/>
      <c r="M683" s="106"/>
      <c r="N683" s="106"/>
      <c r="O683" s="106"/>
      <c r="P683" s="106"/>
      <c r="Q683" s="106"/>
      <c r="R683" s="106"/>
      <c r="S683" s="106"/>
      <c r="T683" s="106"/>
      <c r="U683" s="106"/>
      <c r="V683" s="106"/>
      <c r="W683" s="106"/>
      <c r="X683" s="106"/>
      <c r="Y683" s="106"/>
      <c r="Z683" s="106"/>
    </row>
    <row r="684" spans="1:26" ht="13.5" customHeight="1" x14ac:dyDescent="0.2">
      <c r="A684" s="106"/>
      <c r="B684" s="106"/>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106"/>
      <c r="Y684" s="106"/>
      <c r="Z684" s="106"/>
    </row>
    <row r="685" spans="1:26" ht="13.5" customHeight="1" x14ac:dyDescent="0.2">
      <c r="A685" s="106"/>
      <c r="B685" s="106"/>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6"/>
      <c r="Z685" s="106"/>
    </row>
    <row r="686" spans="1:26" ht="13.5" customHeight="1" x14ac:dyDescent="0.2">
      <c r="A686" s="106"/>
      <c r="B686" s="106"/>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6"/>
      <c r="Z686" s="106"/>
    </row>
    <row r="687" spans="1:26" ht="13.5" customHeight="1" x14ac:dyDescent="0.2">
      <c r="A687" s="106"/>
      <c r="B687" s="106"/>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6"/>
      <c r="Z687" s="106"/>
    </row>
    <row r="688" spans="1:26" ht="13.5" customHeight="1" x14ac:dyDescent="0.2">
      <c r="A688" s="106"/>
      <c r="B688" s="106"/>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106"/>
      <c r="Y688" s="106"/>
      <c r="Z688" s="106"/>
    </row>
    <row r="689" spans="1:26" ht="13.5" customHeight="1" x14ac:dyDescent="0.2">
      <c r="A689" s="106"/>
      <c r="B689" s="106"/>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106"/>
      <c r="Y689" s="106"/>
      <c r="Z689" s="106"/>
    </row>
    <row r="690" spans="1:26" ht="13.5" customHeight="1" x14ac:dyDescent="0.2">
      <c r="A690" s="106"/>
      <c r="B690" s="106"/>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106"/>
      <c r="Y690" s="106"/>
      <c r="Z690" s="106"/>
    </row>
    <row r="691" spans="1:26" ht="13.5" customHeight="1" x14ac:dyDescent="0.2">
      <c r="A691" s="106"/>
      <c r="B691" s="106"/>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106"/>
      <c r="Y691" s="106"/>
      <c r="Z691" s="106"/>
    </row>
    <row r="692" spans="1:26" ht="13.5" customHeight="1" x14ac:dyDescent="0.2">
      <c r="A692" s="106"/>
      <c r="B692" s="106"/>
      <c r="C692" s="106"/>
      <c r="D692" s="106"/>
      <c r="E692" s="106"/>
      <c r="F692" s="106"/>
      <c r="G692" s="106"/>
      <c r="H692" s="106"/>
      <c r="I692" s="106"/>
      <c r="J692" s="106"/>
      <c r="K692" s="106"/>
      <c r="L692" s="106"/>
      <c r="M692" s="106"/>
      <c r="N692" s="106"/>
      <c r="O692" s="106"/>
      <c r="P692" s="106"/>
      <c r="Q692" s="106"/>
      <c r="R692" s="106"/>
      <c r="S692" s="106"/>
      <c r="T692" s="106"/>
      <c r="U692" s="106"/>
      <c r="V692" s="106"/>
      <c r="W692" s="106"/>
      <c r="X692" s="106"/>
      <c r="Y692" s="106"/>
      <c r="Z692" s="106"/>
    </row>
    <row r="693" spans="1:26" ht="13.5" customHeight="1" x14ac:dyDescent="0.2">
      <c r="A693" s="106"/>
      <c r="B693" s="106"/>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106"/>
      <c r="Y693" s="106"/>
      <c r="Z693" s="106"/>
    </row>
    <row r="694" spans="1:26" ht="13.5" customHeight="1" x14ac:dyDescent="0.2">
      <c r="A694" s="106"/>
      <c r="B694" s="106"/>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106"/>
      <c r="Y694" s="106"/>
      <c r="Z694" s="106"/>
    </row>
    <row r="695" spans="1:26" ht="13.5" customHeight="1" x14ac:dyDescent="0.2">
      <c r="A695" s="106"/>
      <c r="B695" s="106"/>
      <c r="C695" s="106"/>
      <c r="D695" s="106"/>
      <c r="E695" s="106"/>
      <c r="F695" s="106"/>
      <c r="G695" s="106"/>
      <c r="H695" s="106"/>
      <c r="I695" s="106"/>
      <c r="J695" s="106"/>
      <c r="K695" s="106"/>
      <c r="L695" s="106"/>
      <c r="M695" s="106"/>
      <c r="N695" s="106"/>
      <c r="O695" s="106"/>
      <c r="P695" s="106"/>
      <c r="Q695" s="106"/>
      <c r="R695" s="106"/>
      <c r="S695" s="106"/>
      <c r="T695" s="106"/>
      <c r="U695" s="106"/>
      <c r="V695" s="106"/>
      <c r="W695" s="106"/>
      <c r="X695" s="106"/>
      <c r="Y695" s="106"/>
      <c r="Z695" s="106"/>
    </row>
    <row r="696" spans="1:26" ht="13.5" customHeight="1" x14ac:dyDescent="0.2">
      <c r="A696" s="106"/>
      <c r="B696" s="106"/>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106"/>
      <c r="Y696" s="106"/>
      <c r="Z696" s="106"/>
    </row>
    <row r="697" spans="1:26" ht="13.5" customHeight="1" x14ac:dyDescent="0.2">
      <c r="A697" s="106"/>
      <c r="B697" s="106"/>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106"/>
      <c r="Y697" s="106"/>
      <c r="Z697" s="106"/>
    </row>
    <row r="698" spans="1:26" ht="13.5" customHeight="1" x14ac:dyDescent="0.2">
      <c r="A698" s="106"/>
      <c r="B698" s="106"/>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106"/>
      <c r="Y698" s="106"/>
      <c r="Z698" s="106"/>
    </row>
    <row r="699" spans="1:26" ht="13.5" customHeight="1" x14ac:dyDescent="0.2">
      <c r="A699" s="106"/>
      <c r="B699" s="106"/>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106"/>
      <c r="Y699" s="106"/>
      <c r="Z699" s="106"/>
    </row>
    <row r="700" spans="1:26" ht="13.5" customHeight="1" x14ac:dyDescent="0.2">
      <c r="A700" s="106"/>
      <c r="B700" s="106"/>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106"/>
      <c r="Y700" s="106"/>
      <c r="Z700" s="106"/>
    </row>
    <row r="701" spans="1:26" ht="13.5" customHeight="1" x14ac:dyDescent="0.2">
      <c r="A701" s="106"/>
      <c r="B701" s="106"/>
      <c r="C701" s="106"/>
      <c r="D701" s="106"/>
      <c r="E701" s="106"/>
      <c r="F701" s="106"/>
      <c r="G701" s="106"/>
      <c r="H701" s="106"/>
      <c r="I701" s="106"/>
      <c r="J701" s="106"/>
      <c r="K701" s="106"/>
      <c r="L701" s="106"/>
      <c r="M701" s="106"/>
      <c r="N701" s="106"/>
      <c r="O701" s="106"/>
      <c r="P701" s="106"/>
      <c r="Q701" s="106"/>
      <c r="R701" s="106"/>
      <c r="S701" s="106"/>
      <c r="T701" s="106"/>
      <c r="U701" s="106"/>
      <c r="V701" s="106"/>
      <c r="W701" s="106"/>
      <c r="X701" s="106"/>
      <c r="Y701" s="106"/>
      <c r="Z701" s="106"/>
    </row>
    <row r="702" spans="1:26" ht="13.5" customHeight="1" x14ac:dyDescent="0.2">
      <c r="A702" s="106"/>
      <c r="B702" s="106"/>
      <c r="C702" s="106"/>
      <c r="D702" s="106"/>
      <c r="E702" s="106"/>
      <c r="F702" s="106"/>
      <c r="G702" s="106"/>
      <c r="H702" s="106"/>
      <c r="I702" s="106"/>
      <c r="J702" s="106"/>
      <c r="K702" s="106"/>
      <c r="L702" s="106"/>
      <c r="M702" s="106"/>
      <c r="N702" s="106"/>
      <c r="O702" s="106"/>
      <c r="P702" s="106"/>
      <c r="Q702" s="106"/>
      <c r="R702" s="106"/>
      <c r="S702" s="106"/>
      <c r="T702" s="106"/>
      <c r="U702" s="106"/>
      <c r="V702" s="106"/>
      <c r="W702" s="106"/>
      <c r="X702" s="106"/>
      <c r="Y702" s="106"/>
      <c r="Z702" s="106"/>
    </row>
    <row r="703" spans="1:26" ht="13.5" customHeight="1" x14ac:dyDescent="0.2">
      <c r="A703" s="106"/>
      <c r="B703" s="106"/>
      <c r="C703" s="106"/>
      <c r="D703" s="106"/>
      <c r="E703" s="106"/>
      <c r="F703" s="106"/>
      <c r="G703" s="106"/>
      <c r="H703" s="106"/>
      <c r="I703" s="106"/>
      <c r="J703" s="106"/>
      <c r="K703" s="106"/>
      <c r="L703" s="106"/>
      <c r="M703" s="106"/>
      <c r="N703" s="106"/>
      <c r="O703" s="106"/>
      <c r="P703" s="106"/>
      <c r="Q703" s="106"/>
      <c r="R703" s="106"/>
      <c r="S703" s="106"/>
      <c r="T703" s="106"/>
      <c r="U703" s="106"/>
      <c r="V703" s="106"/>
      <c r="W703" s="106"/>
      <c r="X703" s="106"/>
      <c r="Y703" s="106"/>
      <c r="Z703" s="106"/>
    </row>
    <row r="704" spans="1:26" ht="13.5" customHeight="1" x14ac:dyDescent="0.2">
      <c r="A704" s="106"/>
      <c r="B704" s="106"/>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106"/>
      <c r="Y704" s="106"/>
      <c r="Z704" s="106"/>
    </row>
    <row r="705" spans="1:26" ht="13.5" customHeight="1" x14ac:dyDescent="0.2">
      <c r="A705" s="106"/>
      <c r="B705" s="106"/>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106"/>
      <c r="Y705" s="106"/>
      <c r="Z705" s="106"/>
    </row>
    <row r="706" spans="1:26" ht="13.5" customHeight="1" x14ac:dyDescent="0.2">
      <c r="A706" s="106"/>
      <c r="B706" s="106"/>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106"/>
      <c r="Y706" s="106"/>
      <c r="Z706" s="106"/>
    </row>
    <row r="707" spans="1:26" ht="13.5" customHeight="1" x14ac:dyDescent="0.2">
      <c r="A707" s="106"/>
      <c r="B707" s="106"/>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6"/>
      <c r="Z707" s="106"/>
    </row>
    <row r="708" spans="1:26" ht="13.5" customHeight="1" x14ac:dyDescent="0.2">
      <c r="A708" s="106"/>
      <c r="B708" s="106"/>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6"/>
      <c r="Z708" s="106"/>
    </row>
    <row r="709" spans="1:26" ht="13.5" customHeight="1" x14ac:dyDescent="0.2">
      <c r="A709" s="106"/>
      <c r="B709" s="106"/>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6"/>
      <c r="Z709" s="106"/>
    </row>
    <row r="710" spans="1:26" ht="13.5" customHeight="1" x14ac:dyDescent="0.2">
      <c r="A710" s="106"/>
      <c r="B710" s="106"/>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106"/>
      <c r="Y710" s="106"/>
      <c r="Z710" s="106"/>
    </row>
    <row r="711" spans="1:26" ht="13.5" customHeight="1" x14ac:dyDescent="0.2">
      <c r="A711" s="106"/>
      <c r="B711" s="106"/>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6"/>
      <c r="Z711" s="106"/>
    </row>
    <row r="712" spans="1:26" ht="13.5" customHeight="1" x14ac:dyDescent="0.2">
      <c r="A712" s="106"/>
      <c r="B712" s="106"/>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6"/>
      <c r="Z712" s="106"/>
    </row>
    <row r="713" spans="1:26" ht="13.5" customHeight="1" x14ac:dyDescent="0.2">
      <c r="A713" s="106"/>
      <c r="B713" s="106"/>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6"/>
      <c r="Z713" s="106"/>
    </row>
    <row r="714" spans="1:26" ht="13.5" customHeight="1" x14ac:dyDescent="0.2">
      <c r="A714" s="106"/>
      <c r="B714" s="106"/>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106"/>
      <c r="Y714" s="106"/>
      <c r="Z714" s="106"/>
    </row>
    <row r="715" spans="1:26" ht="13.5" customHeight="1" x14ac:dyDescent="0.2">
      <c r="A715" s="106"/>
      <c r="B715" s="106"/>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6"/>
      <c r="Z715" s="106"/>
    </row>
    <row r="716" spans="1:26" ht="13.5" customHeight="1" x14ac:dyDescent="0.2">
      <c r="A716" s="106"/>
      <c r="B716" s="106"/>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6"/>
      <c r="Z716" s="106"/>
    </row>
    <row r="717" spans="1:26" ht="13.5" customHeight="1" x14ac:dyDescent="0.2">
      <c r="A717" s="106"/>
      <c r="B717" s="106"/>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6"/>
      <c r="Z717" s="106"/>
    </row>
    <row r="718" spans="1:26" ht="13.5" customHeight="1" x14ac:dyDescent="0.2">
      <c r="A718" s="106"/>
      <c r="B718" s="106"/>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6"/>
      <c r="Z718" s="106"/>
    </row>
    <row r="719" spans="1:26" ht="13.5" customHeight="1" x14ac:dyDescent="0.2">
      <c r="A719" s="106"/>
      <c r="B719" s="106"/>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106"/>
      <c r="Y719" s="106"/>
      <c r="Z719" s="106"/>
    </row>
    <row r="720" spans="1:26" ht="13.5" customHeight="1" x14ac:dyDescent="0.2">
      <c r="A720" s="106"/>
      <c r="B720" s="106"/>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106"/>
      <c r="Y720" s="106"/>
      <c r="Z720" s="106"/>
    </row>
    <row r="721" spans="1:26" ht="13.5" customHeight="1" x14ac:dyDescent="0.2">
      <c r="A721" s="106"/>
      <c r="B721" s="106"/>
      <c r="C721" s="106"/>
      <c r="D721" s="106"/>
      <c r="E721" s="106"/>
      <c r="F721" s="106"/>
      <c r="G721" s="106"/>
      <c r="H721" s="106"/>
      <c r="I721" s="106"/>
      <c r="J721" s="106"/>
      <c r="K721" s="106"/>
      <c r="L721" s="106"/>
      <c r="M721" s="106"/>
      <c r="N721" s="106"/>
      <c r="O721" s="106"/>
      <c r="P721" s="106"/>
      <c r="Q721" s="106"/>
      <c r="R721" s="106"/>
      <c r="S721" s="106"/>
      <c r="T721" s="106"/>
      <c r="U721" s="106"/>
      <c r="V721" s="106"/>
      <c r="W721" s="106"/>
      <c r="X721" s="106"/>
      <c r="Y721" s="106"/>
      <c r="Z721" s="106"/>
    </row>
    <row r="722" spans="1:26" ht="13.5" customHeight="1" x14ac:dyDescent="0.2">
      <c r="A722" s="106"/>
      <c r="B722" s="106"/>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106"/>
      <c r="Y722" s="106"/>
      <c r="Z722" s="106"/>
    </row>
    <row r="723" spans="1:26" ht="13.5" customHeight="1" x14ac:dyDescent="0.2">
      <c r="A723" s="106"/>
      <c r="B723" s="106"/>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06"/>
      <c r="Y723" s="106"/>
      <c r="Z723" s="106"/>
    </row>
    <row r="724" spans="1:26" ht="13.5" customHeight="1" x14ac:dyDescent="0.2">
      <c r="A724" s="106"/>
      <c r="B724" s="106"/>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06"/>
      <c r="Y724" s="106"/>
      <c r="Z724" s="106"/>
    </row>
    <row r="725" spans="1:26" ht="13.5" customHeight="1" x14ac:dyDescent="0.2">
      <c r="A725" s="106"/>
      <c r="B725" s="106"/>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06"/>
      <c r="Y725" s="106"/>
      <c r="Z725" s="106"/>
    </row>
    <row r="726" spans="1:26" ht="13.5" customHeight="1" x14ac:dyDescent="0.2">
      <c r="A726" s="106"/>
      <c r="B726" s="106"/>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6"/>
      <c r="Z726" s="106"/>
    </row>
    <row r="727" spans="1:26" ht="13.5" customHeight="1" x14ac:dyDescent="0.2">
      <c r="A727" s="106"/>
      <c r="B727" s="106"/>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6"/>
      <c r="Z727" s="106"/>
    </row>
    <row r="728" spans="1:26" ht="13.5" customHeight="1" x14ac:dyDescent="0.2">
      <c r="A728" s="106"/>
      <c r="B728" s="106"/>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6"/>
      <c r="Z728" s="106"/>
    </row>
    <row r="729" spans="1:26" ht="13.5" customHeight="1" x14ac:dyDescent="0.2">
      <c r="A729" s="106"/>
      <c r="B729" s="106"/>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6"/>
      <c r="Z729" s="106"/>
    </row>
    <row r="730" spans="1:26" ht="13.5" customHeight="1" x14ac:dyDescent="0.2">
      <c r="A730" s="106"/>
      <c r="B730" s="106"/>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6"/>
      <c r="Z730" s="106"/>
    </row>
    <row r="731" spans="1:26" ht="13.5" customHeight="1" x14ac:dyDescent="0.2">
      <c r="A731" s="106"/>
      <c r="B731" s="106"/>
      <c r="C731" s="106"/>
      <c r="D731" s="106"/>
      <c r="E731" s="106"/>
      <c r="F731" s="106"/>
      <c r="G731" s="106"/>
      <c r="H731" s="106"/>
      <c r="I731" s="106"/>
      <c r="J731" s="106"/>
      <c r="K731" s="106"/>
      <c r="L731" s="106"/>
      <c r="M731" s="106"/>
      <c r="N731" s="106"/>
      <c r="O731" s="106"/>
      <c r="P731" s="106"/>
      <c r="Q731" s="106"/>
      <c r="R731" s="106"/>
      <c r="S731" s="106"/>
      <c r="T731" s="106"/>
      <c r="U731" s="106"/>
      <c r="V731" s="106"/>
      <c r="W731" s="106"/>
      <c r="X731" s="106"/>
      <c r="Y731" s="106"/>
      <c r="Z731" s="106"/>
    </row>
    <row r="732" spans="1:26" ht="13.5" customHeight="1" x14ac:dyDescent="0.2">
      <c r="A732" s="106"/>
      <c r="B732" s="106"/>
      <c r="C732" s="106"/>
      <c r="D732" s="106"/>
      <c r="E732" s="106"/>
      <c r="F732" s="106"/>
      <c r="G732" s="106"/>
      <c r="H732" s="106"/>
      <c r="I732" s="106"/>
      <c r="J732" s="106"/>
      <c r="K732" s="106"/>
      <c r="L732" s="106"/>
      <c r="M732" s="106"/>
      <c r="N732" s="106"/>
      <c r="O732" s="106"/>
      <c r="P732" s="106"/>
      <c r="Q732" s="106"/>
      <c r="R732" s="106"/>
      <c r="S732" s="106"/>
      <c r="T732" s="106"/>
      <c r="U732" s="106"/>
      <c r="V732" s="106"/>
      <c r="W732" s="106"/>
      <c r="X732" s="106"/>
      <c r="Y732" s="106"/>
      <c r="Z732" s="106"/>
    </row>
    <row r="733" spans="1:26" ht="13.5" customHeight="1" x14ac:dyDescent="0.2">
      <c r="A733" s="106"/>
      <c r="B733" s="106"/>
      <c r="C733" s="106"/>
      <c r="D733" s="106"/>
      <c r="E733" s="106"/>
      <c r="F733" s="106"/>
      <c r="G733" s="106"/>
      <c r="H733" s="106"/>
      <c r="I733" s="106"/>
      <c r="J733" s="106"/>
      <c r="K733" s="106"/>
      <c r="L733" s="106"/>
      <c r="M733" s="106"/>
      <c r="N733" s="106"/>
      <c r="O733" s="106"/>
      <c r="P733" s="106"/>
      <c r="Q733" s="106"/>
      <c r="R733" s="106"/>
      <c r="S733" s="106"/>
      <c r="T733" s="106"/>
      <c r="U733" s="106"/>
      <c r="V733" s="106"/>
      <c r="W733" s="106"/>
      <c r="X733" s="106"/>
      <c r="Y733" s="106"/>
      <c r="Z733" s="106"/>
    </row>
    <row r="734" spans="1:26" ht="13.5" customHeight="1" x14ac:dyDescent="0.2">
      <c r="A734" s="106"/>
      <c r="B734" s="106"/>
      <c r="C734" s="106"/>
      <c r="D734" s="106"/>
      <c r="E734" s="106"/>
      <c r="F734" s="106"/>
      <c r="G734" s="106"/>
      <c r="H734" s="106"/>
      <c r="I734" s="106"/>
      <c r="J734" s="106"/>
      <c r="K734" s="106"/>
      <c r="L734" s="106"/>
      <c r="M734" s="106"/>
      <c r="N734" s="106"/>
      <c r="O734" s="106"/>
      <c r="P734" s="106"/>
      <c r="Q734" s="106"/>
      <c r="R734" s="106"/>
      <c r="S734" s="106"/>
      <c r="T734" s="106"/>
      <c r="U734" s="106"/>
      <c r="V734" s="106"/>
      <c r="W734" s="106"/>
      <c r="X734" s="106"/>
      <c r="Y734" s="106"/>
      <c r="Z734" s="106"/>
    </row>
    <row r="735" spans="1:26" ht="13.5" customHeight="1" x14ac:dyDescent="0.2">
      <c r="A735" s="106"/>
      <c r="B735" s="106"/>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6"/>
      <c r="Z735" s="106"/>
    </row>
    <row r="736" spans="1:26" ht="13.5" customHeight="1" x14ac:dyDescent="0.2">
      <c r="A736" s="106"/>
      <c r="B736" s="106"/>
      <c r="C736" s="106"/>
      <c r="D736" s="106"/>
      <c r="E736" s="106"/>
      <c r="F736" s="106"/>
      <c r="G736" s="106"/>
      <c r="H736" s="106"/>
      <c r="I736" s="106"/>
      <c r="J736" s="106"/>
      <c r="K736" s="106"/>
      <c r="L736" s="106"/>
      <c r="M736" s="106"/>
      <c r="N736" s="106"/>
      <c r="O736" s="106"/>
      <c r="P736" s="106"/>
      <c r="Q736" s="106"/>
      <c r="R736" s="106"/>
      <c r="S736" s="106"/>
      <c r="T736" s="106"/>
      <c r="U736" s="106"/>
      <c r="V736" s="106"/>
      <c r="W736" s="106"/>
      <c r="X736" s="106"/>
      <c r="Y736" s="106"/>
      <c r="Z736" s="106"/>
    </row>
    <row r="737" spans="1:26" ht="13.5" customHeight="1" x14ac:dyDescent="0.2">
      <c r="A737" s="106"/>
      <c r="B737" s="106"/>
      <c r="C737" s="106"/>
      <c r="D737" s="106"/>
      <c r="E737" s="106"/>
      <c r="F737" s="106"/>
      <c r="G737" s="106"/>
      <c r="H737" s="106"/>
      <c r="I737" s="106"/>
      <c r="J737" s="106"/>
      <c r="K737" s="106"/>
      <c r="L737" s="106"/>
      <c r="M737" s="106"/>
      <c r="N737" s="106"/>
      <c r="O737" s="106"/>
      <c r="P737" s="106"/>
      <c r="Q737" s="106"/>
      <c r="R737" s="106"/>
      <c r="S737" s="106"/>
      <c r="T737" s="106"/>
      <c r="U737" s="106"/>
      <c r="V737" s="106"/>
      <c r="W737" s="106"/>
      <c r="X737" s="106"/>
      <c r="Y737" s="106"/>
      <c r="Z737" s="106"/>
    </row>
    <row r="738" spans="1:26" ht="13.5" customHeight="1" x14ac:dyDescent="0.2">
      <c r="A738" s="106"/>
      <c r="B738" s="106"/>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6"/>
      <c r="Z738" s="106"/>
    </row>
    <row r="739" spans="1:26" ht="13.5" customHeight="1" x14ac:dyDescent="0.2">
      <c r="A739" s="106"/>
      <c r="B739" s="106"/>
      <c r="C739" s="106"/>
      <c r="D739" s="106"/>
      <c r="E739" s="106"/>
      <c r="F739" s="106"/>
      <c r="G739" s="106"/>
      <c r="H739" s="106"/>
      <c r="I739" s="106"/>
      <c r="J739" s="106"/>
      <c r="K739" s="106"/>
      <c r="L739" s="106"/>
      <c r="M739" s="106"/>
      <c r="N739" s="106"/>
      <c r="O739" s="106"/>
      <c r="P739" s="106"/>
      <c r="Q739" s="106"/>
      <c r="R739" s="106"/>
      <c r="S739" s="106"/>
      <c r="T739" s="106"/>
      <c r="U739" s="106"/>
      <c r="V739" s="106"/>
      <c r="W739" s="106"/>
      <c r="X739" s="106"/>
      <c r="Y739" s="106"/>
      <c r="Z739" s="106"/>
    </row>
    <row r="740" spans="1:26" ht="13.5" customHeight="1" x14ac:dyDescent="0.2">
      <c r="A740" s="106"/>
      <c r="B740" s="106"/>
      <c r="C740" s="106"/>
      <c r="D740" s="106"/>
      <c r="E740" s="106"/>
      <c r="F740" s="106"/>
      <c r="G740" s="106"/>
      <c r="H740" s="106"/>
      <c r="I740" s="106"/>
      <c r="J740" s="106"/>
      <c r="K740" s="106"/>
      <c r="L740" s="106"/>
      <c r="M740" s="106"/>
      <c r="N740" s="106"/>
      <c r="O740" s="106"/>
      <c r="P740" s="106"/>
      <c r="Q740" s="106"/>
      <c r="R740" s="106"/>
      <c r="S740" s="106"/>
      <c r="T740" s="106"/>
      <c r="U740" s="106"/>
      <c r="V740" s="106"/>
      <c r="W740" s="106"/>
      <c r="X740" s="106"/>
      <c r="Y740" s="106"/>
      <c r="Z740" s="106"/>
    </row>
    <row r="741" spans="1:26" ht="13.5" customHeight="1" x14ac:dyDescent="0.2">
      <c r="A741" s="106"/>
      <c r="B741" s="106"/>
      <c r="C741" s="106"/>
      <c r="D741" s="106"/>
      <c r="E741" s="106"/>
      <c r="F741" s="106"/>
      <c r="G741" s="106"/>
      <c r="H741" s="106"/>
      <c r="I741" s="106"/>
      <c r="J741" s="106"/>
      <c r="K741" s="106"/>
      <c r="L741" s="106"/>
      <c r="M741" s="106"/>
      <c r="N741" s="106"/>
      <c r="O741" s="106"/>
      <c r="P741" s="106"/>
      <c r="Q741" s="106"/>
      <c r="R741" s="106"/>
      <c r="S741" s="106"/>
      <c r="T741" s="106"/>
      <c r="U741" s="106"/>
      <c r="V741" s="106"/>
      <c r="W741" s="106"/>
      <c r="X741" s="106"/>
      <c r="Y741" s="106"/>
      <c r="Z741" s="106"/>
    </row>
    <row r="742" spans="1:26" ht="13.5" customHeight="1" x14ac:dyDescent="0.2">
      <c r="A742" s="106"/>
      <c r="B742" s="106"/>
      <c r="C742" s="106"/>
      <c r="D742" s="106"/>
      <c r="E742" s="106"/>
      <c r="F742" s="106"/>
      <c r="G742" s="106"/>
      <c r="H742" s="106"/>
      <c r="I742" s="106"/>
      <c r="J742" s="106"/>
      <c r="K742" s="106"/>
      <c r="L742" s="106"/>
      <c r="M742" s="106"/>
      <c r="N742" s="106"/>
      <c r="O742" s="106"/>
      <c r="P742" s="106"/>
      <c r="Q742" s="106"/>
      <c r="R742" s="106"/>
      <c r="S742" s="106"/>
      <c r="T742" s="106"/>
      <c r="U742" s="106"/>
      <c r="V742" s="106"/>
      <c r="W742" s="106"/>
      <c r="X742" s="106"/>
      <c r="Y742" s="106"/>
      <c r="Z742" s="106"/>
    </row>
    <row r="743" spans="1:26" ht="13.5" customHeight="1" x14ac:dyDescent="0.2">
      <c r="A743" s="106"/>
      <c r="B743" s="106"/>
      <c r="C743" s="106"/>
      <c r="D743" s="106"/>
      <c r="E743" s="106"/>
      <c r="F743" s="106"/>
      <c r="G743" s="106"/>
      <c r="H743" s="106"/>
      <c r="I743" s="106"/>
      <c r="J743" s="106"/>
      <c r="K743" s="106"/>
      <c r="L743" s="106"/>
      <c r="M743" s="106"/>
      <c r="N743" s="106"/>
      <c r="O743" s="106"/>
      <c r="P743" s="106"/>
      <c r="Q743" s="106"/>
      <c r="R743" s="106"/>
      <c r="S743" s="106"/>
      <c r="T743" s="106"/>
      <c r="U743" s="106"/>
      <c r="V743" s="106"/>
      <c r="W743" s="106"/>
      <c r="X743" s="106"/>
      <c r="Y743" s="106"/>
      <c r="Z743" s="106"/>
    </row>
    <row r="744" spans="1:26" ht="13.5" customHeight="1" x14ac:dyDescent="0.2">
      <c r="A744" s="106"/>
      <c r="B744" s="106"/>
      <c r="C744" s="106"/>
      <c r="D744" s="106"/>
      <c r="E744" s="106"/>
      <c r="F744" s="106"/>
      <c r="G744" s="106"/>
      <c r="H744" s="106"/>
      <c r="I744" s="106"/>
      <c r="J744" s="106"/>
      <c r="K744" s="106"/>
      <c r="L744" s="106"/>
      <c r="M744" s="106"/>
      <c r="N744" s="106"/>
      <c r="O744" s="106"/>
      <c r="P744" s="106"/>
      <c r="Q744" s="106"/>
      <c r="R744" s="106"/>
      <c r="S744" s="106"/>
      <c r="T744" s="106"/>
      <c r="U744" s="106"/>
      <c r="V744" s="106"/>
      <c r="W744" s="106"/>
      <c r="X744" s="106"/>
      <c r="Y744" s="106"/>
      <c r="Z744" s="106"/>
    </row>
    <row r="745" spans="1:26" ht="13.5" customHeight="1" x14ac:dyDescent="0.2">
      <c r="A745" s="106"/>
      <c r="B745" s="106"/>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6"/>
      <c r="Z745" s="106"/>
    </row>
    <row r="746" spans="1:26" ht="13.5" customHeight="1" x14ac:dyDescent="0.2">
      <c r="A746" s="106"/>
      <c r="B746" s="106"/>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6"/>
      <c r="Z746" s="106"/>
    </row>
    <row r="747" spans="1:26" ht="13.5" customHeight="1" x14ac:dyDescent="0.2">
      <c r="A747" s="106"/>
      <c r="B747" s="106"/>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6"/>
      <c r="Z747" s="106"/>
    </row>
    <row r="748" spans="1:26" ht="13.5" customHeight="1" x14ac:dyDescent="0.2">
      <c r="A748" s="106"/>
      <c r="B748" s="106"/>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6"/>
      <c r="Z748" s="106"/>
    </row>
    <row r="749" spans="1:26" ht="13.5" customHeight="1" x14ac:dyDescent="0.2">
      <c r="A749" s="106"/>
      <c r="B749" s="106"/>
      <c r="C749" s="106"/>
      <c r="D749" s="106"/>
      <c r="E749" s="106"/>
      <c r="F749" s="106"/>
      <c r="G749" s="106"/>
      <c r="H749" s="106"/>
      <c r="I749" s="106"/>
      <c r="J749" s="106"/>
      <c r="K749" s="106"/>
      <c r="L749" s="106"/>
      <c r="M749" s="106"/>
      <c r="N749" s="106"/>
      <c r="O749" s="106"/>
      <c r="P749" s="106"/>
      <c r="Q749" s="106"/>
      <c r="R749" s="106"/>
      <c r="S749" s="106"/>
      <c r="T749" s="106"/>
      <c r="U749" s="106"/>
      <c r="V749" s="106"/>
      <c r="W749" s="106"/>
      <c r="X749" s="106"/>
      <c r="Y749" s="106"/>
      <c r="Z749" s="106"/>
    </row>
    <row r="750" spans="1:26" ht="13.5" customHeight="1" x14ac:dyDescent="0.2">
      <c r="A750" s="106"/>
      <c r="B750" s="106"/>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6"/>
      <c r="Z750" s="106"/>
    </row>
    <row r="751" spans="1:26" ht="13.5" customHeight="1" x14ac:dyDescent="0.2">
      <c r="A751" s="106"/>
      <c r="B751" s="106"/>
      <c r="C751" s="106"/>
      <c r="D751" s="106"/>
      <c r="E751" s="106"/>
      <c r="F751" s="106"/>
      <c r="G751" s="106"/>
      <c r="H751" s="106"/>
      <c r="I751" s="106"/>
      <c r="J751" s="106"/>
      <c r="K751" s="106"/>
      <c r="L751" s="106"/>
      <c r="M751" s="106"/>
      <c r="N751" s="106"/>
      <c r="O751" s="106"/>
      <c r="P751" s="106"/>
      <c r="Q751" s="106"/>
      <c r="R751" s="106"/>
      <c r="S751" s="106"/>
      <c r="T751" s="106"/>
      <c r="U751" s="106"/>
      <c r="V751" s="106"/>
      <c r="W751" s="106"/>
      <c r="X751" s="106"/>
      <c r="Y751" s="106"/>
      <c r="Z751" s="106"/>
    </row>
    <row r="752" spans="1:26" ht="13.5" customHeight="1" x14ac:dyDescent="0.2">
      <c r="A752" s="106"/>
      <c r="B752" s="106"/>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6"/>
      <c r="Z752" s="106"/>
    </row>
    <row r="753" spans="1:26" ht="13.5" customHeight="1" x14ac:dyDescent="0.2">
      <c r="A753" s="106"/>
      <c r="B753" s="106"/>
      <c r="C753" s="106"/>
      <c r="D753" s="106"/>
      <c r="E753" s="106"/>
      <c r="F753" s="106"/>
      <c r="G753" s="106"/>
      <c r="H753" s="106"/>
      <c r="I753" s="106"/>
      <c r="J753" s="106"/>
      <c r="K753" s="106"/>
      <c r="L753" s="106"/>
      <c r="M753" s="106"/>
      <c r="N753" s="106"/>
      <c r="O753" s="106"/>
      <c r="P753" s="106"/>
      <c r="Q753" s="106"/>
      <c r="R753" s="106"/>
      <c r="S753" s="106"/>
      <c r="T753" s="106"/>
      <c r="U753" s="106"/>
      <c r="V753" s="106"/>
      <c r="W753" s="106"/>
      <c r="X753" s="106"/>
      <c r="Y753" s="106"/>
      <c r="Z753" s="106"/>
    </row>
    <row r="754" spans="1:26" ht="13.5" customHeight="1" x14ac:dyDescent="0.2">
      <c r="A754" s="106"/>
      <c r="B754" s="106"/>
      <c r="C754" s="106"/>
      <c r="D754" s="106"/>
      <c r="E754" s="106"/>
      <c r="F754" s="106"/>
      <c r="G754" s="106"/>
      <c r="H754" s="106"/>
      <c r="I754" s="106"/>
      <c r="J754" s="106"/>
      <c r="K754" s="106"/>
      <c r="L754" s="106"/>
      <c r="M754" s="106"/>
      <c r="N754" s="106"/>
      <c r="O754" s="106"/>
      <c r="P754" s="106"/>
      <c r="Q754" s="106"/>
      <c r="R754" s="106"/>
      <c r="S754" s="106"/>
      <c r="T754" s="106"/>
      <c r="U754" s="106"/>
      <c r="V754" s="106"/>
      <c r="W754" s="106"/>
      <c r="X754" s="106"/>
      <c r="Y754" s="106"/>
      <c r="Z754" s="106"/>
    </row>
    <row r="755" spans="1:26" ht="13.5" customHeight="1" x14ac:dyDescent="0.2">
      <c r="A755" s="106"/>
      <c r="B755" s="106"/>
      <c r="C755" s="106"/>
      <c r="D755" s="106"/>
      <c r="E755" s="106"/>
      <c r="F755" s="106"/>
      <c r="G755" s="106"/>
      <c r="H755" s="106"/>
      <c r="I755" s="106"/>
      <c r="J755" s="106"/>
      <c r="K755" s="106"/>
      <c r="L755" s="106"/>
      <c r="M755" s="106"/>
      <c r="N755" s="106"/>
      <c r="O755" s="106"/>
      <c r="P755" s="106"/>
      <c r="Q755" s="106"/>
      <c r="R755" s="106"/>
      <c r="S755" s="106"/>
      <c r="T755" s="106"/>
      <c r="U755" s="106"/>
      <c r="V755" s="106"/>
      <c r="W755" s="106"/>
      <c r="X755" s="106"/>
      <c r="Y755" s="106"/>
      <c r="Z755" s="106"/>
    </row>
    <row r="756" spans="1:26" ht="13.5" customHeight="1" x14ac:dyDescent="0.2">
      <c r="A756" s="106"/>
      <c r="B756" s="106"/>
      <c r="C756" s="106"/>
      <c r="D756" s="106"/>
      <c r="E756" s="106"/>
      <c r="F756" s="106"/>
      <c r="G756" s="106"/>
      <c r="H756" s="106"/>
      <c r="I756" s="106"/>
      <c r="J756" s="106"/>
      <c r="K756" s="106"/>
      <c r="L756" s="106"/>
      <c r="M756" s="106"/>
      <c r="N756" s="106"/>
      <c r="O756" s="106"/>
      <c r="P756" s="106"/>
      <c r="Q756" s="106"/>
      <c r="R756" s="106"/>
      <c r="S756" s="106"/>
      <c r="T756" s="106"/>
      <c r="U756" s="106"/>
      <c r="V756" s="106"/>
      <c r="W756" s="106"/>
      <c r="X756" s="106"/>
      <c r="Y756" s="106"/>
      <c r="Z756" s="106"/>
    </row>
    <row r="757" spans="1:26" ht="13.5" customHeight="1" x14ac:dyDescent="0.2">
      <c r="A757" s="106"/>
      <c r="B757" s="106"/>
      <c r="C757" s="106"/>
      <c r="D757" s="106"/>
      <c r="E757" s="106"/>
      <c r="F757" s="106"/>
      <c r="G757" s="106"/>
      <c r="H757" s="106"/>
      <c r="I757" s="106"/>
      <c r="J757" s="106"/>
      <c r="K757" s="106"/>
      <c r="L757" s="106"/>
      <c r="M757" s="106"/>
      <c r="N757" s="106"/>
      <c r="O757" s="106"/>
      <c r="P757" s="106"/>
      <c r="Q757" s="106"/>
      <c r="R757" s="106"/>
      <c r="S757" s="106"/>
      <c r="T757" s="106"/>
      <c r="U757" s="106"/>
      <c r="V757" s="106"/>
      <c r="W757" s="106"/>
      <c r="X757" s="106"/>
      <c r="Y757" s="106"/>
      <c r="Z757" s="106"/>
    </row>
    <row r="758" spans="1:26" ht="13.5" customHeight="1" x14ac:dyDescent="0.2">
      <c r="A758" s="106"/>
      <c r="B758" s="106"/>
      <c r="C758" s="106"/>
      <c r="D758" s="106"/>
      <c r="E758" s="106"/>
      <c r="F758" s="106"/>
      <c r="G758" s="106"/>
      <c r="H758" s="106"/>
      <c r="I758" s="106"/>
      <c r="J758" s="106"/>
      <c r="K758" s="106"/>
      <c r="L758" s="106"/>
      <c r="M758" s="106"/>
      <c r="N758" s="106"/>
      <c r="O758" s="106"/>
      <c r="P758" s="106"/>
      <c r="Q758" s="106"/>
      <c r="R758" s="106"/>
      <c r="S758" s="106"/>
      <c r="T758" s="106"/>
      <c r="U758" s="106"/>
      <c r="V758" s="106"/>
      <c r="W758" s="106"/>
      <c r="X758" s="106"/>
      <c r="Y758" s="106"/>
      <c r="Z758" s="106"/>
    </row>
    <row r="759" spans="1:26" ht="13.5" customHeight="1" x14ac:dyDescent="0.2">
      <c r="A759" s="106"/>
      <c r="B759" s="106"/>
      <c r="C759" s="106"/>
      <c r="D759" s="106"/>
      <c r="E759" s="106"/>
      <c r="F759" s="106"/>
      <c r="G759" s="106"/>
      <c r="H759" s="106"/>
      <c r="I759" s="106"/>
      <c r="J759" s="106"/>
      <c r="K759" s="106"/>
      <c r="L759" s="106"/>
      <c r="M759" s="106"/>
      <c r="N759" s="106"/>
      <c r="O759" s="106"/>
      <c r="P759" s="106"/>
      <c r="Q759" s="106"/>
      <c r="R759" s="106"/>
      <c r="S759" s="106"/>
      <c r="T759" s="106"/>
      <c r="U759" s="106"/>
      <c r="V759" s="106"/>
      <c r="W759" s="106"/>
      <c r="X759" s="106"/>
      <c r="Y759" s="106"/>
      <c r="Z759" s="106"/>
    </row>
    <row r="760" spans="1:26" ht="13.5" customHeight="1" x14ac:dyDescent="0.2">
      <c r="A760" s="106"/>
      <c r="B760" s="106"/>
      <c r="C760" s="106"/>
      <c r="D760" s="106"/>
      <c r="E760" s="106"/>
      <c r="F760" s="106"/>
      <c r="G760" s="106"/>
      <c r="H760" s="106"/>
      <c r="I760" s="106"/>
      <c r="J760" s="106"/>
      <c r="K760" s="106"/>
      <c r="L760" s="106"/>
      <c r="M760" s="106"/>
      <c r="N760" s="106"/>
      <c r="O760" s="106"/>
      <c r="P760" s="106"/>
      <c r="Q760" s="106"/>
      <c r="R760" s="106"/>
      <c r="S760" s="106"/>
      <c r="T760" s="106"/>
      <c r="U760" s="106"/>
      <c r="V760" s="106"/>
      <c r="W760" s="106"/>
      <c r="X760" s="106"/>
      <c r="Y760" s="106"/>
      <c r="Z760" s="106"/>
    </row>
    <row r="761" spans="1:26" ht="13.5" customHeight="1" x14ac:dyDescent="0.2">
      <c r="A761" s="106"/>
      <c r="B761" s="106"/>
      <c r="C761" s="106"/>
      <c r="D761" s="106"/>
      <c r="E761" s="106"/>
      <c r="F761" s="106"/>
      <c r="G761" s="106"/>
      <c r="H761" s="106"/>
      <c r="I761" s="106"/>
      <c r="J761" s="106"/>
      <c r="K761" s="106"/>
      <c r="L761" s="106"/>
      <c r="M761" s="106"/>
      <c r="N761" s="106"/>
      <c r="O761" s="106"/>
      <c r="P761" s="106"/>
      <c r="Q761" s="106"/>
      <c r="R761" s="106"/>
      <c r="S761" s="106"/>
      <c r="T761" s="106"/>
      <c r="U761" s="106"/>
      <c r="V761" s="106"/>
      <c r="W761" s="106"/>
      <c r="X761" s="106"/>
      <c r="Y761" s="106"/>
      <c r="Z761" s="106"/>
    </row>
    <row r="762" spans="1:26" ht="13.5" customHeight="1" x14ac:dyDescent="0.2">
      <c r="A762" s="106"/>
      <c r="B762" s="106"/>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106"/>
      <c r="Z762" s="106"/>
    </row>
    <row r="763" spans="1:26" ht="13.5" customHeight="1" x14ac:dyDescent="0.2">
      <c r="A763" s="106"/>
      <c r="B763" s="106"/>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6"/>
      <c r="Z763" s="106"/>
    </row>
    <row r="764" spans="1:26" ht="13.5" customHeight="1" x14ac:dyDescent="0.2">
      <c r="A764" s="106"/>
      <c r="B764" s="106"/>
      <c r="C764" s="106"/>
      <c r="D764" s="106"/>
      <c r="E764" s="106"/>
      <c r="F764" s="106"/>
      <c r="G764" s="106"/>
      <c r="H764" s="106"/>
      <c r="I764" s="106"/>
      <c r="J764" s="106"/>
      <c r="K764" s="106"/>
      <c r="L764" s="106"/>
      <c r="M764" s="106"/>
      <c r="N764" s="106"/>
      <c r="O764" s="106"/>
      <c r="P764" s="106"/>
      <c r="Q764" s="106"/>
      <c r="R764" s="106"/>
      <c r="S764" s="106"/>
      <c r="T764" s="106"/>
      <c r="U764" s="106"/>
      <c r="V764" s="106"/>
      <c r="W764" s="106"/>
      <c r="X764" s="106"/>
      <c r="Y764" s="106"/>
      <c r="Z764" s="106"/>
    </row>
    <row r="765" spans="1:26" ht="13.5" customHeight="1" x14ac:dyDescent="0.2">
      <c r="A765" s="106"/>
      <c r="B765" s="106"/>
      <c r="C765" s="106"/>
      <c r="D765" s="106"/>
      <c r="E765" s="106"/>
      <c r="F765" s="106"/>
      <c r="G765" s="106"/>
      <c r="H765" s="106"/>
      <c r="I765" s="106"/>
      <c r="J765" s="106"/>
      <c r="K765" s="106"/>
      <c r="L765" s="106"/>
      <c r="M765" s="106"/>
      <c r="N765" s="106"/>
      <c r="O765" s="106"/>
      <c r="P765" s="106"/>
      <c r="Q765" s="106"/>
      <c r="R765" s="106"/>
      <c r="S765" s="106"/>
      <c r="T765" s="106"/>
      <c r="U765" s="106"/>
      <c r="V765" s="106"/>
      <c r="W765" s="106"/>
      <c r="X765" s="106"/>
      <c r="Y765" s="106"/>
      <c r="Z765" s="106"/>
    </row>
    <row r="766" spans="1:26" ht="13.5" customHeight="1" x14ac:dyDescent="0.2">
      <c r="A766" s="106"/>
      <c r="B766" s="106"/>
      <c r="C766" s="106"/>
      <c r="D766" s="106"/>
      <c r="E766" s="106"/>
      <c r="F766" s="106"/>
      <c r="G766" s="106"/>
      <c r="H766" s="106"/>
      <c r="I766" s="106"/>
      <c r="J766" s="106"/>
      <c r="K766" s="106"/>
      <c r="L766" s="106"/>
      <c r="M766" s="106"/>
      <c r="N766" s="106"/>
      <c r="O766" s="106"/>
      <c r="P766" s="106"/>
      <c r="Q766" s="106"/>
      <c r="R766" s="106"/>
      <c r="S766" s="106"/>
      <c r="T766" s="106"/>
      <c r="U766" s="106"/>
      <c r="V766" s="106"/>
      <c r="W766" s="106"/>
      <c r="X766" s="106"/>
      <c r="Y766" s="106"/>
      <c r="Z766" s="106"/>
    </row>
    <row r="767" spans="1:26" ht="13.5" customHeight="1" x14ac:dyDescent="0.2">
      <c r="A767" s="106"/>
      <c r="B767" s="106"/>
      <c r="C767" s="106"/>
      <c r="D767" s="106"/>
      <c r="E767" s="106"/>
      <c r="F767" s="106"/>
      <c r="G767" s="106"/>
      <c r="H767" s="106"/>
      <c r="I767" s="106"/>
      <c r="J767" s="106"/>
      <c r="K767" s="106"/>
      <c r="L767" s="106"/>
      <c r="M767" s="106"/>
      <c r="N767" s="106"/>
      <c r="O767" s="106"/>
      <c r="P767" s="106"/>
      <c r="Q767" s="106"/>
      <c r="R767" s="106"/>
      <c r="S767" s="106"/>
      <c r="T767" s="106"/>
      <c r="U767" s="106"/>
      <c r="V767" s="106"/>
      <c r="W767" s="106"/>
      <c r="X767" s="106"/>
      <c r="Y767" s="106"/>
      <c r="Z767" s="106"/>
    </row>
    <row r="768" spans="1:26" ht="13.5" customHeight="1" x14ac:dyDescent="0.2">
      <c r="A768" s="106"/>
      <c r="B768" s="106"/>
      <c r="C768" s="106"/>
      <c r="D768" s="106"/>
      <c r="E768" s="106"/>
      <c r="F768" s="106"/>
      <c r="G768" s="106"/>
      <c r="H768" s="106"/>
      <c r="I768" s="106"/>
      <c r="J768" s="106"/>
      <c r="K768" s="106"/>
      <c r="L768" s="106"/>
      <c r="M768" s="106"/>
      <c r="N768" s="106"/>
      <c r="O768" s="106"/>
      <c r="P768" s="106"/>
      <c r="Q768" s="106"/>
      <c r="R768" s="106"/>
      <c r="S768" s="106"/>
      <c r="T768" s="106"/>
      <c r="U768" s="106"/>
      <c r="V768" s="106"/>
      <c r="W768" s="106"/>
      <c r="X768" s="106"/>
      <c r="Y768" s="106"/>
      <c r="Z768" s="106"/>
    </row>
    <row r="769" spans="1:26" ht="13.5" customHeight="1" x14ac:dyDescent="0.2">
      <c r="A769" s="106"/>
      <c r="B769" s="106"/>
      <c r="C769" s="106"/>
      <c r="D769" s="106"/>
      <c r="E769" s="106"/>
      <c r="F769" s="106"/>
      <c r="G769" s="106"/>
      <c r="H769" s="106"/>
      <c r="I769" s="106"/>
      <c r="J769" s="106"/>
      <c r="K769" s="106"/>
      <c r="L769" s="106"/>
      <c r="M769" s="106"/>
      <c r="N769" s="106"/>
      <c r="O769" s="106"/>
      <c r="P769" s="106"/>
      <c r="Q769" s="106"/>
      <c r="R769" s="106"/>
      <c r="S769" s="106"/>
      <c r="T769" s="106"/>
      <c r="U769" s="106"/>
      <c r="V769" s="106"/>
      <c r="W769" s="106"/>
      <c r="X769" s="106"/>
      <c r="Y769" s="106"/>
      <c r="Z769" s="106"/>
    </row>
    <row r="770" spans="1:26" ht="13.5" customHeight="1" x14ac:dyDescent="0.2">
      <c r="A770" s="106"/>
      <c r="B770" s="106"/>
      <c r="C770" s="106"/>
      <c r="D770" s="106"/>
      <c r="E770" s="106"/>
      <c r="F770" s="106"/>
      <c r="G770" s="106"/>
      <c r="H770" s="106"/>
      <c r="I770" s="106"/>
      <c r="J770" s="106"/>
      <c r="K770" s="106"/>
      <c r="L770" s="106"/>
      <c r="M770" s="106"/>
      <c r="N770" s="106"/>
      <c r="O770" s="106"/>
      <c r="P770" s="106"/>
      <c r="Q770" s="106"/>
      <c r="R770" s="106"/>
      <c r="S770" s="106"/>
      <c r="T770" s="106"/>
      <c r="U770" s="106"/>
      <c r="V770" s="106"/>
      <c r="W770" s="106"/>
      <c r="X770" s="106"/>
      <c r="Y770" s="106"/>
      <c r="Z770" s="106"/>
    </row>
    <row r="771" spans="1:26" ht="13.5" customHeight="1" x14ac:dyDescent="0.2">
      <c r="A771" s="106"/>
      <c r="B771" s="106"/>
      <c r="C771" s="106"/>
      <c r="D771" s="106"/>
      <c r="E771" s="106"/>
      <c r="F771" s="106"/>
      <c r="G771" s="106"/>
      <c r="H771" s="106"/>
      <c r="I771" s="106"/>
      <c r="J771" s="106"/>
      <c r="K771" s="106"/>
      <c r="L771" s="106"/>
      <c r="M771" s="106"/>
      <c r="N771" s="106"/>
      <c r="O771" s="106"/>
      <c r="P771" s="106"/>
      <c r="Q771" s="106"/>
      <c r="R771" s="106"/>
      <c r="S771" s="106"/>
      <c r="T771" s="106"/>
      <c r="U771" s="106"/>
      <c r="V771" s="106"/>
      <c r="W771" s="106"/>
      <c r="X771" s="106"/>
      <c r="Y771" s="106"/>
      <c r="Z771" s="106"/>
    </row>
    <row r="772" spans="1:26" ht="13.5" customHeight="1" x14ac:dyDescent="0.2">
      <c r="A772" s="106"/>
      <c r="B772" s="106"/>
      <c r="C772" s="106"/>
      <c r="D772" s="106"/>
      <c r="E772" s="106"/>
      <c r="F772" s="106"/>
      <c r="G772" s="106"/>
      <c r="H772" s="106"/>
      <c r="I772" s="106"/>
      <c r="J772" s="106"/>
      <c r="K772" s="106"/>
      <c r="L772" s="106"/>
      <c r="M772" s="106"/>
      <c r="N772" s="106"/>
      <c r="O772" s="106"/>
      <c r="P772" s="106"/>
      <c r="Q772" s="106"/>
      <c r="R772" s="106"/>
      <c r="S772" s="106"/>
      <c r="T772" s="106"/>
      <c r="U772" s="106"/>
      <c r="V772" s="106"/>
      <c r="W772" s="106"/>
      <c r="X772" s="106"/>
      <c r="Y772" s="106"/>
      <c r="Z772" s="106"/>
    </row>
    <row r="773" spans="1:26" ht="13.5" customHeight="1" x14ac:dyDescent="0.2">
      <c r="A773" s="106"/>
      <c r="B773" s="106"/>
      <c r="C773" s="106"/>
      <c r="D773" s="106"/>
      <c r="E773" s="106"/>
      <c r="F773" s="106"/>
      <c r="G773" s="106"/>
      <c r="H773" s="106"/>
      <c r="I773" s="106"/>
      <c r="J773" s="106"/>
      <c r="K773" s="106"/>
      <c r="L773" s="106"/>
      <c r="M773" s="106"/>
      <c r="N773" s="106"/>
      <c r="O773" s="106"/>
      <c r="P773" s="106"/>
      <c r="Q773" s="106"/>
      <c r="R773" s="106"/>
      <c r="S773" s="106"/>
      <c r="T773" s="106"/>
      <c r="U773" s="106"/>
      <c r="V773" s="106"/>
      <c r="W773" s="106"/>
      <c r="X773" s="106"/>
      <c r="Y773" s="106"/>
      <c r="Z773" s="106"/>
    </row>
    <row r="774" spans="1:26" ht="13.5" customHeight="1" x14ac:dyDescent="0.2">
      <c r="A774" s="106"/>
      <c r="B774" s="106"/>
      <c r="C774" s="106"/>
      <c r="D774" s="106"/>
      <c r="E774" s="106"/>
      <c r="F774" s="106"/>
      <c r="G774" s="106"/>
      <c r="H774" s="106"/>
      <c r="I774" s="106"/>
      <c r="J774" s="106"/>
      <c r="K774" s="106"/>
      <c r="L774" s="106"/>
      <c r="M774" s="106"/>
      <c r="N774" s="106"/>
      <c r="O774" s="106"/>
      <c r="P774" s="106"/>
      <c r="Q774" s="106"/>
      <c r="R774" s="106"/>
      <c r="S774" s="106"/>
      <c r="T774" s="106"/>
      <c r="U774" s="106"/>
      <c r="V774" s="106"/>
      <c r="W774" s="106"/>
      <c r="X774" s="106"/>
      <c r="Y774" s="106"/>
      <c r="Z774" s="106"/>
    </row>
    <row r="775" spans="1:26" ht="13.5" customHeight="1" x14ac:dyDescent="0.2">
      <c r="A775" s="106"/>
      <c r="B775" s="106"/>
      <c r="C775" s="106"/>
      <c r="D775" s="106"/>
      <c r="E775" s="106"/>
      <c r="F775" s="106"/>
      <c r="G775" s="106"/>
      <c r="H775" s="106"/>
      <c r="I775" s="106"/>
      <c r="J775" s="106"/>
      <c r="K775" s="106"/>
      <c r="L775" s="106"/>
      <c r="M775" s="106"/>
      <c r="N775" s="106"/>
      <c r="O775" s="106"/>
      <c r="P775" s="106"/>
      <c r="Q775" s="106"/>
      <c r="R775" s="106"/>
      <c r="S775" s="106"/>
      <c r="T775" s="106"/>
      <c r="U775" s="106"/>
      <c r="V775" s="106"/>
      <c r="W775" s="106"/>
      <c r="X775" s="106"/>
      <c r="Y775" s="106"/>
      <c r="Z775" s="106"/>
    </row>
    <row r="776" spans="1:26" ht="13.5" customHeight="1" x14ac:dyDescent="0.2">
      <c r="A776" s="106"/>
      <c r="B776" s="106"/>
      <c r="C776" s="106"/>
      <c r="D776" s="106"/>
      <c r="E776" s="106"/>
      <c r="F776" s="106"/>
      <c r="G776" s="106"/>
      <c r="H776" s="106"/>
      <c r="I776" s="106"/>
      <c r="J776" s="106"/>
      <c r="K776" s="106"/>
      <c r="L776" s="106"/>
      <c r="M776" s="106"/>
      <c r="N776" s="106"/>
      <c r="O776" s="106"/>
      <c r="P776" s="106"/>
      <c r="Q776" s="106"/>
      <c r="R776" s="106"/>
      <c r="S776" s="106"/>
      <c r="T776" s="106"/>
      <c r="U776" s="106"/>
      <c r="V776" s="106"/>
      <c r="W776" s="106"/>
      <c r="X776" s="106"/>
      <c r="Y776" s="106"/>
      <c r="Z776" s="106"/>
    </row>
    <row r="777" spans="1:26" ht="13.5" customHeight="1" x14ac:dyDescent="0.2">
      <c r="A777" s="106"/>
      <c r="B777" s="106"/>
      <c r="C777" s="106"/>
      <c r="D777" s="106"/>
      <c r="E777" s="106"/>
      <c r="F777" s="106"/>
      <c r="G777" s="106"/>
      <c r="H777" s="106"/>
      <c r="I777" s="106"/>
      <c r="J777" s="106"/>
      <c r="K777" s="106"/>
      <c r="L777" s="106"/>
      <c r="M777" s="106"/>
      <c r="N777" s="106"/>
      <c r="O777" s="106"/>
      <c r="P777" s="106"/>
      <c r="Q777" s="106"/>
      <c r="R777" s="106"/>
      <c r="S777" s="106"/>
      <c r="T777" s="106"/>
      <c r="U777" s="106"/>
      <c r="V777" s="106"/>
      <c r="W777" s="106"/>
      <c r="X777" s="106"/>
      <c r="Y777" s="106"/>
      <c r="Z777" s="106"/>
    </row>
    <row r="778" spans="1:26" ht="13.5" customHeight="1" x14ac:dyDescent="0.2">
      <c r="A778" s="106"/>
      <c r="B778" s="106"/>
      <c r="C778" s="106"/>
      <c r="D778" s="106"/>
      <c r="E778" s="106"/>
      <c r="F778" s="106"/>
      <c r="G778" s="106"/>
      <c r="H778" s="106"/>
      <c r="I778" s="106"/>
      <c r="J778" s="106"/>
      <c r="K778" s="106"/>
      <c r="L778" s="106"/>
      <c r="M778" s="106"/>
      <c r="N778" s="106"/>
      <c r="O778" s="106"/>
      <c r="P778" s="106"/>
      <c r="Q778" s="106"/>
      <c r="R778" s="106"/>
      <c r="S778" s="106"/>
      <c r="T778" s="106"/>
      <c r="U778" s="106"/>
      <c r="V778" s="106"/>
      <c r="W778" s="106"/>
      <c r="X778" s="106"/>
      <c r="Y778" s="106"/>
      <c r="Z778" s="106"/>
    </row>
    <row r="779" spans="1:26" ht="13.5" customHeight="1" x14ac:dyDescent="0.2">
      <c r="A779" s="106"/>
      <c r="B779" s="106"/>
      <c r="C779" s="106"/>
      <c r="D779" s="106"/>
      <c r="E779" s="106"/>
      <c r="F779" s="106"/>
      <c r="G779" s="106"/>
      <c r="H779" s="106"/>
      <c r="I779" s="106"/>
      <c r="J779" s="106"/>
      <c r="K779" s="106"/>
      <c r="L779" s="106"/>
      <c r="M779" s="106"/>
      <c r="N779" s="106"/>
      <c r="O779" s="106"/>
      <c r="P779" s="106"/>
      <c r="Q779" s="106"/>
      <c r="R779" s="106"/>
      <c r="S779" s="106"/>
      <c r="T779" s="106"/>
      <c r="U779" s="106"/>
      <c r="V779" s="106"/>
      <c r="W779" s="106"/>
      <c r="X779" s="106"/>
      <c r="Y779" s="106"/>
      <c r="Z779" s="106"/>
    </row>
    <row r="780" spans="1:26" ht="13.5" customHeight="1" x14ac:dyDescent="0.2">
      <c r="A780" s="106"/>
      <c r="B780" s="106"/>
      <c r="C780" s="106"/>
      <c r="D780" s="106"/>
      <c r="E780" s="106"/>
      <c r="F780" s="106"/>
      <c r="G780" s="106"/>
      <c r="H780" s="106"/>
      <c r="I780" s="106"/>
      <c r="J780" s="106"/>
      <c r="K780" s="106"/>
      <c r="L780" s="106"/>
      <c r="M780" s="106"/>
      <c r="N780" s="106"/>
      <c r="O780" s="106"/>
      <c r="P780" s="106"/>
      <c r="Q780" s="106"/>
      <c r="R780" s="106"/>
      <c r="S780" s="106"/>
      <c r="T780" s="106"/>
      <c r="U780" s="106"/>
      <c r="V780" s="106"/>
      <c r="W780" s="106"/>
      <c r="X780" s="106"/>
      <c r="Y780" s="106"/>
      <c r="Z780" s="106"/>
    </row>
    <row r="781" spans="1:26" ht="13.5" customHeight="1" x14ac:dyDescent="0.2">
      <c r="A781" s="106"/>
      <c r="B781" s="106"/>
      <c r="C781" s="106"/>
      <c r="D781" s="106"/>
      <c r="E781" s="106"/>
      <c r="F781" s="106"/>
      <c r="G781" s="106"/>
      <c r="H781" s="106"/>
      <c r="I781" s="106"/>
      <c r="J781" s="106"/>
      <c r="K781" s="106"/>
      <c r="L781" s="106"/>
      <c r="M781" s="106"/>
      <c r="N781" s="106"/>
      <c r="O781" s="106"/>
      <c r="P781" s="106"/>
      <c r="Q781" s="106"/>
      <c r="R781" s="106"/>
      <c r="S781" s="106"/>
      <c r="T781" s="106"/>
      <c r="U781" s="106"/>
      <c r="V781" s="106"/>
      <c r="W781" s="106"/>
      <c r="X781" s="106"/>
      <c r="Y781" s="106"/>
      <c r="Z781" s="106"/>
    </row>
    <row r="782" spans="1:26" ht="13.5" customHeight="1" x14ac:dyDescent="0.2">
      <c r="A782" s="106"/>
      <c r="B782" s="106"/>
      <c r="C782" s="106"/>
      <c r="D782" s="106"/>
      <c r="E782" s="106"/>
      <c r="F782" s="106"/>
      <c r="G782" s="106"/>
      <c r="H782" s="106"/>
      <c r="I782" s="106"/>
      <c r="J782" s="106"/>
      <c r="K782" s="106"/>
      <c r="L782" s="106"/>
      <c r="M782" s="106"/>
      <c r="N782" s="106"/>
      <c r="O782" s="106"/>
      <c r="P782" s="106"/>
      <c r="Q782" s="106"/>
      <c r="R782" s="106"/>
      <c r="S782" s="106"/>
      <c r="T782" s="106"/>
      <c r="U782" s="106"/>
      <c r="V782" s="106"/>
      <c r="W782" s="106"/>
      <c r="X782" s="106"/>
      <c r="Y782" s="106"/>
      <c r="Z782" s="106"/>
    </row>
    <row r="783" spans="1:26" ht="13.5" customHeight="1" x14ac:dyDescent="0.2">
      <c r="A783" s="106"/>
      <c r="B783" s="106"/>
      <c r="C783" s="106"/>
      <c r="D783" s="106"/>
      <c r="E783" s="106"/>
      <c r="F783" s="106"/>
      <c r="G783" s="106"/>
      <c r="H783" s="106"/>
      <c r="I783" s="106"/>
      <c r="J783" s="106"/>
      <c r="K783" s="106"/>
      <c r="L783" s="106"/>
      <c r="M783" s="106"/>
      <c r="N783" s="106"/>
      <c r="O783" s="106"/>
      <c r="P783" s="106"/>
      <c r="Q783" s="106"/>
      <c r="R783" s="106"/>
      <c r="S783" s="106"/>
      <c r="T783" s="106"/>
      <c r="U783" s="106"/>
      <c r="V783" s="106"/>
      <c r="W783" s="106"/>
      <c r="X783" s="106"/>
      <c r="Y783" s="106"/>
      <c r="Z783" s="106"/>
    </row>
    <row r="784" spans="1:26" ht="13.5" customHeight="1" x14ac:dyDescent="0.2">
      <c r="A784" s="106"/>
      <c r="B784" s="106"/>
      <c r="C784" s="106"/>
      <c r="D784" s="106"/>
      <c r="E784" s="106"/>
      <c r="F784" s="106"/>
      <c r="G784" s="106"/>
      <c r="H784" s="106"/>
      <c r="I784" s="106"/>
      <c r="J784" s="106"/>
      <c r="K784" s="106"/>
      <c r="L784" s="106"/>
      <c r="M784" s="106"/>
      <c r="N784" s="106"/>
      <c r="O784" s="106"/>
      <c r="P784" s="106"/>
      <c r="Q784" s="106"/>
      <c r="R784" s="106"/>
      <c r="S784" s="106"/>
      <c r="T784" s="106"/>
      <c r="U784" s="106"/>
      <c r="V784" s="106"/>
      <c r="W784" s="106"/>
      <c r="X784" s="106"/>
      <c r="Y784" s="106"/>
      <c r="Z784" s="106"/>
    </row>
    <row r="785" spans="1:26" ht="13.5" customHeight="1" x14ac:dyDescent="0.2">
      <c r="A785" s="106"/>
      <c r="B785" s="106"/>
      <c r="C785" s="106"/>
      <c r="D785" s="106"/>
      <c r="E785" s="106"/>
      <c r="F785" s="106"/>
      <c r="G785" s="106"/>
      <c r="H785" s="106"/>
      <c r="I785" s="106"/>
      <c r="J785" s="106"/>
      <c r="K785" s="106"/>
      <c r="L785" s="106"/>
      <c r="M785" s="106"/>
      <c r="N785" s="106"/>
      <c r="O785" s="106"/>
      <c r="P785" s="106"/>
      <c r="Q785" s="106"/>
      <c r="R785" s="106"/>
      <c r="S785" s="106"/>
      <c r="T785" s="106"/>
      <c r="U785" s="106"/>
      <c r="V785" s="106"/>
      <c r="W785" s="106"/>
      <c r="X785" s="106"/>
      <c r="Y785" s="106"/>
      <c r="Z785" s="106"/>
    </row>
    <row r="786" spans="1:26" ht="13.5" customHeight="1" x14ac:dyDescent="0.2">
      <c r="A786" s="106"/>
      <c r="B786" s="106"/>
      <c r="C786" s="106"/>
      <c r="D786" s="106"/>
      <c r="E786" s="106"/>
      <c r="F786" s="106"/>
      <c r="G786" s="106"/>
      <c r="H786" s="106"/>
      <c r="I786" s="106"/>
      <c r="J786" s="106"/>
      <c r="K786" s="106"/>
      <c r="L786" s="106"/>
      <c r="M786" s="106"/>
      <c r="N786" s="106"/>
      <c r="O786" s="106"/>
      <c r="P786" s="106"/>
      <c r="Q786" s="106"/>
      <c r="R786" s="106"/>
      <c r="S786" s="106"/>
      <c r="T786" s="106"/>
      <c r="U786" s="106"/>
      <c r="V786" s="106"/>
      <c r="W786" s="106"/>
      <c r="X786" s="106"/>
      <c r="Y786" s="106"/>
      <c r="Z786" s="106"/>
    </row>
    <row r="787" spans="1:26" ht="13.5" customHeight="1" x14ac:dyDescent="0.2">
      <c r="A787" s="106"/>
      <c r="B787" s="106"/>
      <c r="C787" s="106"/>
      <c r="D787" s="106"/>
      <c r="E787" s="106"/>
      <c r="F787" s="106"/>
      <c r="G787" s="106"/>
      <c r="H787" s="106"/>
      <c r="I787" s="106"/>
      <c r="J787" s="106"/>
      <c r="K787" s="106"/>
      <c r="L787" s="106"/>
      <c r="M787" s="106"/>
      <c r="N787" s="106"/>
      <c r="O787" s="106"/>
      <c r="P787" s="106"/>
      <c r="Q787" s="106"/>
      <c r="R787" s="106"/>
      <c r="S787" s="106"/>
      <c r="T787" s="106"/>
      <c r="U787" s="106"/>
      <c r="V787" s="106"/>
      <c r="W787" s="106"/>
      <c r="X787" s="106"/>
      <c r="Y787" s="106"/>
      <c r="Z787" s="106"/>
    </row>
    <row r="788" spans="1:26" ht="13.5" customHeight="1" x14ac:dyDescent="0.2">
      <c r="A788" s="106"/>
      <c r="B788" s="106"/>
      <c r="C788" s="106"/>
      <c r="D788" s="106"/>
      <c r="E788" s="106"/>
      <c r="F788" s="106"/>
      <c r="G788" s="106"/>
      <c r="H788" s="106"/>
      <c r="I788" s="106"/>
      <c r="J788" s="106"/>
      <c r="K788" s="106"/>
      <c r="L788" s="106"/>
      <c r="M788" s="106"/>
      <c r="N788" s="106"/>
      <c r="O788" s="106"/>
      <c r="P788" s="106"/>
      <c r="Q788" s="106"/>
      <c r="R788" s="106"/>
      <c r="S788" s="106"/>
      <c r="T788" s="106"/>
      <c r="U788" s="106"/>
      <c r="V788" s="106"/>
      <c r="W788" s="106"/>
      <c r="X788" s="106"/>
      <c r="Y788" s="106"/>
      <c r="Z788" s="106"/>
    </row>
    <row r="789" spans="1:26" ht="13.5" customHeight="1" x14ac:dyDescent="0.2">
      <c r="A789" s="106"/>
      <c r="B789" s="106"/>
      <c r="C789" s="106"/>
      <c r="D789" s="106"/>
      <c r="E789" s="106"/>
      <c r="F789" s="106"/>
      <c r="G789" s="106"/>
      <c r="H789" s="106"/>
      <c r="I789" s="106"/>
      <c r="J789" s="106"/>
      <c r="K789" s="106"/>
      <c r="L789" s="106"/>
      <c r="M789" s="106"/>
      <c r="N789" s="106"/>
      <c r="O789" s="106"/>
      <c r="P789" s="106"/>
      <c r="Q789" s="106"/>
      <c r="R789" s="106"/>
      <c r="S789" s="106"/>
      <c r="T789" s="106"/>
      <c r="U789" s="106"/>
      <c r="V789" s="106"/>
      <c r="W789" s="106"/>
      <c r="X789" s="106"/>
      <c r="Y789" s="106"/>
      <c r="Z789" s="106"/>
    </row>
    <row r="790" spans="1:26" ht="13.5" customHeight="1" x14ac:dyDescent="0.2">
      <c r="A790" s="106"/>
      <c r="B790" s="106"/>
      <c r="C790" s="106"/>
      <c r="D790" s="106"/>
      <c r="E790" s="106"/>
      <c r="F790" s="106"/>
      <c r="G790" s="106"/>
      <c r="H790" s="106"/>
      <c r="I790" s="106"/>
      <c r="J790" s="106"/>
      <c r="K790" s="106"/>
      <c r="L790" s="106"/>
      <c r="M790" s="106"/>
      <c r="N790" s="106"/>
      <c r="O790" s="106"/>
      <c r="P790" s="106"/>
      <c r="Q790" s="106"/>
      <c r="R790" s="106"/>
      <c r="S790" s="106"/>
      <c r="T790" s="106"/>
      <c r="U790" s="106"/>
      <c r="V790" s="106"/>
      <c r="W790" s="106"/>
      <c r="X790" s="106"/>
      <c r="Y790" s="106"/>
      <c r="Z790" s="106"/>
    </row>
    <row r="791" spans="1:26" ht="13.5" customHeight="1" x14ac:dyDescent="0.2">
      <c r="A791" s="106"/>
      <c r="B791" s="106"/>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c r="Z791" s="106"/>
    </row>
    <row r="792" spans="1:26" ht="13.5" customHeight="1" x14ac:dyDescent="0.2">
      <c r="A792" s="106"/>
      <c r="B792" s="106"/>
      <c r="C792" s="106"/>
      <c r="D792" s="106"/>
      <c r="E792" s="106"/>
      <c r="F792" s="106"/>
      <c r="G792" s="106"/>
      <c r="H792" s="106"/>
      <c r="I792" s="106"/>
      <c r="J792" s="106"/>
      <c r="K792" s="106"/>
      <c r="L792" s="106"/>
      <c r="M792" s="106"/>
      <c r="N792" s="106"/>
      <c r="O792" s="106"/>
      <c r="P792" s="106"/>
      <c r="Q792" s="106"/>
      <c r="R792" s="106"/>
      <c r="S792" s="106"/>
      <c r="T792" s="106"/>
      <c r="U792" s="106"/>
      <c r="V792" s="106"/>
      <c r="W792" s="106"/>
      <c r="X792" s="106"/>
      <c r="Y792" s="106"/>
      <c r="Z792" s="106"/>
    </row>
    <row r="793" spans="1:26" ht="13.5" customHeight="1" x14ac:dyDescent="0.2">
      <c r="A793" s="106"/>
      <c r="B793" s="106"/>
      <c r="C793" s="106"/>
      <c r="D793" s="106"/>
      <c r="E793" s="106"/>
      <c r="F793" s="106"/>
      <c r="G793" s="106"/>
      <c r="H793" s="106"/>
      <c r="I793" s="106"/>
      <c r="J793" s="106"/>
      <c r="K793" s="106"/>
      <c r="L793" s="106"/>
      <c r="M793" s="106"/>
      <c r="N793" s="106"/>
      <c r="O793" s="106"/>
      <c r="P793" s="106"/>
      <c r="Q793" s="106"/>
      <c r="R793" s="106"/>
      <c r="S793" s="106"/>
      <c r="T793" s="106"/>
      <c r="U793" s="106"/>
      <c r="V793" s="106"/>
      <c r="W793" s="106"/>
      <c r="X793" s="106"/>
      <c r="Y793" s="106"/>
      <c r="Z793" s="106"/>
    </row>
    <row r="794" spans="1:26" ht="13.5" customHeight="1" x14ac:dyDescent="0.2">
      <c r="A794" s="106"/>
      <c r="B794" s="106"/>
      <c r="C794" s="106"/>
      <c r="D794" s="106"/>
      <c r="E794" s="106"/>
      <c r="F794" s="106"/>
      <c r="G794" s="106"/>
      <c r="H794" s="106"/>
      <c r="I794" s="106"/>
      <c r="J794" s="106"/>
      <c r="K794" s="106"/>
      <c r="L794" s="106"/>
      <c r="M794" s="106"/>
      <c r="N794" s="106"/>
      <c r="O794" s="106"/>
      <c r="P794" s="106"/>
      <c r="Q794" s="106"/>
      <c r="R794" s="106"/>
      <c r="S794" s="106"/>
      <c r="T794" s="106"/>
      <c r="U794" s="106"/>
      <c r="V794" s="106"/>
      <c r="W794" s="106"/>
      <c r="X794" s="106"/>
      <c r="Y794" s="106"/>
      <c r="Z794" s="106"/>
    </row>
    <row r="795" spans="1:26" ht="13.5" customHeight="1" x14ac:dyDescent="0.2">
      <c r="A795" s="106"/>
      <c r="B795" s="106"/>
      <c r="C795" s="106"/>
      <c r="D795" s="106"/>
      <c r="E795" s="106"/>
      <c r="F795" s="106"/>
      <c r="G795" s="106"/>
      <c r="H795" s="106"/>
      <c r="I795" s="106"/>
      <c r="J795" s="106"/>
      <c r="K795" s="106"/>
      <c r="L795" s="106"/>
      <c r="M795" s="106"/>
      <c r="N795" s="106"/>
      <c r="O795" s="106"/>
      <c r="P795" s="106"/>
      <c r="Q795" s="106"/>
      <c r="R795" s="106"/>
      <c r="S795" s="106"/>
      <c r="T795" s="106"/>
      <c r="U795" s="106"/>
      <c r="V795" s="106"/>
      <c r="W795" s="106"/>
      <c r="X795" s="106"/>
      <c r="Y795" s="106"/>
      <c r="Z795" s="106"/>
    </row>
    <row r="796" spans="1:26" ht="13.5" customHeight="1" x14ac:dyDescent="0.2">
      <c r="A796" s="106"/>
      <c r="B796" s="106"/>
      <c r="C796" s="106"/>
      <c r="D796" s="106"/>
      <c r="E796" s="106"/>
      <c r="F796" s="106"/>
      <c r="G796" s="106"/>
      <c r="H796" s="106"/>
      <c r="I796" s="106"/>
      <c r="J796" s="106"/>
      <c r="K796" s="106"/>
      <c r="L796" s="106"/>
      <c r="M796" s="106"/>
      <c r="N796" s="106"/>
      <c r="O796" s="106"/>
      <c r="P796" s="106"/>
      <c r="Q796" s="106"/>
      <c r="R796" s="106"/>
      <c r="S796" s="106"/>
      <c r="T796" s="106"/>
      <c r="U796" s="106"/>
      <c r="V796" s="106"/>
      <c r="W796" s="106"/>
      <c r="X796" s="106"/>
      <c r="Y796" s="106"/>
      <c r="Z796" s="106"/>
    </row>
    <row r="797" spans="1:26" ht="13.5" customHeight="1" x14ac:dyDescent="0.2">
      <c r="A797" s="106"/>
      <c r="B797" s="106"/>
      <c r="C797" s="106"/>
      <c r="D797" s="106"/>
      <c r="E797" s="106"/>
      <c r="F797" s="106"/>
      <c r="G797" s="106"/>
      <c r="H797" s="106"/>
      <c r="I797" s="106"/>
      <c r="J797" s="106"/>
      <c r="K797" s="106"/>
      <c r="L797" s="106"/>
      <c r="M797" s="106"/>
      <c r="N797" s="106"/>
      <c r="O797" s="106"/>
      <c r="P797" s="106"/>
      <c r="Q797" s="106"/>
      <c r="R797" s="106"/>
      <c r="S797" s="106"/>
      <c r="T797" s="106"/>
      <c r="U797" s="106"/>
      <c r="V797" s="106"/>
      <c r="W797" s="106"/>
      <c r="X797" s="106"/>
      <c r="Y797" s="106"/>
      <c r="Z797" s="106"/>
    </row>
    <row r="798" spans="1:26" ht="13.5" customHeight="1" x14ac:dyDescent="0.2">
      <c r="A798" s="106"/>
      <c r="B798" s="106"/>
      <c r="C798" s="106"/>
      <c r="D798" s="106"/>
      <c r="E798" s="106"/>
      <c r="F798" s="106"/>
      <c r="G798" s="106"/>
      <c r="H798" s="106"/>
      <c r="I798" s="106"/>
      <c r="J798" s="106"/>
      <c r="K798" s="106"/>
      <c r="L798" s="106"/>
      <c r="M798" s="106"/>
      <c r="N798" s="106"/>
      <c r="O798" s="106"/>
      <c r="P798" s="106"/>
      <c r="Q798" s="106"/>
      <c r="R798" s="106"/>
      <c r="S798" s="106"/>
      <c r="T798" s="106"/>
      <c r="U798" s="106"/>
      <c r="V798" s="106"/>
      <c r="W798" s="106"/>
      <c r="X798" s="106"/>
      <c r="Y798" s="106"/>
      <c r="Z798" s="106"/>
    </row>
    <row r="799" spans="1:26" ht="13.5" customHeight="1" x14ac:dyDescent="0.2">
      <c r="A799" s="106"/>
      <c r="B799" s="106"/>
      <c r="C799" s="106"/>
      <c r="D799" s="106"/>
      <c r="E799" s="106"/>
      <c r="F799" s="106"/>
      <c r="G799" s="106"/>
      <c r="H799" s="106"/>
      <c r="I799" s="106"/>
      <c r="J799" s="106"/>
      <c r="K799" s="106"/>
      <c r="L799" s="106"/>
      <c r="M799" s="106"/>
      <c r="N799" s="106"/>
      <c r="O799" s="106"/>
      <c r="P799" s="106"/>
      <c r="Q799" s="106"/>
      <c r="R799" s="106"/>
      <c r="S799" s="106"/>
      <c r="T799" s="106"/>
      <c r="U799" s="106"/>
      <c r="V799" s="106"/>
      <c r="W799" s="106"/>
      <c r="X799" s="106"/>
      <c r="Y799" s="106"/>
      <c r="Z799" s="106"/>
    </row>
    <row r="800" spans="1:26" ht="13.5" customHeight="1" x14ac:dyDescent="0.2">
      <c r="A800" s="106"/>
      <c r="B800" s="106"/>
      <c r="C800" s="106"/>
      <c r="D800" s="106"/>
      <c r="E800" s="106"/>
      <c r="F800" s="106"/>
      <c r="G800" s="106"/>
      <c r="H800" s="106"/>
      <c r="I800" s="106"/>
      <c r="J800" s="106"/>
      <c r="K800" s="106"/>
      <c r="L800" s="106"/>
      <c r="M800" s="106"/>
      <c r="N800" s="106"/>
      <c r="O800" s="106"/>
      <c r="P800" s="106"/>
      <c r="Q800" s="106"/>
      <c r="R800" s="106"/>
      <c r="S800" s="106"/>
      <c r="T800" s="106"/>
      <c r="U800" s="106"/>
      <c r="V800" s="106"/>
      <c r="W800" s="106"/>
      <c r="X800" s="106"/>
      <c r="Y800" s="106"/>
      <c r="Z800" s="106"/>
    </row>
    <row r="801" spans="1:26" ht="13.5" customHeight="1" x14ac:dyDescent="0.2">
      <c r="A801" s="106"/>
      <c r="B801" s="106"/>
      <c r="C801" s="106"/>
      <c r="D801" s="106"/>
      <c r="E801" s="106"/>
      <c r="F801" s="106"/>
      <c r="G801" s="106"/>
      <c r="H801" s="106"/>
      <c r="I801" s="106"/>
      <c r="J801" s="106"/>
      <c r="K801" s="106"/>
      <c r="L801" s="106"/>
      <c r="M801" s="106"/>
      <c r="N801" s="106"/>
      <c r="O801" s="106"/>
      <c r="P801" s="106"/>
      <c r="Q801" s="106"/>
      <c r="R801" s="106"/>
      <c r="S801" s="106"/>
      <c r="T801" s="106"/>
      <c r="U801" s="106"/>
      <c r="V801" s="106"/>
      <c r="W801" s="106"/>
      <c r="X801" s="106"/>
      <c r="Y801" s="106"/>
      <c r="Z801" s="106"/>
    </row>
    <row r="802" spans="1:26" ht="13.5" customHeight="1" x14ac:dyDescent="0.2">
      <c r="A802" s="106"/>
      <c r="B802" s="106"/>
      <c r="C802" s="106"/>
      <c r="D802" s="106"/>
      <c r="E802" s="106"/>
      <c r="F802" s="106"/>
      <c r="G802" s="106"/>
      <c r="H802" s="106"/>
      <c r="I802" s="106"/>
      <c r="J802" s="106"/>
      <c r="K802" s="106"/>
      <c r="L802" s="106"/>
      <c r="M802" s="106"/>
      <c r="N802" s="106"/>
      <c r="O802" s="106"/>
      <c r="P802" s="106"/>
      <c r="Q802" s="106"/>
      <c r="R802" s="106"/>
      <c r="S802" s="106"/>
      <c r="T802" s="106"/>
      <c r="U802" s="106"/>
      <c r="V802" s="106"/>
      <c r="W802" s="106"/>
      <c r="X802" s="106"/>
      <c r="Y802" s="106"/>
      <c r="Z802" s="106"/>
    </row>
    <row r="803" spans="1:26" ht="13.5" customHeight="1" x14ac:dyDescent="0.2">
      <c r="A803" s="106"/>
      <c r="B803" s="106"/>
      <c r="C803" s="106"/>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6"/>
      <c r="Z803" s="106"/>
    </row>
    <row r="804" spans="1:26" ht="13.5" customHeight="1" x14ac:dyDescent="0.2">
      <c r="A804" s="106"/>
      <c r="B804" s="106"/>
      <c r="C804" s="106"/>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6"/>
      <c r="Z804" s="106"/>
    </row>
    <row r="805" spans="1:26" ht="13.5" customHeight="1" x14ac:dyDescent="0.2">
      <c r="A805" s="106"/>
      <c r="B805" s="106"/>
      <c r="C805" s="106"/>
      <c r="D805" s="106"/>
      <c r="E805" s="106"/>
      <c r="F805" s="106"/>
      <c r="G805" s="106"/>
      <c r="H805" s="106"/>
      <c r="I805" s="106"/>
      <c r="J805" s="106"/>
      <c r="K805" s="106"/>
      <c r="L805" s="106"/>
      <c r="M805" s="106"/>
      <c r="N805" s="106"/>
      <c r="O805" s="106"/>
      <c r="P805" s="106"/>
      <c r="Q805" s="106"/>
      <c r="R805" s="106"/>
      <c r="S805" s="106"/>
      <c r="T805" s="106"/>
      <c r="U805" s="106"/>
      <c r="V805" s="106"/>
      <c r="W805" s="106"/>
      <c r="X805" s="106"/>
      <c r="Y805" s="106"/>
      <c r="Z805" s="106"/>
    </row>
    <row r="806" spans="1:26" ht="13.5" customHeight="1" x14ac:dyDescent="0.2">
      <c r="A806" s="106"/>
      <c r="B806" s="106"/>
      <c r="C806" s="106"/>
      <c r="D806" s="106"/>
      <c r="E806" s="106"/>
      <c r="F806" s="106"/>
      <c r="G806" s="106"/>
      <c r="H806" s="106"/>
      <c r="I806" s="106"/>
      <c r="J806" s="106"/>
      <c r="K806" s="106"/>
      <c r="L806" s="106"/>
      <c r="M806" s="106"/>
      <c r="N806" s="106"/>
      <c r="O806" s="106"/>
      <c r="P806" s="106"/>
      <c r="Q806" s="106"/>
      <c r="R806" s="106"/>
      <c r="S806" s="106"/>
      <c r="T806" s="106"/>
      <c r="U806" s="106"/>
      <c r="V806" s="106"/>
      <c r="W806" s="106"/>
      <c r="X806" s="106"/>
      <c r="Y806" s="106"/>
      <c r="Z806" s="106"/>
    </row>
    <row r="807" spans="1:26" ht="13.5" customHeight="1" x14ac:dyDescent="0.2">
      <c r="A807" s="106"/>
      <c r="B807" s="106"/>
      <c r="C807" s="106"/>
      <c r="D807" s="106"/>
      <c r="E807" s="106"/>
      <c r="F807" s="106"/>
      <c r="G807" s="106"/>
      <c r="H807" s="106"/>
      <c r="I807" s="106"/>
      <c r="J807" s="106"/>
      <c r="K807" s="106"/>
      <c r="L807" s="106"/>
      <c r="M807" s="106"/>
      <c r="N807" s="106"/>
      <c r="O807" s="106"/>
      <c r="P807" s="106"/>
      <c r="Q807" s="106"/>
      <c r="R807" s="106"/>
      <c r="S807" s="106"/>
      <c r="T807" s="106"/>
      <c r="U807" s="106"/>
      <c r="V807" s="106"/>
      <c r="W807" s="106"/>
      <c r="X807" s="106"/>
      <c r="Y807" s="106"/>
      <c r="Z807" s="106"/>
    </row>
    <row r="808" spans="1:26" ht="13.5" customHeight="1" x14ac:dyDescent="0.2">
      <c r="A808" s="106"/>
      <c r="B808" s="106"/>
      <c r="C808" s="106"/>
      <c r="D808" s="106"/>
      <c r="E808" s="106"/>
      <c r="F808" s="106"/>
      <c r="G808" s="106"/>
      <c r="H808" s="106"/>
      <c r="I808" s="106"/>
      <c r="J808" s="106"/>
      <c r="K808" s="106"/>
      <c r="L808" s="106"/>
      <c r="M808" s="106"/>
      <c r="N808" s="106"/>
      <c r="O808" s="106"/>
      <c r="P808" s="106"/>
      <c r="Q808" s="106"/>
      <c r="R808" s="106"/>
      <c r="S808" s="106"/>
      <c r="T808" s="106"/>
      <c r="U808" s="106"/>
      <c r="V808" s="106"/>
      <c r="W808" s="106"/>
      <c r="X808" s="106"/>
      <c r="Y808" s="106"/>
      <c r="Z808" s="106"/>
    </row>
    <row r="809" spans="1:26" ht="13.5" customHeight="1" x14ac:dyDescent="0.2">
      <c r="A809" s="106"/>
      <c r="B809" s="106"/>
      <c r="C809" s="106"/>
      <c r="D809" s="106"/>
      <c r="E809" s="106"/>
      <c r="F809" s="106"/>
      <c r="G809" s="106"/>
      <c r="H809" s="106"/>
      <c r="I809" s="106"/>
      <c r="J809" s="106"/>
      <c r="K809" s="106"/>
      <c r="L809" s="106"/>
      <c r="M809" s="106"/>
      <c r="N809" s="106"/>
      <c r="O809" s="106"/>
      <c r="P809" s="106"/>
      <c r="Q809" s="106"/>
      <c r="R809" s="106"/>
      <c r="S809" s="106"/>
      <c r="T809" s="106"/>
      <c r="U809" s="106"/>
      <c r="V809" s="106"/>
      <c r="W809" s="106"/>
      <c r="X809" s="106"/>
      <c r="Y809" s="106"/>
      <c r="Z809" s="106"/>
    </row>
    <row r="810" spans="1:26" ht="13.5" customHeight="1" x14ac:dyDescent="0.2">
      <c r="A810" s="106"/>
      <c r="B810" s="106"/>
      <c r="C810" s="106"/>
      <c r="D810" s="106"/>
      <c r="E810" s="106"/>
      <c r="F810" s="106"/>
      <c r="G810" s="106"/>
      <c r="H810" s="106"/>
      <c r="I810" s="106"/>
      <c r="J810" s="106"/>
      <c r="K810" s="106"/>
      <c r="L810" s="106"/>
      <c r="M810" s="106"/>
      <c r="N810" s="106"/>
      <c r="O810" s="106"/>
      <c r="P810" s="106"/>
      <c r="Q810" s="106"/>
      <c r="R810" s="106"/>
      <c r="S810" s="106"/>
      <c r="T810" s="106"/>
      <c r="U810" s="106"/>
      <c r="V810" s="106"/>
      <c r="W810" s="106"/>
      <c r="X810" s="106"/>
      <c r="Y810" s="106"/>
      <c r="Z810" s="106"/>
    </row>
    <row r="811" spans="1:26" ht="13.5" customHeight="1" x14ac:dyDescent="0.2">
      <c r="A811" s="106"/>
      <c r="B811" s="106"/>
      <c r="C811" s="106"/>
      <c r="D811" s="106"/>
      <c r="E811" s="106"/>
      <c r="F811" s="106"/>
      <c r="G811" s="106"/>
      <c r="H811" s="106"/>
      <c r="I811" s="106"/>
      <c r="J811" s="106"/>
      <c r="K811" s="106"/>
      <c r="L811" s="106"/>
      <c r="M811" s="106"/>
      <c r="N811" s="106"/>
      <c r="O811" s="106"/>
      <c r="P811" s="106"/>
      <c r="Q811" s="106"/>
      <c r="R811" s="106"/>
      <c r="S811" s="106"/>
      <c r="T811" s="106"/>
      <c r="U811" s="106"/>
      <c r="V811" s="106"/>
      <c r="W811" s="106"/>
      <c r="X811" s="106"/>
      <c r="Y811" s="106"/>
      <c r="Z811" s="106"/>
    </row>
    <row r="812" spans="1:26" ht="13.5" customHeight="1" x14ac:dyDescent="0.2">
      <c r="A812" s="106"/>
      <c r="B812" s="106"/>
      <c r="C812" s="106"/>
      <c r="D812" s="106"/>
      <c r="E812" s="106"/>
      <c r="F812" s="106"/>
      <c r="G812" s="106"/>
      <c r="H812" s="106"/>
      <c r="I812" s="106"/>
      <c r="J812" s="106"/>
      <c r="K812" s="106"/>
      <c r="L812" s="106"/>
      <c r="M812" s="106"/>
      <c r="N812" s="106"/>
      <c r="O812" s="106"/>
      <c r="P812" s="106"/>
      <c r="Q812" s="106"/>
      <c r="R812" s="106"/>
      <c r="S812" s="106"/>
      <c r="T812" s="106"/>
      <c r="U812" s="106"/>
      <c r="V812" s="106"/>
      <c r="W812" s="106"/>
      <c r="X812" s="106"/>
      <c r="Y812" s="106"/>
      <c r="Z812" s="106"/>
    </row>
    <row r="813" spans="1:26" ht="13.5" customHeight="1" x14ac:dyDescent="0.2">
      <c r="A813" s="106"/>
      <c r="B813" s="106"/>
      <c r="C813" s="106"/>
      <c r="D813" s="106"/>
      <c r="E813" s="106"/>
      <c r="F813" s="106"/>
      <c r="G813" s="106"/>
      <c r="H813" s="106"/>
      <c r="I813" s="106"/>
      <c r="J813" s="106"/>
      <c r="K813" s="106"/>
      <c r="L813" s="106"/>
      <c r="M813" s="106"/>
      <c r="N813" s="106"/>
      <c r="O813" s="106"/>
      <c r="P813" s="106"/>
      <c r="Q813" s="106"/>
      <c r="R813" s="106"/>
      <c r="S813" s="106"/>
      <c r="T813" s="106"/>
      <c r="U813" s="106"/>
      <c r="V813" s="106"/>
      <c r="W813" s="106"/>
      <c r="X813" s="106"/>
      <c r="Y813" s="106"/>
      <c r="Z813" s="106"/>
    </row>
    <row r="814" spans="1:26" ht="13.5" customHeight="1" x14ac:dyDescent="0.2">
      <c r="A814" s="106"/>
      <c r="B814" s="106"/>
      <c r="C814" s="106"/>
      <c r="D814" s="106"/>
      <c r="E814" s="106"/>
      <c r="F814" s="106"/>
      <c r="G814" s="106"/>
      <c r="H814" s="106"/>
      <c r="I814" s="106"/>
      <c r="J814" s="106"/>
      <c r="K814" s="106"/>
      <c r="L814" s="106"/>
      <c r="M814" s="106"/>
      <c r="N814" s="106"/>
      <c r="O814" s="106"/>
      <c r="P814" s="106"/>
      <c r="Q814" s="106"/>
      <c r="R814" s="106"/>
      <c r="S814" s="106"/>
      <c r="T814" s="106"/>
      <c r="U814" s="106"/>
      <c r="V814" s="106"/>
      <c r="W814" s="106"/>
      <c r="X814" s="106"/>
      <c r="Y814" s="106"/>
      <c r="Z814" s="106"/>
    </row>
    <row r="815" spans="1:26" ht="13.5" customHeight="1" x14ac:dyDescent="0.2">
      <c r="A815" s="106"/>
      <c r="B815" s="106"/>
      <c r="C815" s="106"/>
      <c r="D815" s="106"/>
      <c r="E815" s="106"/>
      <c r="F815" s="106"/>
      <c r="G815" s="106"/>
      <c r="H815" s="106"/>
      <c r="I815" s="106"/>
      <c r="J815" s="106"/>
      <c r="K815" s="106"/>
      <c r="L815" s="106"/>
      <c r="M815" s="106"/>
      <c r="N815" s="106"/>
      <c r="O815" s="106"/>
      <c r="P815" s="106"/>
      <c r="Q815" s="106"/>
      <c r="R815" s="106"/>
      <c r="S815" s="106"/>
      <c r="T815" s="106"/>
      <c r="U815" s="106"/>
      <c r="V815" s="106"/>
      <c r="W815" s="106"/>
      <c r="X815" s="106"/>
      <c r="Y815" s="106"/>
      <c r="Z815" s="106"/>
    </row>
    <row r="816" spans="1:26" ht="13.5" customHeight="1" x14ac:dyDescent="0.2">
      <c r="A816" s="106"/>
      <c r="B816" s="106"/>
      <c r="C816" s="106"/>
      <c r="D816" s="106"/>
      <c r="E816" s="106"/>
      <c r="F816" s="106"/>
      <c r="G816" s="106"/>
      <c r="H816" s="106"/>
      <c r="I816" s="106"/>
      <c r="J816" s="106"/>
      <c r="K816" s="106"/>
      <c r="L816" s="106"/>
      <c r="M816" s="106"/>
      <c r="N816" s="106"/>
      <c r="O816" s="106"/>
      <c r="P816" s="106"/>
      <c r="Q816" s="106"/>
      <c r="R816" s="106"/>
      <c r="S816" s="106"/>
      <c r="T816" s="106"/>
      <c r="U816" s="106"/>
      <c r="V816" s="106"/>
      <c r="W816" s="106"/>
      <c r="X816" s="106"/>
      <c r="Y816" s="106"/>
      <c r="Z816" s="106"/>
    </row>
    <row r="817" spans="1:26" ht="13.5" customHeight="1" x14ac:dyDescent="0.2">
      <c r="A817" s="106"/>
      <c r="B817" s="106"/>
      <c r="C817" s="106"/>
      <c r="D817" s="106"/>
      <c r="E817" s="106"/>
      <c r="F817" s="106"/>
      <c r="G817" s="106"/>
      <c r="H817" s="106"/>
      <c r="I817" s="106"/>
      <c r="J817" s="106"/>
      <c r="K817" s="106"/>
      <c r="L817" s="106"/>
      <c r="M817" s="106"/>
      <c r="N817" s="106"/>
      <c r="O817" s="106"/>
      <c r="P817" s="106"/>
      <c r="Q817" s="106"/>
      <c r="R817" s="106"/>
      <c r="S817" s="106"/>
      <c r="T817" s="106"/>
      <c r="U817" s="106"/>
      <c r="V817" s="106"/>
      <c r="W817" s="106"/>
      <c r="X817" s="106"/>
      <c r="Y817" s="106"/>
      <c r="Z817" s="106"/>
    </row>
    <row r="818" spans="1:26" ht="13.5" customHeight="1" x14ac:dyDescent="0.2">
      <c r="A818" s="106"/>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c r="X818" s="106"/>
      <c r="Y818" s="106"/>
      <c r="Z818" s="106"/>
    </row>
    <row r="819" spans="1:26" ht="13.5" customHeight="1" x14ac:dyDescent="0.2">
      <c r="A819" s="106"/>
      <c r="B819" s="106"/>
      <c r="C819" s="106"/>
      <c r="D819" s="106"/>
      <c r="E819" s="106"/>
      <c r="F819" s="106"/>
      <c r="G819" s="106"/>
      <c r="H819" s="106"/>
      <c r="I819" s="106"/>
      <c r="J819" s="106"/>
      <c r="K819" s="106"/>
      <c r="L819" s="106"/>
      <c r="M819" s="106"/>
      <c r="N819" s="106"/>
      <c r="O819" s="106"/>
      <c r="P819" s="106"/>
      <c r="Q819" s="106"/>
      <c r="R819" s="106"/>
      <c r="S819" s="106"/>
      <c r="T819" s="106"/>
      <c r="U819" s="106"/>
      <c r="V819" s="106"/>
      <c r="W819" s="106"/>
      <c r="X819" s="106"/>
      <c r="Y819" s="106"/>
      <c r="Z819" s="106"/>
    </row>
    <row r="820" spans="1:26" ht="13.5" customHeight="1" x14ac:dyDescent="0.2">
      <c r="A820" s="106"/>
      <c r="B820" s="106"/>
      <c r="C820" s="106"/>
      <c r="D820" s="106"/>
      <c r="E820" s="106"/>
      <c r="F820" s="106"/>
      <c r="G820" s="106"/>
      <c r="H820" s="106"/>
      <c r="I820" s="106"/>
      <c r="J820" s="106"/>
      <c r="K820" s="106"/>
      <c r="L820" s="106"/>
      <c r="M820" s="106"/>
      <c r="N820" s="106"/>
      <c r="O820" s="106"/>
      <c r="P820" s="106"/>
      <c r="Q820" s="106"/>
      <c r="R820" s="106"/>
      <c r="S820" s="106"/>
      <c r="T820" s="106"/>
      <c r="U820" s="106"/>
      <c r="V820" s="106"/>
      <c r="W820" s="106"/>
      <c r="X820" s="106"/>
      <c r="Y820" s="106"/>
      <c r="Z820" s="106"/>
    </row>
    <row r="821" spans="1:26" ht="13.5" customHeight="1" x14ac:dyDescent="0.2">
      <c r="A821" s="106"/>
      <c r="B821" s="106"/>
      <c r="C821" s="106"/>
      <c r="D821" s="106"/>
      <c r="E821" s="106"/>
      <c r="F821" s="106"/>
      <c r="G821" s="106"/>
      <c r="H821" s="106"/>
      <c r="I821" s="106"/>
      <c r="J821" s="106"/>
      <c r="K821" s="106"/>
      <c r="L821" s="106"/>
      <c r="M821" s="106"/>
      <c r="N821" s="106"/>
      <c r="O821" s="106"/>
      <c r="P821" s="106"/>
      <c r="Q821" s="106"/>
      <c r="R821" s="106"/>
      <c r="S821" s="106"/>
      <c r="T821" s="106"/>
      <c r="U821" s="106"/>
      <c r="V821" s="106"/>
      <c r="W821" s="106"/>
      <c r="X821" s="106"/>
      <c r="Y821" s="106"/>
      <c r="Z821" s="106"/>
    </row>
    <row r="822" spans="1:26" ht="13.5" customHeight="1" x14ac:dyDescent="0.2">
      <c r="A822" s="106"/>
      <c r="B822" s="106"/>
      <c r="C822" s="106"/>
      <c r="D822" s="106"/>
      <c r="E822" s="106"/>
      <c r="F822" s="106"/>
      <c r="G822" s="106"/>
      <c r="H822" s="106"/>
      <c r="I822" s="106"/>
      <c r="J822" s="106"/>
      <c r="K822" s="106"/>
      <c r="L822" s="106"/>
      <c r="M822" s="106"/>
      <c r="N822" s="106"/>
      <c r="O822" s="106"/>
      <c r="P822" s="106"/>
      <c r="Q822" s="106"/>
      <c r="R822" s="106"/>
      <c r="S822" s="106"/>
      <c r="T822" s="106"/>
      <c r="U822" s="106"/>
      <c r="V822" s="106"/>
      <c r="W822" s="106"/>
      <c r="X822" s="106"/>
      <c r="Y822" s="106"/>
      <c r="Z822" s="106"/>
    </row>
    <row r="823" spans="1:26" ht="13.5" customHeight="1" x14ac:dyDescent="0.2">
      <c r="A823" s="106"/>
      <c r="B823" s="106"/>
      <c r="C823" s="106"/>
      <c r="D823" s="106"/>
      <c r="E823" s="106"/>
      <c r="F823" s="106"/>
      <c r="G823" s="106"/>
      <c r="H823" s="106"/>
      <c r="I823" s="106"/>
      <c r="J823" s="106"/>
      <c r="K823" s="106"/>
      <c r="L823" s="106"/>
      <c r="M823" s="106"/>
      <c r="N823" s="106"/>
      <c r="O823" s="106"/>
      <c r="P823" s="106"/>
      <c r="Q823" s="106"/>
      <c r="R823" s="106"/>
      <c r="S823" s="106"/>
      <c r="T823" s="106"/>
      <c r="U823" s="106"/>
      <c r="V823" s="106"/>
      <c r="W823" s="106"/>
      <c r="X823" s="106"/>
      <c r="Y823" s="106"/>
      <c r="Z823" s="106"/>
    </row>
    <row r="824" spans="1:26" ht="13.5" customHeight="1" x14ac:dyDescent="0.2">
      <c r="A824" s="106"/>
      <c r="B824" s="106"/>
      <c r="C824" s="106"/>
      <c r="D824" s="106"/>
      <c r="E824" s="106"/>
      <c r="F824" s="106"/>
      <c r="G824" s="106"/>
      <c r="H824" s="106"/>
      <c r="I824" s="106"/>
      <c r="J824" s="106"/>
      <c r="K824" s="106"/>
      <c r="L824" s="106"/>
      <c r="M824" s="106"/>
      <c r="N824" s="106"/>
      <c r="O824" s="106"/>
      <c r="P824" s="106"/>
      <c r="Q824" s="106"/>
      <c r="R824" s="106"/>
      <c r="S824" s="106"/>
      <c r="T824" s="106"/>
      <c r="U824" s="106"/>
      <c r="V824" s="106"/>
      <c r="W824" s="106"/>
      <c r="X824" s="106"/>
      <c r="Y824" s="106"/>
      <c r="Z824" s="106"/>
    </row>
    <row r="825" spans="1:26" ht="13.5" customHeight="1" x14ac:dyDescent="0.2">
      <c r="A825" s="106"/>
      <c r="B825" s="106"/>
      <c r="C825" s="106"/>
      <c r="D825" s="106"/>
      <c r="E825" s="106"/>
      <c r="F825" s="106"/>
      <c r="G825" s="106"/>
      <c r="H825" s="106"/>
      <c r="I825" s="106"/>
      <c r="J825" s="106"/>
      <c r="K825" s="106"/>
      <c r="L825" s="106"/>
      <c r="M825" s="106"/>
      <c r="N825" s="106"/>
      <c r="O825" s="106"/>
      <c r="P825" s="106"/>
      <c r="Q825" s="106"/>
      <c r="R825" s="106"/>
      <c r="S825" s="106"/>
      <c r="T825" s="106"/>
      <c r="U825" s="106"/>
      <c r="V825" s="106"/>
      <c r="W825" s="106"/>
      <c r="X825" s="106"/>
      <c r="Y825" s="106"/>
      <c r="Z825" s="106"/>
    </row>
    <row r="826" spans="1:26" ht="13.5" customHeight="1" x14ac:dyDescent="0.2">
      <c r="A826" s="106"/>
      <c r="B826" s="106"/>
      <c r="C826" s="106"/>
      <c r="D826" s="106"/>
      <c r="E826" s="106"/>
      <c r="F826" s="106"/>
      <c r="G826" s="106"/>
      <c r="H826" s="106"/>
      <c r="I826" s="106"/>
      <c r="J826" s="106"/>
      <c r="K826" s="106"/>
      <c r="L826" s="106"/>
      <c r="M826" s="106"/>
      <c r="N826" s="106"/>
      <c r="O826" s="106"/>
      <c r="P826" s="106"/>
      <c r="Q826" s="106"/>
      <c r="R826" s="106"/>
      <c r="S826" s="106"/>
      <c r="T826" s="106"/>
      <c r="U826" s="106"/>
      <c r="V826" s="106"/>
      <c r="W826" s="106"/>
      <c r="X826" s="106"/>
      <c r="Y826" s="106"/>
      <c r="Z826" s="106"/>
    </row>
    <row r="827" spans="1:26" ht="13.5" customHeight="1" x14ac:dyDescent="0.2">
      <c r="A827" s="106"/>
      <c r="B827" s="106"/>
      <c r="C827" s="106"/>
      <c r="D827" s="106"/>
      <c r="E827" s="106"/>
      <c r="F827" s="106"/>
      <c r="G827" s="106"/>
      <c r="H827" s="106"/>
      <c r="I827" s="106"/>
      <c r="J827" s="106"/>
      <c r="K827" s="106"/>
      <c r="L827" s="106"/>
      <c r="M827" s="106"/>
      <c r="N827" s="106"/>
      <c r="O827" s="106"/>
      <c r="P827" s="106"/>
      <c r="Q827" s="106"/>
      <c r="R827" s="106"/>
      <c r="S827" s="106"/>
      <c r="T827" s="106"/>
      <c r="U827" s="106"/>
      <c r="V827" s="106"/>
      <c r="W827" s="106"/>
      <c r="X827" s="106"/>
      <c r="Y827" s="106"/>
      <c r="Z827" s="106"/>
    </row>
    <row r="828" spans="1:26" ht="13.5" customHeight="1" x14ac:dyDescent="0.2">
      <c r="A828" s="106"/>
      <c r="B828" s="106"/>
      <c r="C828" s="106"/>
      <c r="D828" s="106"/>
      <c r="E828" s="106"/>
      <c r="F828" s="106"/>
      <c r="G828" s="106"/>
      <c r="H828" s="106"/>
      <c r="I828" s="106"/>
      <c r="J828" s="106"/>
      <c r="K828" s="106"/>
      <c r="L828" s="106"/>
      <c r="M828" s="106"/>
      <c r="N828" s="106"/>
      <c r="O828" s="106"/>
      <c r="P828" s="106"/>
      <c r="Q828" s="106"/>
      <c r="R828" s="106"/>
      <c r="S828" s="106"/>
      <c r="T828" s="106"/>
      <c r="U828" s="106"/>
      <c r="V828" s="106"/>
      <c r="W828" s="106"/>
      <c r="X828" s="106"/>
      <c r="Y828" s="106"/>
      <c r="Z828" s="106"/>
    </row>
    <row r="829" spans="1:26" ht="13.5" customHeight="1" x14ac:dyDescent="0.2">
      <c r="A829" s="106"/>
      <c r="B829" s="106"/>
      <c r="C829" s="106"/>
      <c r="D829" s="106"/>
      <c r="E829" s="106"/>
      <c r="F829" s="106"/>
      <c r="G829" s="106"/>
      <c r="H829" s="106"/>
      <c r="I829" s="106"/>
      <c r="J829" s="106"/>
      <c r="K829" s="106"/>
      <c r="L829" s="106"/>
      <c r="M829" s="106"/>
      <c r="N829" s="106"/>
      <c r="O829" s="106"/>
      <c r="P829" s="106"/>
      <c r="Q829" s="106"/>
      <c r="R829" s="106"/>
      <c r="S829" s="106"/>
      <c r="T829" s="106"/>
      <c r="U829" s="106"/>
      <c r="V829" s="106"/>
      <c r="W829" s="106"/>
      <c r="X829" s="106"/>
      <c r="Y829" s="106"/>
      <c r="Z829" s="106"/>
    </row>
    <row r="830" spans="1:26" ht="13.5" customHeight="1" x14ac:dyDescent="0.2">
      <c r="A830" s="106"/>
      <c r="B830" s="106"/>
      <c r="C830" s="106"/>
      <c r="D830" s="106"/>
      <c r="E830" s="106"/>
      <c r="F830" s="106"/>
      <c r="G830" s="106"/>
      <c r="H830" s="106"/>
      <c r="I830" s="106"/>
      <c r="J830" s="106"/>
      <c r="K830" s="106"/>
      <c r="L830" s="106"/>
      <c r="M830" s="106"/>
      <c r="N830" s="106"/>
      <c r="O830" s="106"/>
      <c r="P830" s="106"/>
      <c r="Q830" s="106"/>
      <c r="R830" s="106"/>
      <c r="S830" s="106"/>
      <c r="T830" s="106"/>
      <c r="U830" s="106"/>
      <c r="V830" s="106"/>
      <c r="W830" s="106"/>
      <c r="X830" s="106"/>
      <c r="Y830" s="106"/>
      <c r="Z830" s="106"/>
    </row>
    <row r="831" spans="1:26" ht="13.5" customHeight="1" x14ac:dyDescent="0.2">
      <c r="A831" s="106"/>
      <c r="B831" s="106"/>
      <c r="C831" s="106"/>
      <c r="D831" s="106"/>
      <c r="E831" s="106"/>
      <c r="F831" s="106"/>
      <c r="G831" s="106"/>
      <c r="H831" s="106"/>
      <c r="I831" s="106"/>
      <c r="J831" s="106"/>
      <c r="K831" s="106"/>
      <c r="L831" s="106"/>
      <c r="M831" s="106"/>
      <c r="N831" s="106"/>
      <c r="O831" s="106"/>
      <c r="P831" s="106"/>
      <c r="Q831" s="106"/>
      <c r="R831" s="106"/>
      <c r="S831" s="106"/>
      <c r="T831" s="106"/>
      <c r="U831" s="106"/>
      <c r="V831" s="106"/>
      <c r="W831" s="106"/>
      <c r="X831" s="106"/>
      <c r="Y831" s="106"/>
      <c r="Z831" s="106"/>
    </row>
    <row r="832" spans="1:26" ht="13.5" customHeight="1" x14ac:dyDescent="0.2">
      <c r="A832" s="106"/>
      <c r="B832" s="106"/>
      <c r="C832" s="106"/>
      <c r="D832" s="106"/>
      <c r="E832" s="106"/>
      <c r="F832" s="106"/>
      <c r="G832" s="106"/>
      <c r="H832" s="106"/>
      <c r="I832" s="106"/>
      <c r="J832" s="106"/>
      <c r="K832" s="106"/>
      <c r="L832" s="106"/>
      <c r="M832" s="106"/>
      <c r="N832" s="106"/>
      <c r="O832" s="106"/>
      <c r="P832" s="106"/>
      <c r="Q832" s="106"/>
      <c r="R832" s="106"/>
      <c r="S832" s="106"/>
      <c r="T832" s="106"/>
      <c r="U832" s="106"/>
      <c r="V832" s="106"/>
      <c r="W832" s="106"/>
      <c r="X832" s="106"/>
      <c r="Y832" s="106"/>
      <c r="Z832" s="106"/>
    </row>
    <row r="833" spans="1:26" ht="13.5" customHeight="1" x14ac:dyDescent="0.2">
      <c r="A833" s="106"/>
      <c r="B833" s="106"/>
      <c r="C833" s="106"/>
      <c r="D833" s="106"/>
      <c r="E833" s="106"/>
      <c r="F833" s="106"/>
      <c r="G833" s="106"/>
      <c r="H833" s="106"/>
      <c r="I833" s="106"/>
      <c r="J833" s="106"/>
      <c r="K833" s="106"/>
      <c r="L833" s="106"/>
      <c r="M833" s="106"/>
      <c r="N833" s="106"/>
      <c r="O833" s="106"/>
      <c r="P833" s="106"/>
      <c r="Q833" s="106"/>
      <c r="R833" s="106"/>
      <c r="S833" s="106"/>
      <c r="T833" s="106"/>
      <c r="U833" s="106"/>
      <c r="V833" s="106"/>
      <c r="W833" s="106"/>
      <c r="X833" s="106"/>
      <c r="Y833" s="106"/>
      <c r="Z833" s="106"/>
    </row>
    <row r="834" spans="1:26" ht="13.5" customHeight="1" x14ac:dyDescent="0.2">
      <c r="A834" s="106"/>
      <c r="B834" s="106"/>
      <c r="C834" s="106"/>
      <c r="D834" s="106"/>
      <c r="E834" s="106"/>
      <c r="F834" s="106"/>
      <c r="G834" s="106"/>
      <c r="H834" s="106"/>
      <c r="I834" s="106"/>
      <c r="J834" s="106"/>
      <c r="K834" s="106"/>
      <c r="L834" s="106"/>
      <c r="M834" s="106"/>
      <c r="N834" s="106"/>
      <c r="O834" s="106"/>
      <c r="P834" s="106"/>
      <c r="Q834" s="106"/>
      <c r="R834" s="106"/>
      <c r="S834" s="106"/>
      <c r="T834" s="106"/>
      <c r="U834" s="106"/>
      <c r="V834" s="106"/>
      <c r="W834" s="106"/>
      <c r="X834" s="106"/>
      <c r="Y834" s="106"/>
      <c r="Z834" s="106"/>
    </row>
    <row r="835" spans="1:26" ht="13.5" customHeight="1" x14ac:dyDescent="0.2">
      <c r="A835" s="106"/>
      <c r="B835" s="106"/>
      <c r="C835" s="106"/>
      <c r="D835" s="106"/>
      <c r="E835" s="106"/>
      <c r="F835" s="106"/>
      <c r="G835" s="106"/>
      <c r="H835" s="106"/>
      <c r="I835" s="106"/>
      <c r="J835" s="106"/>
      <c r="K835" s="106"/>
      <c r="L835" s="106"/>
      <c r="M835" s="106"/>
      <c r="N835" s="106"/>
      <c r="O835" s="106"/>
      <c r="P835" s="106"/>
      <c r="Q835" s="106"/>
      <c r="R835" s="106"/>
      <c r="S835" s="106"/>
      <c r="T835" s="106"/>
      <c r="U835" s="106"/>
      <c r="V835" s="106"/>
      <c r="W835" s="106"/>
      <c r="X835" s="106"/>
      <c r="Y835" s="106"/>
      <c r="Z835" s="106"/>
    </row>
    <row r="836" spans="1:26" ht="13.5" customHeight="1" x14ac:dyDescent="0.2">
      <c r="A836" s="106"/>
      <c r="B836" s="106"/>
      <c r="C836" s="106"/>
      <c r="D836" s="106"/>
      <c r="E836" s="106"/>
      <c r="F836" s="106"/>
      <c r="G836" s="106"/>
      <c r="H836" s="106"/>
      <c r="I836" s="106"/>
      <c r="J836" s="106"/>
      <c r="K836" s="106"/>
      <c r="L836" s="106"/>
      <c r="M836" s="106"/>
      <c r="N836" s="106"/>
      <c r="O836" s="106"/>
      <c r="P836" s="106"/>
      <c r="Q836" s="106"/>
      <c r="R836" s="106"/>
      <c r="S836" s="106"/>
      <c r="T836" s="106"/>
      <c r="U836" s="106"/>
      <c r="V836" s="106"/>
      <c r="W836" s="106"/>
      <c r="X836" s="106"/>
      <c r="Y836" s="106"/>
      <c r="Z836" s="106"/>
    </row>
    <row r="837" spans="1:26" ht="13.5" customHeight="1" x14ac:dyDescent="0.2">
      <c r="A837" s="106"/>
      <c r="B837" s="106"/>
      <c r="C837" s="106"/>
      <c r="D837" s="106"/>
      <c r="E837" s="106"/>
      <c r="F837" s="106"/>
      <c r="G837" s="106"/>
      <c r="H837" s="106"/>
      <c r="I837" s="106"/>
      <c r="J837" s="106"/>
      <c r="K837" s="106"/>
      <c r="L837" s="106"/>
      <c r="M837" s="106"/>
      <c r="N837" s="106"/>
      <c r="O837" s="106"/>
      <c r="P837" s="106"/>
      <c r="Q837" s="106"/>
      <c r="R837" s="106"/>
      <c r="S837" s="106"/>
      <c r="T837" s="106"/>
      <c r="U837" s="106"/>
      <c r="V837" s="106"/>
      <c r="W837" s="106"/>
      <c r="X837" s="106"/>
      <c r="Y837" s="106"/>
      <c r="Z837" s="106"/>
    </row>
    <row r="838" spans="1:26" ht="13.5" customHeight="1" x14ac:dyDescent="0.2">
      <c r="A838" s="106"/>
      <c r="B838" s="106"/>
      <c r="C838" s="106"/>
      <c r="D838" s="106"/>
      <c r="E838" s="106"/>
      <c r="F838" s="106"/>
      <c r="G838" s="106"/>
      <c r="H838" s="106"/>
      <c r="I838" s="106"/>
      <c r="J838" s="106"/>
      <c r="K838" s="106"/>
      <c r="L838" s="106"/>
      <c r="M838" s="106"/>
      <c r="N838" s="106"/>
      <c r="O838" s="106"/>
      <c r="P838" s="106"/>
      <c r="Q838" s="106"/>
      <c r="R838" s="106"/>
      <c r="S838" s="106"/>
      <c r="T838" s="106"/>
      <c r="U838" s="106"/>
      <c r="V838" s="106"/>
      <c r="W838" s="106"/>
      <c r="X838" s="106"/>
      <c r="Y838" s="106"/>
      <c r="Z838" s="106"/>
    </row>
    <row r="839" spans="1:26" ht="13.5" customHeight="1" x14ac:dyDescent="0.2">
      <c r="A839" s="106"/>
      <c r="B839" s="106"/>
      <c r="C839" s="106"/>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6"/>
      <c r="Z839" s="106"/>
    </row>
    <row r="840" spans="1:26" ht="13.5" customHeight="1" x14ac:dyDescent="0.2">
      <c r="A840" s="106"/>
      <c r="B840" s="106"/>
      <c r="C840" s="106"/>
      <c r="D840" s="106"/>
      <c r="E840" s="106"/>
      <c r="F840" s="106"/>
      <c r="G840" s="106"/>
      <c r="H840" s="106"/>
      <c r="I840" s="106"/>
      <c r="J840" s="106"/>
      <c r="K840" s="106"/>
      <c r="L840" s="106"/>
      <c r="M840" s="106"/>
      <c r="N840" s="106"/>
      <c r="O840" s="106"/>
      <c r="P840" s="106"/>
      <c r="Q840" s="106"/>
      <c r="R840" s="106"/>
      <c r="S840" s="106"/>
      <c r="T840" s="106"/>
      <c r="U840" s="106"/>
      <c r="V840" s="106"/>
      <c r="W840" s="106"/>
      <c r="X840" s="106"/>
      <c r="Y840" s="106"/>
      <c r="Z840" s="106"/>
    </row>
    <row r="841" spans="1:26" ht="13.5" customHeight="1" x14ac:dyDescent="0.2">
      <c r="A841" s="106"/>
      <c r="B841" s="106"/>
      <c r="C841" s="106"/>
      <c r="D841" s="106"/>
      <c r="E841" s="106"/>
      <c r="F841" s="106"/>
      <c r="G841" s="106"/>
      <c r="H841" s="106"/>
      <c r="I841" s="106"/>
      <c r="J841" s="106"/>
      <c r="K841" s="106"/>
      <c r="L841" s="106"/>
      <c r="M841" s="106"/>
      <c r="N841" s="106"/>
      <c r="O841" s="106"/>
      <c r="P841" s="106"/>
      <c r="Q841" s="106"/>
      <c r="R841" s="106"/>
      <c r="S841" s="106"/>
      <c r="T841" s="106"/>
      <c r="U841" s="106"/>
      <c r="V841" s="106"/>
      <c r="W841" s="106"/>
      <c r="X841" s="106"/>
      <c r="Y841" s="106"/>
      <c r="Z841" s="106"/>
    </row>
    <row r="842" spans="1:26" ht="13.5" customHeight="1" x14ac:dyDescent="0.2">
      <c r="A842" s="106"/>
      <c r="B842" s="106"/>
      <c r="C842" s="106"/>
      <c r="D842" s="106"/>
      <c r="E842" s="106"/>
      <c r="F842" s="106"/>
      <c r="G842" s="106"/>
      <c r="H842" s="106"/>
      <c r="I842" s="106"/>
      <c r="J842" s="106"/>
      <c r="K842" s="106"/>
      <c r="L842" s="106"/>
      <c r="M842" s="106"/>
      <c r="N842" s="106"/>
      <c r="O842" s="106"/>
      <c r="P842" s="106"/>
      <c r="Q842" s="106"/>
      <c r="R842" s="106"/>
      <c r="S842" s="106"/>
      <c r="T842" s="106"/>
      <c r="U842" s="106"/>
      <c r="V842" s="106"/>
      <c r="W842" s="106"/>
      <c r="X842" s="106"/>
      <c r="Y842" s="106"/>
      <c r="Z842" s="106"/>
    </row>
    <row r="843" spans="1:26" ht="13.5" customHeight="1" x14ac:dyDescent="0.2">
      <c r="A843" s="106"/>
      <c r="B843" s="106"/>
      <c r="C843" s="106"/>
      <c r="D843" s="106"/>
      <c r="E843" s="106"/>
      <c r="F843" s="106"/>
      <c r="G843" s="106"/>
      <c r="H843" s="106"/>
      <c r="I843" s="106"/>
      <c r="J843" s="106"/>
      <c r="K843" s="106"/>
      <c r="L843" s="106"/>
      <c r="M843" s="106"/>
      <c r="N843" s="106"/>
      <c r="O843" s="106"/>
      <c r="P843" s="106"/>
      <c r="Q843" s="106"/>
      <c r="R843" s="106"/>
      <c r="S843" s="106"/>
      <c r="T843" s="106"/>
      <c r="U843" s="106"/>
      <c r="V843" s="106"/>
      <c r="W843" s="106"/>
      <c r="X843" s="106"/>
      <c r="Y843" s="106"/>
      <c r="Z843" s="106"/>
    </row>
    <row r="844" spans="1:26" ht="13.5" customHeight="1" x14ac:dyDescent="0.2">
      <c r="A844" s="106"/>
      <c r="B844" s="106"/>
      <c r="C844" s="106"/>
      <c r="D844" s="106"/>
      <c r="E844" s="106"/>
      <c r="F844" s="106"/>
      <c r="G844" s="106"/>
      <c r="H844" s="106"/>
      <c r="I844" s="106"/>
      <c r="J844" s="106"/>
      <c r="K844" s="106"/>
      <c r="L844" s="106"/>
      <c r="M844" s="106"/>
      <c r="N844" s="106"/>
      <c r="O844" s="106"/>
      <c r="P844" s="106"/>
      <c r="Q844" s="106"/>
      <c r="R844" s="106"/>
      <c r="S844" s="106"/>
      <c r="T844" s="106"/>
      <c r="U844" s="106"/>
      <c r="V844" s="106"/>
      <c r="W844" s="106"/>
      <c r="X844" s="106"/>
      <c r="Y844" s="106"/>
      <c r="Z844" s="106"/>
    </row>
    <row r="845" spans="1:26" ht="13.5" customHeight="1" x14ac:dyDescent="0.2">
      <c r="A845" s="106"/>
      <c r="B845" s="106"/>
      <c r="C845" s="106"/>
      <c r="D845" s="106"/>
      <c r="E845" s="106"/>
      <c r="F845" s="106"/>
      <c r="G845" s="106"/>
      <c r="H845" s="106"/>
      <c r="I845" s="106"/>
      <c r="J845" s="106"/>
      <c r="K845" s="106"/>
      <c r="L845" s="106"/>
      <c r="M845" s="106"/>
      <c r="N845" s="106"/>
      <c r="O845" s="106"/>
      <c r="P845" s="106"/>
      <c r="Q845" s="106"/>
      <c r="R845" s="106"/>
      <c r="S845" s="106"/>
      <c r="T845" s="106"/>
      <c r="U845" s="106"/>
      <c r="V845" s="106"/>
      <c r="W845" s="106"/>
      <c r="X845" s="106"/>
      <c r="Y845" s="106"/>
      <c r="Z845" s="106"/>
    </row>
    <row r="846" spans="1:26" ht="13.5" customHeight="1" x14ac:dyDescent="0.2">
      <c r="A846" s="106"/>
      <c r="B846" s="106"/>
      <c r="C846" s="106"/>
      <c r="D846" s="106"/>
      <c r="E846" s="106"/>
      <c r="F846" s="106"/>
      <c r="G846" s="106"/>
      <c r="H846" s="106"/>
      <c r="I846" s="106"/>
      <c r="J846" s="106"/>
      <c r="K846" s="106"/>
      <c r="L846" s="106"/>
      <c r="M846" s="106"/>
      <c r="N846" s="106"/>
      <c r="O846" s="106"/>
      <c r="P846" s="106"/>
      <c r="Q846" s="106"/>
      <c r="R846" s="106"/>
      <c r="S846" s="106"/>
      <c r="T846" s="106"/>
      <c r="U846" s="106"/>
      <c r="V846" s="106"/>
      <c r="W846" s="106"/>
      <c r="X846" s="106"/>
      <c r="Y846" s="106"/>
      <c r="Z846" s="106"/>
    </row>
    <row r="847" spans="1:26" ht="13.5" customHeight="1" x14ac:dyDescent="0.2">
      <c r="A847" s="106"/>
      <c r="B847" s="106"/>
      <c r="C847" s="106"/>
      <c r="D847" s="106"/>
      <c r="E847" s="106"/>
      <c r="F847" s="106"/>
      <c r="G847" s="106"/>
      <c r="H847" s="106"/>
      <c r="I847" s="106"/>
      <c r="J847" s="106"/>
      <c r="K847" s="106"/>
      <c r="L847" s="106"/>
      <c r="M847" s="106"/>
      <c r="N847" s="106"/>
      <c r="O847" s="106"/>
      <c r="P847" s="106"/>
      <c r="Q847" s="106"/>
      <c r="R847" s="106"/>
      <c r="S847" s="106"/>
      <c r="T847" s="106"/>
      <c r="U847" s="106"/>
      <c r="V847" s="106"/>
      <c r="W847" s="106"/>
      <c r="X847" s="106"/>
      <c r="Y847" s="106"/>
      <c r="Z847" s="106"/>
    </row>
    <row r="848" spans="1:26" ht="13.5" customHeight="1" x14ac:dyDescent="0.2">
      <c r="A848" s="106"/>
      <c r="B848" s="106"/>
      <c r="C848" s="106"/>
      <c r="D848" s="106"/>
      <c r="E848" s="106"/>
      <c r="F848" s="106"/>
      <c r="G848" s="106"/>
      <c r="H848" s="106"/>
      <c r="I848" s="106"/>
      <c r="J848" s="106"/>
      <c r="K848" s="106"/>
      <c r="L848" s="106"/>
      <c r="M848" s="106"/>
      <c r="N848" s="106"/>
      <c r="O848" s="106"/>
      <c r="P848" s="106"/>
      <c r="Q848" s="106"/>
      <c r="R848" s="106"/>
      <c r="S848" s="106"/>
      <c r="T848" s="106"/>
      <c r="U848" s="106"/>
      <c r="V848" s="106"/>
      <c r="W848" s="106"/>
      <c r="X848" s="106"/>
      <c r="Y848" s="106"/>
      <c r="Z848" s="106"/>
    </row>
    <row r="849" spans="1:26" ht="13.5" customHeight="1" x14ac:dyDescent="0.2">
      <c r="A849" s="106"/>
      <c r="B849" s="106"/>
      <c r="C849" s="106"/>
      <c r="D849" s="106"/>
      <c r="E849" s="106"/>
      <c r="F849" s="106"/>
      <c r="G849" s="106"/>
      <c r="H849" s="106"/>
      <c r="I849" s="106"/>
      <c r="J849" s="106"/>
      <c r="K849" s="106"/>
      <c r="L849" s="106"/>
      <c r="M849" s="106"/>
      <c r="N849" s="106"/>
      <c r="O849" s="106"/>
      <c r="P849" s="106"/>
      <c r="Q849" s="106"/>
      <c r="R849" s="106"/>
      <c r="S849" s="106"/>
      <c r="T849" s="106"/>
      <c r="U849" s="106"/>
      <c r="V849" s="106"/>
      <c r="W849" s="106"/>
      <c r="X849" s="106"/>
      <c r="Y849" s="106"/>
      <c r="Z849" s="106"/>
    </row>
    <row r="850" spans="1:26" ht="13.5" customHeight="1" x14ac:dyDescent="0.2">
      <c r="A850" s="106"/>
      <c r="B850" s="106"/>
      <c r="C850" s="106"/>
      <c r="D850" s="106"/>
      <c r="E850" s="106"/>
      <c r="F850" s="106"/>
      <c r="G850" s="106"/>
      <c r="H850" s="106"/>
      <c r="I850" s="106"/>
      <c r="J850" s="106"/>
      <c r="K850" s="106"/>
      <c r="L850" s="106"/>
      <c r="M850" s="106"/>
      <c r="N850" s="106"/>
      <c r="O850" s="106"/>
      <c r="P850" s="106"/>
      <c r="Q850" s="106"/>
      <c r="R850" s="106"/>
      <c r="S850" s="106"/>
      <c r="T850" s="106"/>
      <c r="U850" s="106"/>
      <c r="V850" s="106"/>
      <c r="W850" s="106"/>
      <c r="X850" s="106"/>
      <c r="Y850" s="106"/>
      <c r="Z850" s="106"/>
    </row>
    <row r="851" spans="1:26" ht="13.5" customHeight="1" x14ac:dyDescent="0.2">
      <c r="A851" s="106"/>
      <c r="B851" s="106"/>
      <c r="C851" s="106"/>
      <c r="D851" s="106"/>
      <c r="E851" s="106"/>
      <c r="F851" s="106"/>
      <c r="G851" s="106"/>
      <c r="H851" s="106"/>
      <c r="I851" s="106"/>
      <c r="J851" s="106"/>
      <c r="K851" s="106"/>
      <c r="L851" s="106"/>
      <c r="M851" s="106"/>
      <c r="N851" s="106"/>
      <c r="O851" s="106"/>
      <c r="P851" s="106"/>
      <c r="Q851" s="106"/>
      <c r="R851" s="106"/>
      <c r="S851" s="106"/>
      <c r="T851" s="106"/>
      <c r="U851" s="106"/>
      <c r="V851" s="106"/>
      <c r="W851" s="106"/>
      <c r="X851" s="106"/>
      <c r="Y851" s="106"/>
      <c r="Z851" s="106"/>
    </row>
    <row r="852" spans="1:26" ht="13.5" customHeight="1" x14ac:dyDescent="0.2">
      <c r="A852" s="106"/>
      <c r="B852" s="106"/>
      <c r="C852" s="106"/>
      <c r="D852" s="106"/>
      <c r="E852" s="106"/>
      <c r="F852" s="106"/>
      <c r="G852" s="106"/>
      <c r="H852" s="106"/>
      <c r="I852" s="106"/>
      <c r="J852" s="106"/>
      <c r="K852" s="106"/>
      <c r="L852" s="106"/>
      <c r="M852" s="106"/>
      <c r="N852" s="106"/>
      <c r="O852" s="106"/>
      <c r="P852" s="106"/>
      <c r="Q852" s="106"/>
      <c r="R852" s="106"/>
      <c r="S852" s="106"/>
      <c r="T852" s="106"/>
      <c r="U852" s="106"/>
      <c r="V852" s="106"/>
      <c r="W852" s="106"/>
      <c r="X852" s="106"/>
      <c r="Y852" s="106"/>
      <c r="Z852" s="106"/>
    </row>
    <row r="853" spans="1:26" ht="13.5" customHeight="1" x14ac:dyDescent="0.2">
      <c r="A853" s="106"/>
      <c r="B853" s="106"/>
      <c r="C853" s="106"/>
      <c r="D853" s="106"/>
      <c r="E853" s="106"/>
      <c r="F853" s="106"/>
      <c r="G853" s="106"/>
      <c r="H853" s="106"/>
      <c r="I853" s="106"/>
      <c r="J853" s="106"/>
      <c r="K853" s="106"/>
      <c r="L853" s="106"/>
      <c r="M853" s="106"/>
      <c r="N853" s="106"/>
      <c r="O853" s="106"/>
      <c r="P853" s="106"/>
      <c r="Q853" s="106"/>
      <c r="R853" s="106"/>
      <c r="S853" s="106"/>
      <c r="T853" s="106"/>
      <c r="U853" s="106"/>
      <c r="V853" s="106"/>
      <c r="W853" s="106"/>
      <c r="X853" s="106"/>
      <c r="Y853" s="106"/>
      <c r="Z853" s="106"/>
    </row>
    <row r="854" spans="1:26" ht="13.5" customHeight="1" x14ac:dyDescent="0.2">
      <c r="A854" s="106"/>
      <c r="B854" s="106"/>
      <c r="C854" s="106"/>
      <c r="D854" s="106"/>
      <c r="E854" s="106"/>
      <c r="F854" s="106"/>
      <c r="G854" s="106"/>
      <c r="H854" s="106"/>
      <c r="I854" s="106"/>
      <c r="J854" s="106"/>
      <c r="K854" s="106"/>
      <c r="L854" s="106"/>
      <c r="M854" s="106"/>
      <c r="N854" s="106"/>
      <c r="O854" s="106"/>
      <c r="P854" s="106"/>
      <c r="Q854" s="106"/>
      <c r="R854" s="106"/>
      <c r="S854" s="106"/>
      <c r="T854" s="106"/>
      <c r="U854" s="106"/>
      <c r="V854" s="106"/>
      <c r="W854" s="106"/>
      <c r="X854" s="106"/>
      <c r="Y854" s="106"/>
      <c r="Z854" s="106"/>
    </row>
    <row r="855" spans="1:26" ht="13.5" customHeight="1" x14ac:dyDescent="0.2">
      <c r="A855" s="106"/>
      <c r="B855" s="106"/>
      <c r="C855" s="106"/>
      <c r="D855" s="106"/>
      <c r="E855" s="106"/>
      <c r="F855" s="106"/>
      <c r="G855" s="106"/>
      <c r="H855" s="106"/>
      <c r="I855" s="106"/>
      <c r="J855" s="106"/>
      <c r="K855" s="106"/>
      <c r="L855" s="106"/>
      <c r="M855" s="106"/>
      <c r="N855" s="106"/>
      <c r="O855" s="106"/>
      <c r="P855" s="106"/>
      <c r="Q855" s="106"/>
      <c r="R855" s="106"/>
      <c r="S855" s="106"/>
      <c r="T855" s="106"/>
      <c r="U855" s="106"/>
      <c r="V855" s="106"/>
      <c r="W855" s="106"/>
      <c r="X855" s="106"/>
      <c r="Y855" s="106"/>
      <c r="Z855" s="106"/>
    </row>
    <row r="856" spans="1:26" ht="13.5" customHeight="1" x14ac:dyDescent="0.2">
      <c r="A856" s="106"/>
      <c r="B856" s="106"/>
      <c r="C856" s="106"/>
      <c r="D856" s="106"/>
      <c r="E856" s="106"/>
      <c r="F856" s="106"/>
      <c r="G856" s="106"/>
      <c r="H856" s="106"/>
      <c r="I856" s="106"/>
      <c r="J856" s="106"/>
      <c r="K856" s="106"/>
      <c r="L856" s="106"/>
      <c r="M856" s="106"/>
      <c r="N856" s="106"/>
      <c r="O856" s="106"/>
      <c r="P856" s="106"/>
      <c r="Q856" s="106"/>
      <c r="R856" s="106"/>
      <c r="S856" s="106"/>
      <c r="T856" s="106"/>
      <c r="U856" s="106"/>
      <c r="V856" s="106"/>
      <c r="W856" s="106"/>
      <c r="X856" s="106"/>
      <c r="Y856" s="106"/>
      <c r="Z856" s="106"/>
    </row>
    <row r="857" spans="1:26" ht="13.5" customHeight="1" x14ac:dyDescent="0.2">
      <c r="A857" s="106"/>
      <c r="B857" s="106"/>
      <c r="C857" s="106"/>
      <c r="D857" s="106"/>
      <c r="E857" s="106"/>
      <c r="F857" s="106"/>
      <c r="G857" s="106"/>
      <c r="H857" s="106"/>
      <c r="I857" s="106"/>
      <c r="J857" s="106"/>
      <c r="K857" s="106"/>
      <c r="L857" s="106"/>
      <c r="M857" s="106"/>
      <c r="N857" s="106"/>
      <c r="O857" s="106"/>
      <c r="P857" s="106"/>
      <c r="Q857" s="106"/>
      <c r="R857" s="106"/>
      <c r="S857" s="106"/>
      <c r="T857" s="106"/>
      <c r="U857" s="106"/>
      <c r="V857" s="106"/>
      <c r="W857" s="106"/>
      <c r="X857" s="106"/>
      <c r="Y857" s="106"/>
      <c r="Z857" s="106"/>
    </row>
    <row r="858" spans="1:26" ht="13.5" customHeight="1" x14ac:dyDescent="0.2">
      <c r="A858" s="106"/>
      <c r="B858" s="106"/>
      <c r="C858" s="106"/>
      <c r="D858" s="106"/>
      <c r="E858" s="106"/>
      <c r="F858" s="106"/>
      <c r="G858" s="106"/>
      <c r="H858" s="106"/>
      <c r="I858" s="106"/>
      <c r="J858" s="106"/>
      <c r="K858" s="106"/>
      <c r="L858" s="106"/>
      <c r="M858" s="106"/>
      <c r="N858" s="106"/>
      <c r="O858" s="106"/>
      <c r="P858" s="106"/>
      <c r="Q858" s="106"/>
      <c r="R858" s="106"/>
      <c r="S858" s="106"/>
      <c r="T858" s="106"/>
      <c r="U858" s="106"/>
      <c r="V858" s="106"/>
      <c r="W858" s="106"/>
      <c r="X858" s="106"/>
      <c r="Y858" s="106"/>
      <c r="Z858" s="106"/>
    </row>
    <row r="859" spans="1:26" ht="13.5" customHeight="1" x14ac:dyDescent="0.2">
      <c r="A859" s="106"/>
      <c r="B859" s="106"/>
      <c r="C859" s="106"/>
      <c r="D859" s="106"/>
      <c r="E859" s="106"/>
      <c r="F859" s="106"/>
      <c r="G859" s="106"/>
      <c r="H859" s="106"/>
      <c r="I859" s="106"/>
      <c r="J859" s="106"/>
      <c r="K859" s="106"/>
      <c r="L859" s="106"/>
      <c r="M859" s="106"/>
      <c r="N859" s="106"/>
      <c r="O859" s="106"/>
      <c r="P859" s="106"/>
      <c r="Q859" s="106"/>
      <c r="R859" s="106"/>
      <c r="S859" s="106"/>
      <c r="T859" s="106"/>
      <c r="U859" s="106"/>
      <c r="V859" s="106"/>
      <c r="W859" s="106"/>
      <c r="X859" s="106"/>
      <c r="Y859" s="106"/>
      <c r="Z859" s="106"/>
    </row>
    <row r="860" spans="1:26" ht="13.5" customHeight="1" x14ac:dyDescent="0.2">
      <c r="A860" s="106"/>
      <c r="B860" s="106"/>
      <c r="C860" s="106"/>
      <c r="D860" s="106"/>
      <c r="E860" s="106"/>
      <c r="F860" s="106"/>
      <c r="G860" s="106"/>
      <c r="H860" s="106"/>
      <c r="I860" s="106"/>
      <c r="J860" s="106"/>
      <c r="K860" s="106"/>
      <c r="L860" s="106"/>
      <c r="M860" s="106"/>
      <c r="N860" s="106"/>
      <c r="O860" s="106"/>
      <c r="P860" s="106"/>
      <c r="Q860" s="106"/>
      <c r="R860" s="106"/>
      <c r="S860" s="106"/>
      <c r="T860" s="106"/>
      <c r="U860" s="106"/>
      <c r="V860" s="106"/>
      <c r="W860" s="106"/>
      <c r="X860" s="106"/>
      <c r="Y860" s="106"/>
      <c r="Z860" s="106"/>
    </row>
    <row r="861" spans="1:26" ht="13.5" customHeight="1" x14ac:dyDescent="0.2">
      <c r="A861" s="106"/>
      <c r="B861" s="106"/>
      <c r="C861" s="106"/>
      <c r="D861" s="106"/>
      <c r="E861" s="106"/>
      <c r="F861" s="106"/>
      <c r="G861" s="106"/>
      <c r="H861" s="106"/>
      <c r="I861" s="106"/>
      <c r="J861" s="106"/>
      <c r="K861" s="106"/>
      <c r="L861" s="106"/>
      <c r="M861" s="106"/>
      <c r="N861" s="106"/>
      <c r="O861" s="106"/>
      <c r="P861" s="106"/>
      <c r="Q861" s="106"/>
      <c r="R861" s="106"/>
      <c r="S861" s="106"/>
      <c r="T861" s="106"/>
      <c r="U861" s="106"/>
      <c r="V861" s="106"/>
      <c r="W861" s="106"/>
      <c r="X861" s="106"/>
      <c r="Y861" s="106"/>
      <c r="Z861" s="106"/>
    </row>
    <row r="862" spans="1:26" ht="13.5" customHeight="1" x14ac:dyDescent="0.2">
      <c r="A862" s="106"/>
      <c r="B862" s="106"/>
      <c r="C862" s="106"/>
      <c r="D862" s="106"/>
      <c r="E862" s="106"/>
      <c r="F862" s="106"/>
      <c r="G862" s="106"/>
      <c r="H862" s="106"/>
      <c r="I862" s="106"/>
      <c r="J862" s="106"/>
      <c r="K862" s="106"/>
      <c r="L862" s="106"/>
      <c r="M862" s="106"/>
      <c r="N862" s="106"/>
      <c r="O862" s="106"/>
      <c r="P862" s="106"/>
      <c r="Q862" s="106"/>
      <c r="R862" s="106"/>
      <c r="S862" s="106"/>
      <c r="T862" s="106"/>
      <c r="U862" s="106"/>
      <c r="V862" s="106"/>
      <c r="W862" s="106"/>
      <c r="X862" s="106"/>
      <c r="Y862" s="106"/>
      <c r="Z862" s="106"/>
    </row>
    <row r="863" spans="1:26" ht="13.5" customHeight="1" x14ac:dyDescent="0.2">
      <c r="A863" s="106"/>
      <c r="B863" s="106"/>
      <c r="C863" s="106"/>
      <c r="D863" s="106"/>
      <c r="E863" s="106"/>
      <c r="F863" s="106"/>
      <c r="G863" s="106"/>
      <c r="H863" s="106"/>
      <c r="I863" s="106"/>
      <c r="J863" s="106"/>
      <c r="K863" s="106"/>
      <c r="L863" s="106"/>
      <c r="M863" s="106"/>
      <c r="N863" s="106"/>
      <c r="O863" s="106"/>
      <c r="P863" s="106"/>
      <c r="Q863" s="106"/>
      <c r="R863" s="106"/>
      <c r="S863" s="106"/>
      <c r="T863" s="106"/>
      <c r="U863" s="106"/>
      <c r="V863" s="106"/>
      <c r="W863" s="106"/>
      <c r="X863" s="106"/>
      <c r="Y863" s="106"/>
      <c r="Z863" s="106"/>
    </row>
    <row r="864" spans="1:26" ht="13.5" customHeight="1" x14ac:dyDescent="0.2">
      <c r="A864" s="106"/>
      <c r="B864" s="106"/>
      <c r="C864" s="106"/>
      <c r="D864" s="106"/>
      <c r="E864" s="106"/>
      <c r="F864" s="106"/>
      <c r="G864" s="106"/>
      <c r="H864" s="106"/>
      <c r="I864" s="106"/>
      <c r="J864" s="106"/>
      <c r="K864" s="106"/>
      <c r="L864" s="106"/>
      <c r="M864" s="106"/>
      <c r="N864" s="106"/>
      <c r="O864" s="106"/>
      <c r="P864" s="106"/>
      <c r="Q864" s="106"/>
      <c r="R864" s="106"/>
      <c r="S864" s="106"/>
      <c r="T864" s="106"/>
      <c r="U864" s="106"/>
      <c r="V864" s="106"/>
      <c r="W864" s="106"/>
      <c r="X864" s="106"/>
      <c r="Y864" s="106"/>
      <c r="Z864" s="106"/>
    </row>
    <row r="865" spans="1:26" ht="13.5" customHeight="1" x14ac:dyDescent="0.2">
      <c r="A865" s="106"/>
      <c r="B865" s="106"/>
      <c r="C865" s="106"/>
      <c r="D865" s="106"/>
      <c r="E865" s="106"/>
      <c r="F865" s="106"/>
      <c r="G865" s="106"/>
      <c r="H865" s="106"/>
      <c r="I865" s="106"/>
      <c r="J865" s="106"/>
      <c r="K865" s="106"/>
      <c r="L865" s="106"/>
      <c r="M865" s="106"/>
      <c r="N865" s="106"/>
      <c r="O865" s="106"/>
      <c r="P865" s="106"/>
      <c r="Q865" s="106"/>
      <c r="R865" s="106"/>
      <c r="S865" s="106"/>
      <c r="T865" s="106"/>
      <c r="U865" s="106"/>
      <c r="V865" s="106"/>
      <c r="W865" s="106"/>
      <c r="X865" s="106"/>
      <c r="Y865" s="106"/>
      <c r="Z865" s="106"/>
    </row>
    <row r="866" spans="1:26" ht="13.5" customHeight="1" x14ac:dyDescent="0.2">
      <c r="A866" s="106"/>
      <c r="B866" s="106"/>
      <c r="C866" s="106"/>
      <c r="D866" s="106"/>
      <c r="E866" s="106"/>
      <c r="F866" s="106"/>
      <c r="G866" s="106"/>
      <c r="H866" s="106"/>
      <c r="I866" s="106"/>
      <c r="J866" s="106"/>
      <c r="K866" s="106"/>
      <c r="L866" s="106"/>
      <c r="M866" s="106"/>
      <c r="N866" s="106"/>
      <c r="O866" s="106"/>
      <c r="P866" s="106"/>
      <c r="Q866" s="106"/>
      <c r="R866" s="106"/>
      <c r="S866" s="106"/>
      <c r="T866" s="106"/>
      <c r="U866" s="106"/>
      <c r="V866" s="106"/>
      <c r="W866" s="106"/>
      <c r="X866" s="106"/>
      <c r="Y866" s="106"/>
      <c r="Z866" s="106"/>
    </row>
    <row r="867" spans="1:26" ht="13.5" customHeight="1" x14ac:dyDescent="0.2">
      <c r="A867" s="106"/>
      <c r="B867" s="106"/>
      <c r="C867" s="106"/>
      <c r="D867" s="106"/>
      <c r="E867" s="106"/>
      <c r="F867" s="106"/>
      <c r="G867" s="106"/>
      <c r="H867" s="106"/>
      <c r="I867" s="106"/>
      <c r="J867" s="106"/>
      <c r="K867" s="106"/>
      <c r="L867" s="106"/>
      <c r="M867" s="106"/>
      <c r="N867" s="106"/>
      <c r="O867" s="106"/>
      <c r="P867" s="106"/>
      <c r="Q867" s="106"/>
      <c r="R867" s="106"/>
      <c r="S867" s="106"/>
      <c r="T867" s="106"/>
      <c r="U867" s="106"/>
      <c r="V867" s="106"/>
      <c r="W867" s="106"/>
      <c r="X867" s="106"/>
      <c r="Y867" s="106"/>
      <c r="Z867" s="106"/>
    </row>
    <row r="868" spans="1:26" ht="13.5" customHeight="1" x14ac:dyDescent="0.2">
      <c r="A868" s="106"/>
      <c r="B868" s="106"/>
      <c r="C868" s="106"/>
      <c r="D868" s="106"/>
      <c r="E868" s="106"/>
      <c r="F868" s="106"/>
      <c r="G868" s="106"/>
      <c r="H868" s="106"/>
      <c r="I868" s="106"/>
      <c r="J868" s="106"/>
      <c r="K868" s="106"/>
      <c r="L868" s="106"/>
      <c r="M868" s="106"/>
      <c r="N868" s="106"/>
      <c r="O868" s="106"/>
      <c r="P868" s="106"/>
      <c r="Q868" s="106"/>
      <c r="R868" s="106"/>
      <c r="S868" s="106"/>
      <c r="T868" s="106"/>
      <c r="U868" s="106"/>
      <c r="V868" s="106"/>
      <c r="W868" s="106"/>
      <c r="X868" s="106"/>
      <c r="Y868" s="106"/>
      <c r="Z868" s="106"/>
    </row>
    <row r="869" spans="1:26" ht="13.5" customHeight="1" x14ac:dyDescent="0.2">
      <c r="A869" s="106"/>
      <c r="B869" s="106"/>
      <c r="C869" s="106"/>
      <c r="D869" s="106"/>
      <c r="E869" s="106"/>
      <c r="F869" s="106"/>
      <c r="G869" s="106"/>
      <c r="H869" s="106"/>
      <c r="I869" s="106"/>
      <c r="J869" s="106"/>
      <c r="K869" s="106"/>
      <c r="L869" s="106"/>
      <c r="M869" s="106"/>
      <c r="N869" s="106"/>
      <c r="O869" s="106"/>
      <c r="P869" s="106"/>
      <c r="Q869" s="106"/>
      <c r="R869" s="106"/>
      <c r="S869" s="106"/>
      <c r="T869" s="106"/>
      <c r="U869" s="106"/>
      <c r="V869" s="106"/>
      <c r="W869" s="106"/>
      <c r="X869" s="106"/>
      <c r="Y869" s="106"/>
      <c r="Z869" s="106"/>
    </row>
    <row r="870" spans="1:26" ht="13.5" customHeight="1" x14ac:dyDescent="0.2">
      <c r="A870" s="106"/>
      <c r="B870" s="106"/>
      <c r="C870" s="106"/>
      <c r="D870" s="106"/>
      <c r="E870" s="106"/>
      <c r="F870" s="106"/>
      <c r="G870" s="106"/>
      <c r="H870" s="106"/>
      <c r="I870" s="106"/>
      <c r="J870" s="106"/>
      <c r="K870" s="106"/>
      <c r="L870" s="106"/>
      <c r="M870" s="106"/>
      <c r="N870" s="106"/>
      <c r="O870" s="106"/>
      <c r="P870" s="106"/>
      <c r="Q870" s="106"/>
      <c r="R870" s="106"/>
      <c r="S870" s="106"/>
      <c r="T870" s="106"/>
      <c r="U870" s="106"/>
      <c r="V870" s="106"/>
      <c r="W870" s="106"/>
      <c r="X870" s="106"/>
      <c r="Y870" s="106"/>
      <c r="Z870" s="106"/>
    </row>
    <row r="871" spans="1:26" ht="13.5" customHeight="1" x14ac:dyDescent="0.2">
      <c r="A871" s="106"/>
      <c r="B871" s="106"/>
      <c r="C871" s="106"/>
      <c r="D871" s="106"/>
      <c r="E871" s="106"/>
      <c r="F871" s="106"/>
      <c r="G871" s="106"/>
      <c r="H871" s="106"/>
      <c r="I871" s="106"/>
      <c r="J871" s="106"/>
      <c r="K871" s="106"/>
      <c r="L871" s="106"/>
      <c r="M871" s="106"/>
      <c r="N871" s="106"/>
      <c r="O871" s="106"/>
      <c r="P871" s="106"/>
      <c r="Q871" s="106"/>
      <c r="R871" s="106"/>
      <c r="S871" s="106"/>
      <c r="T871" s="106"/>
      <c r="U871" s="106"/>
      <c r="V871" s="106"/>
      <c r="W871" s="106"/>
      <c r="X871" s="106"/>
      <c r="Y871" s="106"/>
      <c r="Z871" s="106"/>
    </row>
    <row r="872" spans="1:26" ht="13.5" customHeight="1" x14ac:dyDescent="0.2">
      <c r="A872" s="106"/>
      <c r="B872" s="106"/>
      <c r="C872" s="106"/>
      <c r="D872" s="106"/>
      <c r="E872" s="106"/>
      <c r="F872" s="106"/>
      <c r="G872" s="106"/>
      <c r="H872" s="106"/>
      <c r="I872" s="106"/>
      <c r="J872" s="106"/>
      <c r="K872" s="106"/>
      <c r="L872" s="106"/>
      <c r="M872" s="106"/>
      <c r="N872" s="106"/>
      <c r="O872" s="106"/>
      <c r="P872" s="106"/>
      <c r="Q872" s="106"/>
      <c r="R872" s="106"/>
      <c r="S872" s="106"/>
      <c r="T872" s="106"/>
      <c r="U872" s="106"/>
      <c r="V872" s="106"/>
      <c r="W872" s="106"/>
      <c r="X872" s="106"/>
      <c r="Y872" s="106"/>
      <c r="Z872" s="106"/>
    </row>
    <row r="873" spans="1:26" ht="13.5" customHeight="1" x14ac:dyDescent="0.2">
      <c r="A873" s="106"/>
      <c r="B873" s="106"/>
      <c r="C873" s="106"/>
      <c r="D873" s="106"/>
      <c r="E873" s="106"/>
      <c r="F873" s="106"/>
      <c r="G873" s="106"/>
      <c r="H873" s="106"/>
      <c r="I873" s="106"/>
      <c r="J873" s="106"/>
      <c r="K873" s="106"/>
      <c r="L873" s="106"/>
      <c r="M873" s="106"/>
      <c r="N873" s="106"/>
      <c r="O873" s="106"/>
      <c r="P873" s="106"/>
      <c r="Q873" s="106"/>
      <c r="R873" s="106"/>
      <c r="S873" s="106"/>
      <c r="T873" s="106"/>
      <c r="U873" s="106"/>
      <c r="V873" s="106"/>
      <c r="W873" s="106"/>
      <c r="X873" s="106"/>
      <c r="Y873" s="106"/>
      <c r="Z873" s="106"/>
    </row>
    <row r="874" spans="1:26" ht="13.5" customHeight="1" x14ac:dyDescent="0.2">
      <c r="A874" s="106"/>
      <c r="B874" s="106"/>
      <c r="C874" s="106"/>
      <c r="D874" s="106"/>
      <c r="E874" s="106"/>
      <c r="F874" s="106"/>
      <c r="G874" s="106"/>
      <c r="H874" s="106"/>
      <c r="I874" s="106"/>
      <c r="J874" s="106"/>
      <c r="K874" s="106"/>
      <c r="L874" s="106"/>
      <c r="M874" s="106"/>
      <c r="N874" s="106"/>
      <c r="O874" s="106"/>
      <c r="P874" s="106"/>
      <c r="Q874" s="106"/>
      <c r="R874" s="106"/>
      <c r="S874" s="106"/>
      <c r="T874" s="106"/>
      <c r="U874" s="106"/>
      <c r="V874" s="106"/>
      <c r="W874" s="106"/>
      <c r="X874" s="106"/>
      <c r="Y874" s="106"/>
      <c r="Z874" s="106"/>
    </row>
    <row r="875" spans="1:26" ht="13.5" customHeight="1" x14ac:dyDescent="0.2">
      <c r="A875" s="106"/>
      <c r="B875" s="106"/>
      <c r="C875" s="106"/>
      <c r="D875" s="106"/>
      <c r="E875" s="106"/>
      <c r="F875" s="106"/>
      <c r="G875" s="106"/>
      <c r="H875" s="106"/>
      <c r="I875" s="106"/>
      <c r="J875" s="106"/>
      <c r="K875" s="106"/>
      <c r="L875" s="106"/>
      <c r="M875" s="106"/>
      <c r="N875" s="106"/>
      <c r="O875" s="106"/>
      <c r="P875" s="106"/>
      <c r="Q875" s="106"/>
      <c r="R875" s="106"/>
      <c r="S875" s="106"/>
      <c r="T875" s="106"/>
      <c r="U875" s="106"/>
      <c r="V875" s="106"/>
      <c r="W875" s="106"/>
      <c r="X875" s="106"/>
      <c r="Y875" s="106"/>
      <c r="Z875" s="106"/>
    </row>
    <row r="876" spans="1:26" ht="13.5" customHeight="1" x14ac:dyDescent="0.2">
      <c r="A876" s="106"/>
      <c r="B876" s="106"/>
      <c r="C876" s="106"/>
      <c r="D876" s="106"/>
      <c r="E876" s="106"/>
      <c r="F876" s="106"/>
      <c r="G876" s="106"/>
      <c r="H876" s="106"/>
      <c r="I876" s="106"/>
      <c r="J876" s="106"/>
      <c r="K876" s="106"/>
      <c r="L876" s="106"/>
      <c r="M876" s="106"/>
      <c r="N876" s="106"/>
      <c r="O876" s="106"/>
      <c r="P876" s="106"/>
      <c r="Q876" s="106"/>
      <c r="R876" s="106"/>
      <c r="S876" s="106"/>
      <c r="T876" s="106"/>
      <c r="U876" s="106"/>
      <c r="V876" s="106"/>
      <c r="W876" s="106"/>
      <c r="X876" s="106"/>
      <c r="Y876" s="106"/>
      <c r="Z876" s="106"/>
    </row>
    <row r="877" spans="1:26" ht="13.5" customHeight="1" x14ac:dyDescent="0.2">
      <c r="A877" s="106"/>
      <c r="B877" s="106"/>
      <c r="C877" s="106"/>
      <c r="D877" s="106"/>
      <c r="E877" s="106"/>
      <c r="F877" s="106"/>
      <c r="G877" s="106"/>
      <c r="H877" s="106"/>
      <c r="I877" s="106"/>
      <c r="J877" s="106"/>
      <c r="K877" s="106"/>
      <c r="L877" s="106"/>
      <c r="M877" s="106"/>
      <c r="N877" s="106"/>
      <c r="O877" s="106"/>
      <c r="P877" s="106"/>
      <c r="Q877" s="106"/>
      <c r="R877" s="106"/>
      <c r="S877" s="106"/>
      <c r="T877" s="106"/>
      <c r="U877" s="106"/>
      <c r="V877" s="106"/>
      <c r="W877" s="106"/>
      <c r="X877" s="106"/>
      <c r="Y877" s="106"/>
      <c r="Z877" s="106"/>
    </row>
    <row r="878" spans="1:26" ht="13.5" customHeight="1" x14ac:dyDescent="0.2">
      <c r="A878" s="106"/>
      <c r="B878" s="106"/>
      <c r="C878" s="106"/>
      <c r="D878" s="106"/>
      <c r="E878" s="106"/>
      <c r="F878" s="106"/>
      <c r="G878" s="106"/>
      <c r="H878" s="106"/>
      <c r="I878" s="106"/>
      <c r="J878" s="106"/>
      <c r="K878" s="106"/>
      <c r="L878" s="106"/>
      <c r="M878" s="106"/>
      <c r="N878" s="106"/>
      <c r="O878" s="106"/>
      <c r="P878" s="106"/>
      <c r="Q878" s="106"/>
      <c r="R878" s="106"/>
      <c r="S878" s="106"/>
      <c r="T878" s="106"/>
      <c r="U878" s="106"/>
      <c r="V878" s="106"/>
      <c r="W878" s="106"/>
      <c r="X878" s="106"/>
      <c r="Y878" s="106"/>
      <c r="Z878" s="106"/>
    </row>
    <row r="879" spans="1:26" ht="13.5" customHeight="1" x14ac:dyDescent="0.2">
      <c r="A879" s="106"/>
      <c r="B879" s="106"/>
      <c r="C879" s="106"/>
      <c r="D879" s="106"/>
      <c r="E879" s="106"/>
      <c r="F879" s="106"/>
      <c r="G879" s="106"/>
      <c r="H879" s="106"/>
      <c r="I879" s="106"/>
      <c r="J879" s="106"/>
      <c r="K879" s="106"/>
      <c r="L879" s="106"/>
      <c r="M879" s="106"/>
      <c r="N879" s="106"/>
      <c r="O879" s="106"/>
      <c r="P879" s="106"/>
      <c r="Q879" s="106"/>
      <c r="R879" s="106"/>
      <c r="S879" s="106"/>
      <c r="T879" s="106"/>
      <c r="U879" s="106"/>
      <c r="V879" s="106"/>
      <c r="W879" s="106"/>
      <c r="X879" s="106"/>
      <c r="Y879" s="106"/>
      <c r="Z879" s="106"/>
    </row>
    <row r="880" spans="1:26" ht="13.5" customHeight="1" x14ac:dyDescent="0.2">
      <c r="A880" s="106"/>
      <c r="B880" s="106"/>
      <c r="C880" s="106"/>
      <c r="D880" s="106"/>
      <c r="E880" s="106"/>
      <c r="F880" s="106"/>
      <c r="G880" s="106"/>
      <c r="H880" s="106"/>
      <c r="I880" s="106"/>
      <c r="J880" s="106"/>
      <c r="K880" s="106"/>
      <c r="L880" s="106"/>
      <c r="M880" s="106"/>
      <c r="N880" s="106"/>
      <c r="O880" s="106"/>
      <c r="P880" s="106"/>
      <c r="Q880" s="106"/>
      <c r="R880" s="106"/>
      <c r="S880" s="106"/>
      <c r="T880" s="106"/>
      <c r="U880" s="106"/>
      <c r="V880" s="106"/>
      <c r="W880" s="106"/>
      <c r="X880" s="106"/>
      <c r="Y880" s="106"/>
      <c r="Z880" s="106"/>
    </row>
    <row r="881" spans="1:26" ht="13.5" customHeight="1" x14ac:dyDescent="0.2">
      <c r="A881" s="106"/>
      <c r="B881" s="106"/>
      <c r="C881" s="106"/>
      <c r="D881" s="106"/>
      <c r="E881" s="106"/>
      <c r="F881" s="106"/>
      <c r="G881" s="106"/>
      <c r="H881" s="106"/>
      <c r="I881" s="106"/>
      <c r="J881" s="106"/>
      <c r="K881" s="106"/>
      <c r="L881" s="106"/>
      <c r="M881" s="106"/>
      <c r="N881" s="106"/>
      <c r="O881" s="106"/>
      <c r="P881" s="106"/>
      <c r="Q881" s="106"/>
      <c r="R881" s="106"/>
      <c r="S881" s="106"/>
      <c r="T881" s="106"/>
      <c r="U881" s="106"/>
      <c r="V881" s="106"/>
      <c r="W881" s="106"/>
      <c r="X881" s="106"/>
      <c r="Y881" s="106"/>
      <c r="Z881" s="106"/>
    </row>
    <row r="882" spans="1:26" ht="13.5" customHeight="1" x14ac:dyDescent="0.2">
      <c r="A882" s="106"/>
      <c r="B882" s="106"/>
      <c r="C882" s="106"/>
      <c r="D882" s="106"/>
      <c r="E882" s="106"/>
      <c r="F882" s="106"/>
      <c r="G882" s="106"/>
      <c r="H882" s="106"/>
      <c r="I882" s="106"/>
      <c r="J882" s="106"/>
      <c r="K882" s="106"/>
      <c r="L882" s="106"/>
      <c r="M882" s="106"/>
      <c r="N882" s="106"/>
      <c r="O882" s="106"/>
      <c r="P882" s="106"/>
      <c r="Q882" s="106"/>
      <c r="R882" s="106"/>
      <c r="S882" s="106"/>
      <c r="T882" s="106"/>
      <c r="U882" s="106"/>
      <c r="V882" s="106"/>
      <c r="W882" s="106"/>
      <c r="X882" s="106"/>
      <c r="Y882" s="106"/>
      <c r="Z882" s="106"/>
    </row>
    <row r="883" spans="1:26" ht="13.5" customHeight="1" x14ac:dyDescent="0.2">
      <c r="A883" s="106"/>
      <c r="B883" s="106"/>
      <c r="C883" s="106"/>
      <c r="D883" s="106"/>
      <c r="E883" s="106"/>
      <c r="F883" s="106"/>
      <c r="G883" s="106"/>
      <c r="H883" s="106"/>
      <c r="I883" s="106"/>
      <c r="J883" s="106"/>
      <c r="K883" s="106"/>
      <c r="L883" s="106"/>
      <c r="M883" s="106"/>
      <c r="N883" s="106"/>
      <c r="O883" s="106"/>
      <c r="P883" s="106"/>
      <c r="Q883" s="106"/>
      <c r="R883" s="106"/>
      <c r="S883" s="106"/>
      <c r="T883" s="106"/>
      <c r="U883" s="106"/>
      <c r="V883" s="106"/>
      <c r="W883" s="106"/>
      <c r="X883" s="106"/>
      <c r="Y883" s="106"/>
      <c r="Z883" s="106"/>
    </row>
    <row r="884" spans="1:26" ht="13.5" customHeight="1" x14ac:dyDescent="0.2">
      <c r="A884" s="106"/>
      <c r="B884" s="106"/>
      <c r="C884" s="106"/>
      <c r="D884" s="106"/>
      <c r="E884" s="106"/>
      <c r="F884" s="106"/>
      <c r="G884" s="106"/>
      <c r="H884" s="106"/>
      <c r="I884" s="106"/>
      <c r="J884" s="106"/>
      <c r="K884" s="106"/>
      <c r="L884" s="106"/>
      <c r="M884" s="106"/>
      <c r="N884" s="106"/>
      <c r="O884" s="106"/>
      <c r="P884" s="106"/>
      <c r="Q884" s="106"/>
      <c r="R884" s="106"/>
      <c r="S884" s="106"/>
      <c r="T884" s="106"/>
      <c r="U884" s="106"/>
      <c r="V884" s="106"/>
      <c r="W884" s="106"/>
      <c r="X884" s="106"/>
      <c r="Y884" s="106"/>
      <c r="Z884" s="106"/>
    </row>
    <row r="885" spans="1:26" ht="13.5" customHeight="1" x14ac:dyDescent="0.2">
      <c r="A885" s="106"/>
      <c r="B885" s="106"/>
      <c r="C885" s="106"/>
      <c r="D885" s="106"/>
      <c r="E885" s="106"/>
      <c r="F885" s="106"/>
      <c r="G885" s="106"/>
      <c r="H885" s="106"/>
      <c r="I885" s="106"/>
      <c r="J885" s="106"/>
      <c r="K885" s="106"/>
      <c r="L885" s="106"/>
      <c r="M885" s="106"/>
      <c r="N885" s="106"/>
      <c r="O885" s="106"/>
      <c r="P885" s="106"/>
      <c r="Q885" s="106"/>
      <c r="R885" s="106"/>
      <c r="S885" s="106"/>
      <c r="T885" s="106"/>
      <c r="U885" s="106"/>
      <c r="V885" s="106"/>
      <c r="W885" s="106"/>
      <c r="X885" s="106"/>
      <c r="Y885" s="106"/>
      <c r="Z885" s="106"/>
    </row>
    <row r="886" spans="1:26" ht="13.5" customHeight="1" x14ac:dyDescent="0.2">
      <c r="A886" s="106"/>
      <c r="B886" s="106"/>
      <c r="C886" s="106"/>
      <c r="D886" s="106"/>
      <c r="E886" s="106"/>
      <c r="F886" s="106"/>
      <c r="G886" s="106"/>
      <c r="H886" s="106"/>
      <c r="I886" s="106"/>
      <c r="J886" s="106"/>
      <c r="K886" s="106"/>
      <c r="L886" s="106"/>
      <c r="M886" s="106"/>
      <c r="N886" s="106"/>
      <c r="O886" s="106"/>
      <c r="P886" s="106"/>
      <c r="Q886" s="106"/>
      <c r="R886" s="106"/>
      <c r="S886" s="106"/>
      <c r="T886" s="106"/>
      <c r="U886" s="106"/>
      <c r="V886" s="106"/>
      <c r="W886" s="106"/>
      <c r="X886" s="106"/>
      <c r="Y886" s="106"/>
      <c r="Z886" s="106"/>
    </row>
    <row r="887" spans="1:26" ht="13.5" customHeight="1" x14ac:dyDescent="0.2">
      <c r="A887" s="106"/>
      <c r="B887" s="106"/>
      <c r="C887" s="106"/>
      <c r="D887" s="106"/>
      <c r="E887" s="106"/>
      <c r="F887" s="106"/>
      <c r="G887" s="106"/>
      <c r="H887" s="106"/>
      <c r="I887" s="106"/>
      <c r="J887" s="106"/>
      <c r="K887" s="106"/>
      <c r="L887" s="106"/>
      <c r="M887" s="106"/>
      <c r="N887" s="106"/>
      <c r="O887" s="106"/>
      <c r="P887" s="106"/>
      <c r="Q887" s="106"/>
      <c r="R887" s="106"/>
      <c r="S887" s="106"/>
      <c r="T887" s="106"/>
      <c r="U887" s="106"/>
      <c r="V887" s="106"/>
      <c r="W887" s="106"/>
      <c r="X887" s="106"/>
      <c r="Y887" s="106"/>
      <c r="Z887" s="106"/>
    </row>
    <row r="888" spans="1:26" ht="13.5" customHeight="1" x14ac:dyDescent="0.2">
      <c r="A888" s="106"/>
      <c r="B888" s="106"/>
      <c r="C888" s="106"/>
      <c r="D888" s="106"/>
      <c r="E888" s="106"/>
      <c r="F888" s="106"/>
      <c r="G888" s="106"/>
      <c r="H888" s="106"/>
      <c r="I888" s="106"/>
      <c r="J888" s="106"/>
      <c r="K888" s="106"/>
      <c r="L888" s="106"/>
      <c r="M888" s="106"/>
      <c r="N888" s="106"/>
      <c r="O888" s="106"/>
      <c r="P888" s="106"/>
      <c r="Q888" s="106"/>
      <c r="R888" s="106"/>
      <c r="S888" s="106"/>
      <c r="T888" s="106"/>
      <c r="U888" s="106"/>
      <c r="V888" s="106"/>
      <c r="W888" s="106"/>
      <c r="X888" s="106"/>
      <c r="Y888" s="106"/>
      <c r="Z888" s="106"/>
    </row>
    <row r="889" spans="1:26" ht="13.5" customHeight="1" x14ac:dyDescent="0.2">
      <c r="A889" s="106"/>
      <c r="B889" s="106"/>
      <c r="C889" s="106"/>
      <c r="D889" s="106"/>
      <c r="E889" s="106"/>
      <c r="F889" s="106"/>
      <c r="G889" s="106"/>
      <c r="H889" s="106"/>
      <c r="I889" s="106"/>
      <c r="J889" s="106"/>
      <c r="K889" s="106"/>
      <c r="L889" s="106"/>
      <c r="M889" s="106"/>
      <c r="N889" s="106"/>
      <c r="O889" s="106"/>
      <c r="P889" s="106"/>
      <c r="Q889" s="106"/>
      <c r="R889" s="106"/>
      <c r="S889" s="106"/>
      <c r="T889" s="106"/>
      <c r="U889" s="106"/>
      <c r="V889" s="106"/>
      <c r="W889" s="106"/>
      <c r="X889" s="106"/>
      <c r="Y889" s="106"/>
      <c r="Z889" s="106"/>
    </row>
    <row r="890" spans="1:26" ht="13.5" customHeight="1" x14ac:dyDescent="0.2">
      <c r="A890" s="106"/>
      <c r="B890" s="106"/>
      <c r="C890" s="106"/>
      <c r="D890" s="106"/>
      <c r="E890" s="106"/>
      <c r="F890" s="106"/>
      <c r="G890" s="106"/>
      <c r="H890" s="106"/>
      <c r="I890" s="106"/>
      <c r="J890" s="106"/>
      <c r="K890" s="106"/>
      <c r="L890" s="106"/>
      <c r="M890" s="106"/>
      <c r="N890" s="106"/>
      <c r="O890" s="106"/>
      <c r="P890" s="106"/>
      <c r="Q890" s="106"/>
      <c r="R890" s="106"/>
      <c r="S890" s="106"/>
      <c r="T890" s="106"/>
      <c r="U890" s="106"/>
      <c r="V890" s="106"/>
      <c r="W890" s="106"/>
      <c r="X890" s="106"/>
      <c r="Y890" s="106"/>
      <c r="Z890" s="106"/>
    </row>
    <row r="891" spans="1:26" ht="13.5" customHeight="1" x14ac:dyDescent="0.2">
      <c r="A891" s="106"/>
      <c r="B891" s="106"/>
      <c r="C891" s="106"/>
      <c r="D891" s="106"/>
      <c r="E891" s="106"/>
      <c r="F891" s="106"/>
      <c r="G891" s="106"/>
      <c r="H891" s="106"/>
      <c r="I891" s="106"/>
      <c r="J891" s="106"/>
      <c r="K891" s="106"/>
      <c r="L891" s="106"/>
      <c r="M891" s="106"/>
      <c r="N891" s="106"/>
      <c r="O891" s="106"/>
      <c r="P891" s="106"/>
      <c r="Q891" s="106"/>
      <c r="R891" s="106"/>
      <c r="S891" s="106"/>
      <c r="T891" s="106"/>
      <c r="U891" s="106"/>
      <c r="V891" s="106"/>
      <c r="W891" s="106"/>
      <c r="X891" s="106"/>
      <c r="Y891" s="106"/>
      <c r="Z891" s="106"/>
    </row>
    <row r="892" spans="1:26" ht="13.5" customHeight="1" x14ac:dyDescent="0.2">
      <c r="A892" s="106"/>
      <c r="B892" s="106"/>
      <c r="C892" s="106"/>
      <c r="D892" s="106"/>
      <c r="E892" s="106"/>
      <c r="F892" s="106"/>
      <c r="G892" s="106"/>
      <c r="H892" s="106"/>
      <c r="I892" s="106"/>
      <c r="J892" s="106"/>
      <c r="K892" s="106"/>
      <c r="L892" s="106"/>
      <c r="M892" s="106"/>
      <c r="N892" s="106"/>
      <c r="O892" s="106"/>
      <c r="P892" s="106"/>
      <c r="Q892" s="106"/>
      <c r="R892" s="106"/>
      <c r="S892" s="106"/>
      <c r="T892" s="106"/>
      <c r="U892" s="106"/>
      <c r="V892" s="106"/>
      <c r="W892" s="106"/>
      <c r="X892" s="106"/>
      <c r="Y892" s="106"/>
      <c r="Z892" s="106"/>
    </row>
    <row r="893" spans="1:26" ht="13.5" customHeight="1" x14ac:dyDescent="0.2">
      <c r="A893" s="106"/>
      <c r="B893" s="106"/>
      <c r="C893" s="106"/>
      <c r="D893" s="106"/>
      <c r="E893" s="106"/>
      <c r="F893" s="106"/>
      <c r="G893" s="106"/>
      <c r="H893" s="106"/>
      <c r="I893" s="106"/>
      <c r="J893" s="106"/>
      <c r="K893" s="106"/>
      <c r="L893" s="106"/>
      <c r="M893" s="106"/>
      <c r="N893" s="106"/>
      <c r="O893" s="106"/>
      <c r="P893" s="106"/>
      <c r="Q893" s="106"/>
      <c r="R893" s="106"/>
      <c r="S893" s="106"/>
      <c r="T893" s="106"/>
      <c r="U893" s="106"/>
      <c r="V893" s="106"/>
      <c r="W893" s="106"/>
      <c r="X893" s="106"/>
      <c r="Y893" s="106"/>
      <c r="Z893" s="106"/>
    </row>
    <row r="894" spans="1:26" ht="13.5" customHeight="1" x14ac:dyDescent="0.2">
      <c r="A894" s="106"/>
      <c r="B894" s="106"/>
      <c r="C894" s="106"/>
      <c r="D894" s="106"/>
      <c r="E894" s="106"/>
      <c r="F894" s="106"/>
      <c r="G894" s="106"/>
      <c r="H894" s="106"/>
      <c r="I894" s="106"/>
      <c r="J894" s="106"/>
      <c r="K894" s="106"/>
      <c r="L894" s="106"/>
      <c r="M894" s="106"/>
      <c r="N894" s="106"/>
      <c r="O894" s="106"/>
      <c r="P894" s="106"/>
      <c r="Q894" s="106"/>
      <c r="R894" s="106"/>
      <c r="S894" s="106"/>
      <c r="T894" s="106"/>
      <c r="U894" s="106"/>
      <c r="V894" s="106"/>
      <c r="W894" s="106"/>
      <c r="X894" s="106"/>
      <c r="Y894" s="106"/>
      <c r="Z894" s="106"/>
    </row>
    <row r="895" spans="1:26" ht="13.5" customHeight="1" x14ac:dyDescent="0.2">
      <c r="A895" s="106"/>
      <c r="B895" s="106"/>
      <c r="C895" s="106"/>
      <c r="D895" s="106"/>
      <c r="E895" s="106"/>
      <c r="F895" s="106"/>
      <c r="G895" s="106"/>
      <c r="H895" s="106"/>
      <c r="I895" s="106"/>
      <c r="J895" s="106"/>
      <c r="K895" s="106"/>
      <c r="L895" s="106"/>
      <c r="M895" s="106"/>
      <c r="N895" s="106"/>
      <c r="O895" s="106"/>
      <c r="P895" s="106"/>
      <c r="Q895" s="106"/>
      <c r="R895" s="106"/>
      <c r="S895" s="106"/>
      <c r="T895" s="106"/>
      <c r="U895" s="106"/>
      <c r="V895" s="106"/>
      <c r="W895" s="106"/>
      <c r="X895" s="106"/>
      <c r="Y895" s="106"/>
      <c r="Z895" s="106"/>
    </row>
    <row r="896" spans="1:26" ht="13.5" customHeight="1" x14ac:dyDescent="0.2">
      <c r="A896" s="106"/>
      <c r="B896" s="106"/>
      <c r="C896" s="106"/>
      <c r="D896" s="106"/>
      <c r="E896" s="106"/>
      <c r="F896" s="106"/>
      <c r="G896" s="106"/>
      <c r="H896" s="106"/>
      <c r="I896" s="106"/>
      <c r="J896" s="106"/>
      <c r="K896" s="106"/>
      <c r="L896" s="106"/>
      <c r="M896" s="106"/>
      <c r="N896" s="106"/>
      <c r="O896" s="106"/>
      <c r="P896" s="106"/>
      <c r="Q896" s="106"/>
      <c r="R896" s="106"/>
      <c r="S896" s="106"/>
      <c r="T896" s="106"/>
      <c r="U896" s="106"/>
      <c r="V896" s="106"/>
      <c r="W896" s="106"/>
      <c r="X896" s="106"/>
      <c r="Y896" s="106"/>
      <c r="Z896" s="106"/>
    </row>
    <row r="897" spans="1:26" ht="13.5" customHeight="1" x14ac:dyDescent="0.2">
      <c r="A897" s="106"/>
      <c r="B897" s="106"/>
      <c r="C897" s="106"/>
      <c r="D897" s="106"/>
      <c r="E897" s="106"/>
      <c r="F897" s="106"/>
      <c r="G897" s="106"/>
      <c r="H897" s="106"/>
      <c r="I897" s="106"/>
      <c r="J897" s="106"/>
      <c r="K897" s="106"/>
      <c r="L897" s="106"/>
      <c r="M897" s="106"/>
      <c r="N897" s="106"/>
      <c r="O897" s="106"/>
      <c r="P897" s="106"/>
      <c r="Q897" s="106"/>
      <c r="R897" s="106"/>
      <c r="S897" s="106"/>
      <c r="T897" s="106"/>
      <c r="U897" s="106"/>
      <c r="V897" s="106"/>
      <c r="W897" s="106"/>
      <c r="X897" s="106"/>
      <c r="Y897" s="106"/>
      <c r="Z897" s="106"/>
    </row>
    <row r="898" spans="1:26" ht="13.5" customHeight="1" x14ac:dyDescent="0.2">
      <c r="A898" s="106"/>
      <c r="B898" s="106"/>
      <c r="C898" s="106"/>
      <c r="D898" s="106"/>
      <c r="E898" s="106"/>
      <c r="F898" s="106"/>
      <c r="G898" s="106"/>
      <c r="H898" s="106"/>
      <c r="I898" s="106"/>
      <c r="J898" s="106"/>
      <c r="K898" s="106"/>
      <c r="L898" s="106"/>
      <c r="M898" s="106"/>
      <c r="N898" s="106"/>
      <c r="O898" s="106"/>
      <c r="P898" s="106"/>
      <c r="Q898" s="106"/>
      <c r="R898" s="106"/>
      <c r="S898" s="106"/>
      <c r="T898" s="106"/>
      <c r="U898" s="106"/>
      <c r="V898" s="106"/>
      <c r="W898" s="106"/>
      <c r="X898" s="106"/>
      <c r="Y898" s="106"/>
      <c r="Z898" s="106"/>
    </row>
    <row r="899" spans="1:26" ht="13.5" customHeight="1" x14ac:dyDescent="0.2">
      <c r="A899" s="106"/>
      <c r="B899" s="106"/>
      <c r="C899" s="106"/>
      <c r="D899" s="106"/>
      <c r="E899" s="106"/>
      <c r="F899" s="106"/>
      <c r="G899" s="106"/>
      <c r="H899" s="106"/>
      <c r="I899" s="106"/>
      <c r="J899" s="106"/>
      <c r="K899" s="106"/>
      <c r="L899" s="106"/>
      <c r="M899" s="106"/>
      <c r="N899" s="106"/>
      <c r="O899" s="106"/>
      <c r="P899" s="106"/>
      <c r="Q899" s="106"/>
      <c r="R899" s="106"/>
      <c r="S899" s="106"/>
      <c r="T899" s="106"/>
      <c r="U899" s="106"/>
      <c r="V899" s="106"/>
      <c r="W899" s="106"/>
      <c r="X899" s="106"/>
      <c r="Y899" s="106"/>
      <c r="Z899" s="106"/>
    </row>
    <row r="900" spans="1:26" ht="13.5" customHeight="1" x14ac:dyDescent="0.2">
      <c r="A900" s="106"/>
      <c r="B900" s="106"/>
      <c r="C900" s="106"/>
      <c r="D900" s="106"/>
      <c r="E900" s="106"/>
      <c r="F900" s="106"/>
      <c r="G900" s="106"/>
      <c r="H900" s="106"/>
      <c r="I900" s="106"/>
      <c r="J900" s="106"/>
      <c r="K900" s="106"/>
      <c r="L900" s="106"/>
      <c r="M900" s="106"/>
      <c r="N900" s="106"/>
      <c r="O900" s="106"/>
      <c r="P900" s="106"/>
      <c r="Q900" s="106"/>
      <c r="R900" s="106"/>
      <c r="S900" s="106"/>
      <c r="T900" s="106"/>
      <c r="U900" s="106"/>
      <c r="V900" s="106"/>
      <c r="W900" s="106"/>
      <c r="X900" s="106"/>
      <c r="Y900" s="106"/>
      <c r="Z900" s="106"/>
    </row>
    <row r="901" spans="1:26" ht="13.5" customHeight="1" x14ac:dyDescent="0.2">
      <c r="A901" s="106"/>
      <c r="B901" s="106"/>
      <c r="C901" s="106"/>
      <c r="D901" s="106"/>
      <c r="E901" s="106"/>
      <c r="F901" s="106"/>
      <c r="G901" s="106"/>
      <c r="H901" s="106"/>
      <c r="I901" s="106"/>
      <c r="J901" s="106"/>
      <c r="K901" s="106"/>
      <c r="L901" s="106"/>
      <c r="M901" s="106"/>
      <c r="N901" s="106"/>
      <c r="O901" s="106"/>
      <c r="P901" s="106"/>
      <c r="Q901" s="106"/>
      <c r="R901" s="106"/>
      <c r="S901" s="106"/>
      <c r="T901" s="106"/>
      <c r="U901" s="106"/>
      <c r="V901" s="106"/>
      <c r="W901" s="106"/>
      <c r="X901" s="106"/>
      <c r="Y901" s="106"/>
      <c r="Z901" s="106"/>
    </row>
    <row r="902" spans="1:26" ht="13.5" customHeight="1" x14ac:dyDescent="0.2">
      <c r="A902" s="106"/>
      <c r="B902" s="106"/>
      <c r="C902" s="106"/>
      <c r="D902" s="106"/>
      <c r="E902" s="106"/>
      <c r="F902" s="106"/>
      <c r="G902" s="106"/>
      <c r="H902" s="106"/>
      <c r="I902" s="106"/>
      <c r="J902" s="106"/>
      <c r="K902" s="106"/>
      <c r="L902" s="106"/>
      <c r="M902" s="106"/>
      <c r="N902" s="106"/>
      <c r="O902" s="106"/>
      <c r="P902" s="106"/>
      <c r="Q902" s="106"/>
      <c r="R902" s="106"/>
      <c r="S902" s="106"/>
      <c r="T902" s="106"/>
      <c r="U902" s="106"/>
      <c r="V902" s="106"/>
      <c r="W902" s="106"/>
      <c r="X902" s="106"/>
      <c r="Y902" s="106"/>
      <c r="Z902" s="106"/>
    </row>
    <row r="903" spans="1:26" ht="13.5" customHeight="1" x14ac:dyDescent="0.2">
      <c r="A903" s="106"/>
      <c r="B903" s="106"/>
      <c r="C903" s="106"/>
      <c r="D903" s="106"/>
      <c r="E903" s="106"/>
      <c r="F903" s="106"/>
      <c r="G903" s="106"/>
      <c r="H903" s="106"/>
      <c r="I903" s="106"/>
      <c r="J903" s="106"/>
      <c r="K903" s="106"/>
      <c r="L903" s="106"/>
      <c r="M903" s="106"/>
      <c r="N903" s="106"/>
      <c r="O903" s="106"/>
      <c r="P903" s="106"/>
      <c r="Q903" s="106"/>
      <c r="R903" s="106"/>
      <c r="S903" s="106"/>
      <c r="T903" s="106"/>
      <c r="U903" s="106"/>
      <c r="V903" s="106"/>
      <c r="W903" s="106"/>
      <c r="X903" s="106"/>
      <c r="Y903" s="106"/>
      <c r="Z903" s="106"/>
    </row>
    <row r="904" spans="1:26" ht="13.5" customHeight="1" x14ac:dyDescent="0.2">
      <c r="A904" s="106"/>
      <c r="B904" s="106"/>
      <c r="C904" s="106"/>
      <c r="D904" s="106"/>
      <c r="E904" s="106"/>
      <c r="F904" s="106"/>
      <c r="G904" s="106"/>
      <c r="H904" s="106"/>
      <c r="I904" s="106"/>
      <c r="J904" s="106"/>
      <c r="K904" s="106"/>
      <c r="L904" s="106"/>
      <c r="M904" s="106"/>
      <c r="N904" s="106"/>
      <c r="O904" s="106"/>
      <c r="P904" s="106"/>
      <c r="Q904" s="106"/>
      <c r="R904" s="106"/>
      <c r="S904" s="106"/>
      <c r="T904" s="106"/>
      <c r="U904" s="106"/>
      <c r="V904" s="106"/>
      <c r="W904" s="106"/>
      <c r="X904" s="106"/>
      <c r="Y904" s="106"/>
      <c r="Z904" s="106"/>
    </row>
    <row r="905" spans="1:26" ht="13.5" customHeight="1" x14ac:dyDescent="0.2">
      <c r="A905" s="106"/>
      <c r="B905" s="106"/>
      <c r="C905" s="106"/>
      <c r="D905" s="106"/>
      <c r="E905" s="106"/>
      <c r="F905" s="106"/>
      <c r="G905" s="106"/>
      <c r="H905" s="106"/>
      <c r="I905" s="106"/>
      <c r="J905" s="106"/>
      <c r="K905" s="106"/>
      <c r="L905" s="106"/>
      <c r="M905" s="106"/>
      <c r="N905" s="106"/>
      <c r="O905" s="106"/>
      <c r="P905" s="106"/>
      <c r="Q905" s="106"/>
      <c r="R905" s="106"/>
      <c r="S905" s="106"/>
      <c r="T905" s="106"/>
      <c r="U905" s="106"/>
      <c r="V905" s="106"/>
      <c r="W905" s="106"/>
      <c r="X905" s="106"/>
      <c r="Y905" s="106"/>
      <c r="Z905" s="106"/>
    </row>
    <row r="906" spans="1:26" ht="13.5" customHeight="1" x14ac:dyDescent="0.2">
      <c r="A906" s="106"/>
      <c r="B906" s="106"/>
      <c r="C906" s="106"/>
      <c r="D906" s="106"/>
      <c r="E906" s="106"/>
      <c r="F906" s="106"/>
      <c r="G906" s="106"/>
      <c r="H906" s="106"/>
      <c r="I906" s="106"/>
      <c r="J906" s="106"/>
      <c r="K906" s="106"/>
      <c r="L906" s="106"/>
      <c r="M906" s="106"/>
      <c r="N906" s="106"/>
      <c r="O906" s="106"/>
      <c r="P906" s="106"/>
      <c r="Q906" s="106"/>
      <c r="R906" s="106"/>
      <c r="S906" s="106"/>
      <c r="T906" s="106"/>
      <c r="U906" s="106"/>
      <c r="V906" s="106"/>
      <c r="W906" s="106"/>
      <c r="X906" s="106"/>
      <c r="Y906" s="106"/>
      <c r="Z906" s="106"/>
    </row>
    <row r="907" spans="1:26" ht="13.5" customHeight="1" x14ac:dyDescent="0.2">
      <c r="A907" s="106"/>
      <c r="B907" s="106"/>
      <c r="C907" s="106"/>
      <c r="D907" s="106"/>
      <c r="E907" s="106"/>
      <c r="F907" s="106"/>
      <c r="G907" s="106"/>
      <c r="H907" s="106"/>
      <c r="I907" s="106"/>
      <c r="J907" s="106"/>
      <c r="K907" s="106"/>
      <c r="L907" s="106"/>
      <c r="M907" s="106"/>
      <c r="N907" s="106"/>
      <c r="O907" s="106"/>
      <c r="P907" s="106"/>
      <c r="Q907" s="106"/>
      <c r="R907" s="106"/>
      <c r="S907" s="106"/>
      <c r="T907" s="106"/>
      <c r="U907" s="106"/>
      <c r="V907" s="106"/>
      <c r="W907" s="106"/>
      <c r="X907" s="106"/>
      <c r="Y907" s="106"/>
      <c r="Z907" s="106"/>
    </row>
    <row r="908" spans="1:26" ht="13.5" customHeight="1" x14ac:dyDescent="0.2">
      <c r="A908" s="106"/>
      <c r="B908" s="106"/>
      <c r="C908" s="106"/>
      <c r="D908" s="106"/>
      <c r="E908" s="106"/>
      <c r="F908" s="106"/>
      <c r="G908" s="106"/>
      <c r="H908" s="106"/>
      <c r="I908" s="106"/>
      <c r="J908" s="106"/>
      <c r="K908" s="106"/>
      <c r="L908" s="106"/>
      <c r="M908" s="106"/>
      <c r="N908" s="106"/>
      <c r="O908" s="106"/>
      <c r="P908" s="106"/>
      <c r="Q908" s="106"/>
      <c r="R908" s="106"/>
      <c r="S908" s="106"/>
      <c r="T908" s="106"/>
      <c r="U908" s="106"/>
      <c r="V908" s="106"/>
      <c r="W908" s="106"/>
      <c r="X908" s="106"/>
      <c r="Y908" s="106"/>
      <c r="Z908" s="106"/>
    </row>
    <row r="909" spans="1:26" ht="13.5" customHeight="1" x14ac:dyDescent="0.2">
      <c r="A909" s="106"/>
      <c r="B909" s="106"/>
      <c r="C909" s="106"/>
      <c r="D909" s="106"/>
      <c r="E909" s="106"/>
      <c r="F909" s="106"/>
      <c r="G909" s="106"/>
      <c r="H909" s="106"/>
      <c r="I909" s="106"/>
      <c r="J909" s="106"/>
      <c r="K909" s="106"/>
      <c r="L909" s="106"/>
      <c r="M909" s="106"/>
      <c r="N909" s="106"/>
      <c r="O909" s="106"/>
      <c r="P909" s="106"/>
      <c r="Q909" s="106"/>
      <c r="R909" s="106"/>
      <c r="S909" s="106"/>
      <c r="T909" s="106"/>
      <c r="U909" s="106"/>
      <c r="V909" s="106"/>
      <c r="W909" s="106"/>
      <c r="X909" s="106"/>
      <c r="Y909" s="106"/>
      <c r="Z909" s="106"/>
    </row>
    <row r="910" spans="1:26" ht="13.5" customHeight="1" x14ac:dyDescent="0.2">
      <c r="A910" s="106"/>
      <c r="B910" s="106"/>
      <c r="C910" s="106"/>
      <c r="D910" s="106"/>
      <c r="E910" s="106"/>
      <c r="F910" s="106"/>
      <c r="G910" s="106"/>
      <c r="H910" s="106"/>
      <c r="I910" s="106"/>
      <c r="J910" s="106"/>
      <c r="K910" s="106"/>
      <c r="L910" s="106"/>
      <c r="M910" s="106"/>
      <c r="N910" s="106"/>
      <c r="O910" s="106"/>
      <c r="P910" s="106"/>
      <c r="Q910" s="106"/>
      <c r="R910" s="106"/>
      <c r="S910" s="106"/>
      <c r="T910" s="106"/>
      <c r="U910" s="106"/>
      <c r="V910" s="106"/>
      <c r="W910" s="106"/>
      <c r="X910" s="106"/>
      <c r="Y910" s="106"/>
      <c r="Z910" s="106"/>
    </row>
    <row r="911" spans="1:26" ht="13.5" customHeight="1" x14ac:dyDescent="0.2">
      <c r="A911" s="106"/>
      <c r="B911" s="106"/>
      <c r="C911" s="106"/>
      <c r="D911" s="106"/>
      <c r="E911" s="106"/>
      <c r="F911" s="106"/>
      <c r="G911" s="106"/>
      <c r="H911" s="106"/>
      <c r="I911" s="106"/>
      <c r="J911" s="106"/>
      <c r="K911" s="106"/>
      <c r="L911" s="106"/>
      <c r="M911" s="106"/>
      <c r="N911" s="106"/>
      <c r="O911" s="106"/>
      <c r="P911" s="106"/>
      <c r="Q911" s="106"/>
      <c r="R911" s="106"/>
      <c r="S911" s="106"/>
      <c r="T911" s="106"/>
      <c r="U911" s="106"/>
      <c r="V911" s="106"/>
      <c r="W911" s="106"/>
      <c r="X911" s="106"/>
      <c r="Y911" s="106"/>
      <c r="Z911" s="106"/>
    </row>
    <row r="912" spans="1:26" ht="13.5" customHeight="1" x14ac:dyDescent="0.2">
      <c r="A912" s="106"/>
      <c r="B912" s="106"/>
      <c r="C912" s="106"/>
      <c r="D912" s="106"/>
      <c r="E912" s="106"/>
      <c r="F912" s="106"/>
      <c r="G912" s="106"/>
      <c r="H912" s="106"/>
      <c r="I912" s="106"/>
      <c r="J912" s="106"/>
      <c r="K912" s="106"/>
      <c r="L912" s="106"/>
      <c r="M912" s="106"/>
      <c r="N912" s="106"/>
      <c r="O912" s="106"/>
      <c r="P912" s="106"/>
      <c r="Q912" s="106"/>
      <c r="R912" s="106"/>
      <c r="S912" s="106"/>
      <c r="T912" s="106"/>
      <c r="U912" s="106"/>
      <c r="V912" s="106"/>
      <c r="W912" s="106"/>
      <c r="X912" s="106"/>
      <c r="Y912" s="106"/>
      <c r="Z912" s="106"/>
    </row>
    <row r="913" spans="1:26" ht="13.5" customHeight="1" x14ac:dyDescent="0.2">
      <c r="A913" s="106"/>
      <c r="B913" s="106"/>
      <c r="C913" s="106"/>
      <c r="D913" s="106"/>
      <c r="E913" s="106"/>
      <c r="F913" s="106"/>
      <c r="G913" s="106"/>
      <c r="H913" s="106"/>
      <c r="I913" s="106"/>
      <c r="J913" s="106"/>
      <c r="K913" s="106"/>
      <c r="L913" s="106"/>
      <c r="M913" s="106"/>
      <c r="N913" s="106"/>
      <c r="O913" s="106"/>
      <c r="P913" s="106"/>
      <c r="Q913" s="106"/>
      <c r="R913" s="106"/>
      <c r="S913" s="106"/>
      <c r="T913" s="106"/>
      <c r="U913" s="106"/>
      <c r="V913" s="106"/>
      <c r="W913" s="106"/>
      <c r="X913" s="106"/>
      <c r="Y913" s="106"/>
      <c r="Z913" s="106"/>
    </row>
    <row r="914" spans="1:26" ht="13.5" customHeight="1" x14ac:dyDescent="0.2">
      <c r="A914" s="106"/>
      <c r="B914" s="106"/>
      <c r="C914" s="106"/>
      <c r="D914" s="106"/>
      <c r="E914" s="106"/>
      <c r="F914" s="106"/>
      <c r="G914" s="106"/>
      <c r="H914" s="106"/>
      <c r="I914" s="106"/>
      <c r="J914" s="106"/>
      <c r="K914" s="106"/>
      <c r="L914" s="106"/>
      <c r="M914" s="106"/>
      <c r="N914" s="106"/>
      <c r="O914" s="106"/>
      <c r="P914" s="106"/>
      <c r="Q914" s="106"/>
      <c r="R914" s="106"/>
      <c r="S914" s="106"/>
      <c r="T914" s="106"/>
      <c r="U914" s="106"/>
      <c r="V914" s="106"/>
      <c r="W914" s="106"/>
      <c r="X914" s="106"/>
      <c r="Y914" s="106"/>
      <c r="Z914" s="106"/>
    </row>
    <row r="915" spans="1:26" ht="13.5" customHeight="1" x14ac:dyDescent="0.2">
      <c r="A915" s="106"/>
      <c r="B915" s="106"/>
      <c r="C915" s="106"/>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row>
    <row r="916" spans="1:26" ht="13.5" customHeight="1" x14ac:dyDescent="0.2">
      <c r="A916" s="106"/>
      <c r="B916" s="106"/>
      <c r="C916" s="106"/>
      <c r="D916" s="106"/>
      <c r="E916" s="106"/>
      <c r="F916" s="106"/>
      <c r="G916" s="106"/>
      <c r="H916" s="106"/>
      <c r="I916" s="106"/>
      <c r="J916" s="106"/>
      <c r="K916" s="106"/>
      <c r="L916" s="106"/>
      <c r="M916" s="106"/>
      <c r="N916" s="106"/>
      <c r="O916" s="106"/>
      <c r="P916" s="106"/>
      <c r="Q916" s="106"/>
      <c r="R916" s="106"/>
      <c r="S916" s="106"/>
      <c r="T916" s="106"/>
      <c r="U916" s="106"/>
      <c r="V916" s="106"/>
      <c r="W916" s="106"/>
      <c r="X916" s="106"/>
      <c r="Y916" s="106"/>
      <c r="Z916" s="106"/>
    </row>
    <row r="917" spans="1:26" ht="13.5" customHeight="1" x14ac:dyDescent="0.2">
      <c r="A917" s="106"/>
      <c r="B917" s="106"/>
      <c r="C917" s="106"/>
      <c r="D917" s="106"/>
      <c r="E917" s="106"/>
      <c r="F917" s="106"/>
      <c r="G917" s="106"/>
      <c r="H917" s="106"/>
      <c r="I917" s="106"/>
      <c r="J917" s="106"/>
      <c r="K917" s="106"/>
      <c r="L917" s="106"/>
      <c r="M917" s="106"/>
      <c r="N917" s="106"/>
      <c r="O917" s="106"/>
      <c r="P917" s="106"/>
      <c r="Q917" s="106"/>
      <c r="R917" s="106"/>
      <c r="S917" s="106"/>
      <c r="T917" s="106"/>
      <c r="U917" s="106"/>
      <c r="V917" s="106"/>
      <c r="W917" s="106"/>
      <c r="X917" s="106"/>
      <c r="Y917" s="106"/>
      <c r="Z917" s="106"/>
    </row>
    <row r="918" spans="1:26" ht="13.5" customHeight="1" x14ac:dyDescent="0.2">
      <c r="A918" s="106"/>
      <c r="B918" s="106"/>
      <c r="C918" s="106"/>
      <c r="D918" s="106"/>
      <c r="E918" s="106"/>
      <c r="F918" s="106"/>
      <c r="G918" s="106"/>
      <c r="H918" s="106"/>
      <c r="I918" s="106"/>
      <c r="J918" s="106"/>
      <c r="K918" s="106"/>
      <c r="L918" s="106"/>
      <c r="M918" s="106"/>
      <c r="N918" s="106"/>
      <c r="O918" s="106"/>
      <c r="P918" s="106"/>
      <c r="Q918" s="106"/>
      <c r="R918" s="106"/>
      <c r="S918" s="106"/>
      <c r="T918" s="106"/>
      <c r="U918" s="106"/>
      <c r="V918" s="106"/>
      <c r="W918" s="106"/>
      <c r="X918" s="106"/>
      <c r="Y918" s="106"/>
      <c r="Z918" s="106"/>
    </row>
    <row r="919" spans="1:26" ht="13.5" customHeight="1" x14ac:dyDescent="0.2">
      <c r="A919" s="106"/>
      <c r="B919" s="106"/>
      <c r="C919" s="106"/>
      <c r="D919" s="106"/>
      <c r="E919" s="106"/>
      <c r="F919" s="106"/>
      <c r="G919" s="106"/>
      <c r="H919" s="106"/>
      <c r="I919" s="106"/>
      <c r="J919" s="106"/>
      <c r="K919" s="106"/>
      <c r="L919" s="106"/>
      <c r="M919" s="106"/>
      <c r="N919" s="106"/>
      <c r="O919" s="106"/>
      <c r="P919" s="106"/>
      <c r="Q919" s="106"/>
      <c r="R919" s="106"/>
      <c r="S919" s="106"/>
      <c r="T919" s="106"/>
      <c r="U919" s="106"/>
      <c r="V919" s="106"/>
      <c r="W919" s="106"/>
      <c r="X919" s="106"/>
      <c r="Y919" s="106"/>
      <c r="Z919" s="106"/>
    </row>
    <row r="920" spans="1:26" ht="13.5" customHeight="1" x14ac:dyDescent="0.2">
      <c r="A920" s="106"/>
      <c r="B920" s="106"/>
      <c r="C920" s="106"/>
      <c r="D920" s="106"/>
      <c r="E920" s="106"/>
      <c r="F920" s="106"/>
      <c r="G920" s="106"/>
      <c r="H920" s="106"/>
      <c r="I920" s="106"/>
      <c r="J920" s="106"/>
      <c r="K920" s="106"/>
      <c r="L920" s="106"/>
      <c r="M920" s="106"/>
      <c r="N920" s="106"/>
      <c r="O920" s="106"/>
      <c r="P920" s="106"/>
      <c r="Q920" s="106"/>
      <c r="R920" s="106"/>
      <c r="S920" s="106"/>
      <c r="T920" s="106"/>
      <c r="U920" s="106"/>
      <c r="V920" s="106"/>
      <c r="W920" s="106"/>
      <c r="X920" s="106"/>
      <c r="Y920" s="106"/>
      <c r="Z920" s="106"/>
    </row>
    <row r="921" spans="1:26" ht="13.5" customHeight="1" x14ac:dyDescent="0.2">
      <c r="A921" s="106"/>
      <c r="B921" s="106"/>
      <c r="C921" s="106"/>
      <c r="D921" s="106"/>
      <c r="E921" s="106"/>
      <c r="F921" s="106"/>
      <c r="G921" s="106"/>
      <c r="H921" s="106"/>
      <c r="I921" s="106"/>
      <c r="J921" s="106"/>
      <c r="K921" s="106"/>
      <c r="L921" s="106"/>
      <c r="M921" s="106"/>
      <c r="N921" s="106"/>
      <c r="O921" s="106"/>
      <c r="P921" s="106"/>
      <c r="Q921" s="106"/>
      <c r="R921" s="106"/>
      <c r="S921" s="106"/>
      <c r="T921" s="106"/>
      <c r="U921" s="106"/>
      <c r="V921" s="106"/>
      <c r="W921" s="106"/>
      <c r="X921" s="106"/>
      <c r="Y921" s="106"/>
      <c r="Z921" s="106"/>
    </row>
    <row r="922" spans="1:26" ht="13.5" customHeight="1" x14ac:dyDescent="0.2">
      <c r="A922" s="106"/>
      <c r="B922" s="106"/>
      <c r="C922" s="106"/>
      <c r="D922" s="106"/>
      <c r="E922" s="106"/>
      <c r="F922" s="106"/>
      <c r="G922" s="106"/>
      <c r="H922" s="106"/>
      <c r="I922" s="106"/>
      <c r="J922" s="106"/>
      <c r="K922" s="106"/>
      <c r="L922" s="106"/>
      <c r="M922" s="106"/>
      <c r="N922" s="106"/>
      <c r="O922" s="106"/>
      <c r="P922" s="106"/>
      <c r="Q922" s="106"/>
      <c r="R922" s="106"/>
      <c r="S922" s="106"/>
      <c r="T922" s="106"/>
      <c r="U922" s="106"/>
      <c r="V922" s="106"/>
      <c r="W922" s="106"/>
      <c r="X922" s="106"/>
      <c r="Y922" s="106"/>
      <c r="Z922" s="106"/>
    </row>
    <row r="923" spans="1:26" ht="13.5" customHeight="1" x14ac:dyDescent="0.2">
      <c r="A923" s="106"/>
      <c r="B923" s="106"/>
      <c r="C923" s="106"/>
      <c r="D923" s="106"/>
      <c r="E923" s="106"/>
      <c r="F923" s="106"/>
      <c r="G923" s="106"/>
      <c r="H923" s="106"/>
      <c r="I923" s="106"/>
      <c r="J923" s="106"/>
      <c r="K923" s="106"/>
      <c r="L923" s="106"/>
      <c r="M923" s="106"/>
      <c r="N923" s="106"/>
      <c r="O923" s="106"/>
      <c r="P923" s="106"/>
      <c r="Q923" s="106"/>
      <c r="R923" s="106"/>
      <c r="S923" s="106"/>
      <c r="T923" s="106"/>
      <c r="U923" s="106"/>
      <c r="V923" s="106"/>
      <c r="W923" s="106"/>
      <c r="X923" s="106"/>
      <c r="Y923" s="106"/>
      <c r="Z923" s="106"/>
    </row>
    <row r="924" spans="1:26" ht="13.5" customHeight="1" x14ac:dyDescent="0.2">
      <c r="A924" s="106"/>
      <c r="B924" s="106"/>
      <c r="C924" s="106"/>
      <c r="D924" s="106"/>
      <c r="E924" s="106"/>
      <c r="F924" s="106"/>
      <c r="G924" s="106"/>
      <c r="H924" s="106"/>
      <c r="I924" s="106"/>
      <c r="J924" s="106"/>
      <c r="K924" s="106"/>
      <c r="L924" s="106"/>
      <c r="M924" s="106"/>
      <c r="N924" s="106"/>
      <c r="O924" s="106"/>
      <c r="P924" s="106"/>
      <c r="Q924" s="106"/>
      <c r="R924" s="106"/>
      <c r="S924" s="106"/>
      <c r="T924" s="106"/>
      <c r="U924" s="106"/>
      <c r="V924" s="106"/>
      <c r="W924" s="106"/>
      <c r="X924" s="106"/>
      <c r="Y924" s="106"/>
      <c r="Z924" s="106"/>
    </row>
    <row r="925" spans="1:26" ht="13.5" customHeight="1" x14ac:dyDescent="0.2">
      <c r="A925" s="106"/>
      <c r="B925" s="106"/>
      <c r="C925" s="106"/>
      <c r="D925" s="106"/>
      <c r="E925" s="106"/>
      <c r="F925" s="106"/>
      <c r="G925" s="106"/>
      <c r="H925" s="106"/>
      <c r="I925" s="106"/>
      <c r="J925" s="106"/>
      <c r="K925" s="106"/>
      <c r="L925" s="106"/>
      <c r="M925" s="106"/>
      <c r="N925" s="106"/>
      <c r="O925" s="106"/>
      <c r="P925" s="106"/>
      <c r="Q925" s="106"/>
      <c r="R925" s="106"/>
      <c r="S925" s="106"/>
      <c r="T925" s="106"/>
      <c r="U925" s="106"/>
      <c r="V925" s="106"/>
      <c r="W925" s="106"/>
      <c r="X925" s="106"/>
      <c r="Y925" s="106"/>
      <c r="Z925" s="106"/>
    </row>
    <row r="926" spans="1:26" ht="13.5" customHeight="1" x14ac:dyDescent="0.2">
      <c r="A926" s="106"/>
      <c r="B926" s="106"/>
      <c r="C926" s="106"/>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row>
    <row r="927" spans="1:26" ht="13.5" customHeight="1" x14ac:dyDescent="0.2">
      <c r="A927" s="106"/>
      <c r="B927" s="106"/>
      <c r="C927" s="106"/>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row>
    <row r="928" spans="1:26" ht="13.5" customHeight="1" x14ac:dyDescent="0.2">
      <c r="A928" s="106"/>
      <c r="B928" s="106"/>
      <c r="C928" s="106"/>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row>
    <row r="929" spans="1:26" ht="13.5" customHeight="1" x14ac:dyDescent="0.2">
      <c r="A929" s="106"/>
      <c r="B929" s="106"/>
      <c r="C929" s="106"/>
      <c r="D929" s="106"/>
      <c r="E929" s="106"/>
      <c r="F929" s="106"/>
      <c r="G929" s="106"/>
      <c r="H929" s="106"/>
      <c r="I929" s="106"/>
      <c r="J929" s="106"/>
      <c r="K929" s="106"/>
      <c r="L929" s="106"/>
      <c r="M929" s="106"/>
      <c r="N929" s="106"/>
      <c r="O929" s="106"/>
      <c r="P929" s="106"/>
      <c r="Q929" s="106"/>
      <c r="R929" s="106"/>
      <c r="S929" s="106"/>
      <c r="T929" s="106"/>
      <c r="U929" s="106"/>
      <c r="V929" s="106"/>
      <c r="W929" s="106"/>
      <c r="X929" s="106"/>
      <c r="Y929" s="106"/>
      <c r="Z929" s="106"/>
    </row>
    <row r="930" spans="1:26" ht="13.5" customHeight="1" x14ac:dyDescent="0.2">
      <c r="A930" s="106"/>
      <c r="B930" s="106"/>
      <c r="C930" s="106"/>
      <c r="D930" s="106"/>
      <c r="E930" s="106"/>
      <c r="F930" s="106"/>
      <c r="G930" s="106"/>
      <c r="H930" s="106"/>
      <c r="I930" s="106"/>
      <c r="J930" s="106"/>
      <c r="K930" s="106"/>
      <c r="L930" s="106"/>
      <c r="M930" s="106"/>
      <c r="N930" s="106"/>
      <c r="O930" s="106"/>
      <c r="P930" s="106"/>
      <c r="Q930" s="106"/>
      <c r="R930" s="106"/>
      <c r="S930" s="106"/>
      <c r="T930" s="106"/>
      <c r="U930" s="106"/>
      <c r="V930" s="106"/>
      <c r="W930" s="106"/>
      <c r="X930" s="106"/>
      <c r="Y930" s="106"/>
      <c r="Z930" s="106"/>
    </row>
    <row r="931" spans="1:26" ht="13.5" customHeight="1" x14ac:dyDescent="0.2">
      <c r="A931" s="106"/>
      <c r="B931" s="106"/>
      <c r="C931" s="106"/>
      <c r="D931" s="106"/>
      <c r="E931" s="106"/>
      <c r="F931" s="106"/>
      <c r="G931" s="106"/>
      <c r="H931" s="106"/>
      <c r="I931" s="106"/>
      <c r="J931" s="106"/>
      <c r="K931" s="106"/>
      <c r="L931" s="106"/>
      <c r="M931" s="106"/>
      <c r="N931" s="106"/>
      <c r="O931" s="106"/>
      <c r="P931" s="106"/>
      <c r="Q931" s="106"/>
      <c r="R931" s="106"/>
      <c r="S931" s="106"/>
      <c r="T931" s="106"/>
      <c r="U931" s="106"/>
      <c r="V931" s="106"/>
      <c r="W931" s="106"/>
      <c r="X931" s="106"/>
      <c r="Y931" s="106"/>
      <c r="Z931" s="106"/>
    </row>
    <row r="932" spans="1:26" ht="13.5" customHeight="1" x14ac:dyDescent="0.2">
      <c r="A932" s="106"/>
      <c r="B932" s="106"/>
      <c r="C932" s="106"/>
      <c r="D932" s="106"/>
      <c r="E932" s="106"/>
      <c r="F932" s="106"/>
      <c r="G932" s="106"/>
      <c r="H932" s="106"/>
      <c r="I932" s="106"/>
      <c r="J932" s="106"/>
      <c r="K932" s="106"/>
      <c r="L932" s="106"/>
      <c r="M932" s="106"/>
      <c r="N932" s="106"/>
      <c r="O932" s="106"/>
      <c r="P932" s="106"/>
      <c r="Q932" s="106"/>
      <c r="R932" s="106"/>
      <c r="S932" s="106"/>
      <c r="T932" s="106"/>
      <c r="U932" s="106"/>
      <c r="V932" s="106"/>
      <c r="W932" s="106"/>
      <c r="X932" s="106"/>
      <c r="Y932" s="106"/>
      <c r="Z932" s="106"/>
    </row>
    <row r="933" spans="1:26" ht="13.5" customHeight="1" x14ac:dyDescent="0.2">
      <c r="A933" s="106"/>
      <c r="B933" s="106"/>
      <c r="C933" s="106"/>
      <c r="D933" s="106"/>
      <c r="E933" s="106"/>
      <c r="F933" s="106"/>
      <c r="G933" s="106"/>
      <c r="H933" s="106"/>
      <c r="I933" s="106"/>
      <c r="J933" s="106"/>
      <c r="K933" s="106"/>
      <c r="L933" s="106"/>
      <c r="M933" s="106"/>
      <c r="N933" s="106"/>
      <c r="O933" s="106"/>
      <c r="P933" s="106"/>
      <c r="Q933" s="106"/>
      <c r="R933" s="106"/>
      <c r="S933" s="106"/>
      <c r="T933" s="106"/>
      <c r="U933" s="106"/>
      <c r="V933" s="106"/>
      <c r="W933" s="106"/>
      <c r="X933" s="106"/>
      <c r="Y933" s="106"/>
      <c r="Z933" s="106"/>
    </row>
    <row r="934" spans="1:26" ht="13.5" customHeight="1" x14ac:dyDescent="0.2">
      <c r="A934" s="106"/>
      <c r="B934" s="106"/>
      <c r="C934" s="106"/>
      <c r="D934" s="106"/>
      <c r="E934" s="106"/>
      <c r="F934" s="106"/>
      <c r="G934" s="106"/>
      <c r="H934" s="106"/>
      <c r="I934" s="106"/>
      <c r="J934" s="106"/>
      <c r="K934" s="106"/>
      <c r="L934" s="106"/>
      <c r="M934" s="106"/>
      <c r="N934" s="106"/>
      <c r="O934" s="106"/>
      <c r="P934" s="106"/>
      <c r="Q934" s="106"/>
      <c r="R934" s="106"/>
      <c r="S934" s="106"/>
      <c r="T934" s="106"/>
      <c r="U934" s="106"/>
      <c r="V934" s="106"/>
      <c r="W934" s="106"/>
      <c r="X934" s="106"/>
      <c r="Y934" s="106"/>
      <c r="Z934" s="106"/>
    </row>
    <row r="935" spans="1:26" ht="13.5" customHeight="1" x14ac:dyDescent="0.2">
      <c r="A935" s="106"/>
      <c r="B935" s="106"/>
      <c r="C935" s="106"/>
      <c r="D935" s="106"/>
      <c r="E935" s="106"/>
      <c r="F935" s="106"/>
      <c r="G935" s="106"/>
      <c r="H935" s="106"/>
      <c r="I935" s="106"/>
      <c r="J935" s="106"/>
      <c r="K935" s="106"/>
      <c r="L935" s="106"/>
      <c r="M935" s="106"/>
      <c r="N935" s="106"/>
      <c r="O935" s="106"/>
      <c r="P935" s="106"/>
      <c r="Q935" s="106"/>
      <c r="R935" s="106"/>
      <c r="S935" s="106"/>
      <c r="T935" s="106"/>
      <c r="U935" s="106"/>
      <c r="V935" s="106"/>
      <c r="W935" s="106"/>
      <c r="X935" s="106"/>
      <c r="Y935" s="106"/>
      <c r="Z935" s="106"/>
    </row>
    <row r="936" spans="1:26" ht="13.5" customHeight="1" x14ac:dyDescent="0.2">
      <c r="A936" s="106"/>
      <c r="B936" s="106"/>
      <c r="C936" s="106"/>
      <c r="D936" s="106"/>
      <c r="E936" s="106"/>
      <c r="F936" s="106"/>
      <c r="G936" s="106"/>
      <c r="H936" s="106"/>
      <c r="I936" s="106"/>
      <c r="J936" s="106"/>
      <c r="K936" s="106"/>
      <c r="L936" s="106"/>
      <c r="M936" s="106"/>
      <c r="N936" s="106"/>
      <c r="O936" s="106"/>
      <c r="P936" s="106"/>
      <c r="Q936" s="106"/>
      <c r="R936" s="106"/>
      <c r="S936" s="106"/>
      <c r="T936" s="106"/>
      <c r="U936" s="106"/>
      <c r="V936" s="106"/>
      <c r="W936" s="106"/>
      <c r="X936" s="106"/>
      <c r="Y936" s="106"/>
      <c r="Z936" s="106"/>
    </row>
    <row r="937" spans="1:26" ht="13.5" customHeight="1" x14ac:dyDescent="0.2">
      <c r="A937" s="106"/>
      <c r="B937" s="106"/>
      <c r="C937" s="106"/>
      <c r="D937" s="106"/>
      <c r="E937" s="106"/>
      <c r="F937" s="106"/>
      <c r="G937" s="106"/>
      <c r="H937" s="106"/>
      <c r="I937" s="106"/>
      <c r="J937" s="106"/>
      <c r="K937" s="106"/>
      <c r="L937" s="106"/>
      <c r="M937" s="106"/>
      <c r="N937" s="106"/>
      <c r="O937" s="106"/>
      <c r="P937" s="106"/>
      <c r="Q937" s="106"/>
      <c r="R937" s="106"/>
      <c r="S937" s="106"/>
      <c r="T937" s="106"/>
      <c r="U937" s="106"/>
      <c r="V937" s="106"/>
      <c r="W937" s="106"/>
      <c r="X937" s="106"/>
      <c r="Y937" s="106"/>
      <c r="Z937" s="106"/>
    </row>
    <row r="938" spans="1:26" ht="13.5" customHeight="1" x14ac:dyDescent="0.2">
      <c r="A938" s="106"/>
      <c r="B938" s="106"/>
      <c r="C938" s="106"/>
      <c r="D938" s="106"/>
      <c r="E938" s="106"/>
      <c r="F938" s="106"/>
      <c r="G938" s="106"/>
      <c r="H938" s="106"/>
      <c r="I938" s="106"/>
      <c r="J938" s="106"/>
      <c r="K938" s="106"/>
      <c r="L938" s="106"/>
      <c r="M938" s="106"/>
      <c r="N938" s="106"/>
      <c r="O938" s="106"/>
      <c r="P938" s="106"/>
      <c r="Q938" s="106"/>
      <c r="R938" s="106"/>
      <c r="S938" s="106"/>
      <c r="T938" s="106"/>
      <c r="U938" s="106"/>
      <c r="V938" s="106"/>
      <c r="W938" s="106"/>
      <c r="X938" s="106"/>
      <c r="Y938" s="106"/>
      <c r="Z938" s="106"/>
    </row>
    <row r="939" spans="1:26" ht="13.5" customHeight="1" x14ac:dyDescent="0.2">
      <c r="A939" s="106"/>
      <c r="B939" s="106"/>
      <c r="C939" s="106"/>
      <c r="D939" s="106"/>
      <c r="E939" s="106"/>
      <c r="F939" s="106"/>
      <c r="G939" s="106"/>
      <c r="H939" s="106"/>
      <c r="I939" s="106"/>
      <c r="J939" s="106"/>
      <c r="K939" s="106"/>
      <c r="L939" s="106"/>
      <c r="M939" s="106"/>
      <c r="N939" s="106"/>
      <c r="O939" s="106"/>
      <c r="P939" s="106"/>
      <c r="Q939" s="106"/>
      <c r="R939" s="106"/>
      <c r="S939" s="106"/>
      <c r="T939" s="106"/>
      <c r="U939" s="106"/>
      <c r="V939" s="106"/>
      <c r="W939" s="106"/>
      <c r="X939" s="106"/>
      <c r="Y939" s="106"/>
      <c r="Z939" s="106"/>
    </row>
    <row r="940" spans="1:26" ht="13.5" customHeight="1" x14ac:dyDescent="0.2">
      <c r="A940" s="106"/>
      <c r="B940" s="106"/>
      <c r="C940" s="106"/>
      <c r="D940" s="106"/>
      <c r="E940" s="106"/>
      <c r="F940" s="106"/>
      <c r="G940" s="106"/>
      <c r="H940" s="106"/>
      <c r="I940" s="106"/>
      <c r="J940" s="106"/>
      <c r="K940" s="106"/>
      <c r="L940" s="106"/>
      <c r="M940" s="106"/>
      <c r="N940" s="106"/>
      <c r="O940" s="106"/>
      <c r="P940" s="106"/>
      <c r="Q940" s="106"/>
      <c r="R940" s="106"/>
      <c r="S940" s="106"/>
      <c r="T940" s="106"/>
      <c r="U940" s="106"/>
      <c r="V940" s="106"/>
      <c r="W940" s="106"/>
      <c r="X940" s="106"/>
      <c r="Y940" s="106"/>
      <c r="Z940" s="106"/>
    </row>
    <row r="941" spans="1:26" ht="13.5" customHeight="1" x14ac:dyDescent="0.2">
      <c r="A941" s="106"/>
      <c r="B941" s="106"/>
      <c r="C941" s="106"/>
      <c r="D941" s="106"/>
      <c r="E941" s="106"/>
      <c r="F941" s="106"/>
      <c r="G941" s="106"/>
      <c r="H941" s="106"/>
      <c r="I941" s="106"/>
      <c r="J941" s="106"/>
      <c r="K941" s="106"/>
      <c r="L941" s="106"/>
      <c r="M941" s="106"/>
      <c r="N941" s="106"/>
      <c r="O941" s="106"/>
      <c r="P941" s="106"/>
      <c r="Q941" s="106"/>
      <c r="R941" s="106"/>
      <c r="S941" s="106"/>
      <c r="T941" s="106"/>
      <c r="U941" s="106"/>
      <c r="V941" s="106"/>
      <c r="W941" s="106"/>
      <c r="X941" s="106"/>
      <c r="Y941" s="106"/>
      <c r="Z941" s="106"/>
    </row>
    <row r="942" spans="1:26" ht="13.5" customHeight="1" x14ac:dyDescent="0.2">
      <c r="A942" s="106"/>
      <c r="B942" s="106"/>
      <c r="C942" s="106"/>
      <c r="D942" s="106"/>
      <c r="E942" s="106"/>
      <c r="F942" s="106"/>
      <c r="G942" s="106"/>
      <c r="H942" s="106"/>
      <c r="I942" s="106"/>
      <c r="J942" s="106"/>
      <c r="K942" s="106"/>
      <c r="L942" s="106"/>
      <c r="M942" s="106"/>
      <c r="N942" s="106"/>
      <c r="O942" s="106"/>
      <c r="P942" s="106"/>
      <c r="Q942" s="106"/>
      <c r="R942" s="106"/>
      <c r="S942" s="106"/>
      <c r="T942" s="106"/>
      <c r="U942" s="106"/>
      <c r="V942" s="106"/>
      <c r="W942" s="106"/>
      <c r="X942" s="106"/>
      <c r="Y942" s="106"/>
      <c r="Z942" s="106"/>
    </row>
    <row r="943" spans="1:26" ht="13.5" customHeight="1" x14ac:dyDescent="0.2">
      <c r="A943" s="106"/>
      <c r="B943" s="106"/>
      <c r="C943" s="106"/>
      <c r="D943" s="106"/>
      <c r="E943" s="106"/>
      <c r="F943" s="106"/>
      <c r="G943" s="106"/>
      <c r="H943" s="106"/>
      <c r="I943" s="106"/>
      <c r="J943" s="106"/>
      <c r="K943" s="106"/>
      <c r="L943" s="106"/>
      <c r="M943" s="106"/>
      <c r="N943" s="106"/>
      <c r="O943" s="106"/>
      <c r="P943" s="106"/>
      <c r="Q943" s="106"/>
      <c r="R943" s="106"/>
      <c r="S943" s="106"/>
      <c r="T943" s="106"/>
      <c r="U943" s="106"/>
      <c r="V943" s="106"/>
      <c r="W943" s="106"/>
      <c r="X943" s="106"/>
      <c r="Y943" s="106"/>
      <c r="Z943" s="106"/>
    </row>
    <row r="944" spans="1:26" ht="13.5" customHeight="1" x14ac:dyDescent="0.2">
      <c r="A944" s="106"/>
      <c r="B944" s="106"/>
      <c r="C944" s="106"/>
      <c r="D944" s="106"/>
      <c r="E944" s="106"/>
      <c r="F944" s="106"/>
      <c r="G944" s="106"/>
      <c r="H944" s="106"/>
      <c r="I944" s="106"/>
      <c r="J944" s="106"/>
      <c r="K944" s="106"/>
      <c r="L944" s="106"/>
      <c r="M944" s="106"/>
      <c r="N944" s="106"/>
      <c r="O944" s="106"/>
      <c r="P944" s="106"/>
      <c r="Q944" s="106"/>
      <c r="R944" s="106"/>
      <c r="S944" s="106"/>
      <c r="T944" s="106"/>
      <c r="U944" s="106"/>
      <c r="V944" s="106"/>
      <c r="W944" s="106"/>
      <c r="X944" s="106"/>
      <c r="Y944" s="106"/>
      <c r="Z944" s="106"/>
    </row>
    <row r="945" spans="1:26" ht="13.5" customHeight="1" x14ac:dyDescent="0.2">
      <c r="A945" s="106"/>
      <c r="B945" s="106"/>
      <c r="C945" s="106"/>
      <c r="D945" s="106"/>
      <c r="E945" s="106"/>
      <c r="F945" s="106"/>
      <c r="G945" s="106"/>
      <c r="H945" s="106"/>
      <c r="I945" s="106"/>
      <c r="J945" s="106"/>
      <c r="K945" s="106"/>
      <c r="L945" s="106"/>
      <c r="M945" s="106"/>
      <c r="N945" s="106"/>
      <c r="O945" s="106"/>
      <c r="P945" s="106"/>
      <c r="Q945" s="106"/>
      <c r="R945" s="106"/>
      <c r="S945" s="106"/>
      <c r="T945" s="106"/>
      <c r="U945" s="106"/>
      <c r="V945" s="106"/>
      <c r="W945" s="106"/>
      <c r="X945" s="106"/>
      <c r="Y945" s="106"/>
      <c r="Z945" s="106"/>
    </row>
    <row r="946" spans="1:26" ht="13.5" customHeight="1" x14ac:dyDescent="0.2">
      <c r="A946" s="106"/>
      <c r="B946" s="106"/>
      <c r="C946" s="106"/>
      <c r="D946" s="106"/>
      <c r="E946" s="106"/>
      <c r="F946" s="106"/>
      <c r="G946" s="106"/>
      <c r="H946" s="106"/>
      <c r="I946" s="106"/>
      <c r="J946" s="106"/>
      <c r="K946" s="106"/>
      <c r="L946" s="106"/>
      <c r="M946" s="106"/>
      <c r="N946" s="106"/>
      <c r="O946" s="106"/>
      <c r="P946" s="106"/>
      <c r="Q946" s="106"/>
      <c r="R946" s="106"/>
      <c r="S946" s="106"/>
      <c r="T946" s="106"/>
      <c r="U946" s="106"/>
      <c r="V946" s="106"/>
      <c r="W946" s="106"/>
      <c r="X946" s="106"/>
      <c r="Y946" s="106"/>
      <c r="Z946" s="106"/>
    </row>
    <row r="947" spans="1:26" ht="13.5" customHeight="1" x14ac:dyDescent="0.2">
      <c r="A947" s="106"/>
      <c r="B947" s="106"/>
      <c r="C947" s="106"/>
      <c r="D947" s="106"/>
      <c r="E947" s="106"/>
      <c r="F947" s="106"/>
      <c r="G947" s="106"/>
      <c r="H947" s="106"/>
      <c r="I947" s="106"/>
      <c r="J947" s="106"/>
      <c r="K947" s="106"/>
      <c r="L947" s="106"/>
      <c r="M947" s="106"/>
      <c r="N947" s="106"/>
      <c r="O947" s="106"/>
      <c r="P947" s="106"/>
      <c r="Q947" s="106"/>
      <c r="R947" s="106"/>
      <c r="S947" s="106"/>
      <c r="T947" s="106"/>
      <c r="U947" s="106"/>
      <c r="V947" s="106"/>
      <c r="W947" s="106"/>
      <c r="X947" s="106"/>
      <c r="Y947" s="106"/>
      <c r="Z947" s="106"/>
    </row>
    <row r="948" spans="1:26" ht="13.5" customHeight="1" x14ac:dyDescent="0.2">
      <c r="A948" s="106"/>
      <c r="B948" s="106"/>
      <c r="C948" s="106"/>
      <c r="D948" s="106"/>
      <c r="E948" s="106"/>
      <c r="F948" s="106"/>
      <c r="G948" s="106"/>
      <c r="H948" s="106"/>
      <c r="I948" s="106"/>
      <c r="J948" s="106"/>
      <c r="K948" s="106"/>
      <c r="L948" s="106"/>
      <c r="M948" s="106"/>
      <c r="N948" s="106"/>
      <c r="O948" s="106"/>
      <c r="P948" s="106"/>
      <c r="Q948" s="106"/>
      <c r="R948" s="106"/>
      <c r="S948" s="106"/>
      <c r="T948" s="106"/>
      <c r="U948" s="106"/>
      <c r="V948" s="106"/>
      <c r="W948" s="106"/>
      <c r="X948" s="106"/>
      <c r="Y948" s="106"/>
      <c r="Z948" s="106"/>
    </row>
    <row r="949" spans="1:26" ht="13.5" customHeight="1" x14ac:dyDescent="0.2">
      <c r="A949" s="106"/>
      <c r="B949" s="106"/>
      <c r="C949" s="106"/>
      <c r="D949" s="106"/>
      <c r="E949" s="106"/>
      <c r="F949" s="106"/>
      <c r="G949" s="106"/>
      <c r="H949" s="106"/>
      <c r="I949" s="106"/>
      <c r="J949" s="106"/>
      <c r="K949" s="106"/>
      <c r="L949" s="106"/>
      <c r="M949" s="106"/>
      <c r="N949" s="106"/>
      <c r="O949" s="106"/>
      <c r="P949" s="106"/>
      <c r="Q949" s="106"/>
      <c r="R949" s="106"/>
      <c r="S949" s="106"/>
      <c r="T949" s="106"/>
      <c r="U949" s="106"/>
      <c r="V949" s="106"/>
      <c r="W949" s="106"/>
      <c r="X949" s="106"/>
      <c r="Y949" s="106"/>
      <c r="Z949" s="106"/>
    </row>
    <row r="950" spans="1:26" ht="13.5" customHeight="1" x14ac:dyDescent="0.2">
      <c r="A950" s="106"/>
      <c r="B950" s="106"/>
      <c r="C950" s="106"/>
      <c r="D950" s="106"/>
      <c r="E950" s="106"/>
      <c r="F950" s="106"/>
      <c r="G950" s="106"/>
      <c r="H950" s="106"/>
      <c r="I950" s="106"/>
      <c r="J950" s="106"/>
      <c r="K950" s="106"/>
      <c r="L950" s="106"/>
      <c r="M950" s="106"/>
      <c r="N950" s="106"/>
      <c r="O950" s="106"/>
      <c r="P950" s="106"/>
      <c r="Q950" s="106"/>
      <c r="R950" s="106"/>
      <c r="S950" s="106"/>
      <c r="T950" s="106"/>
      <c r="U950" s="106"/>
      <c r="V950" s="106"/>
      <c r="W950" s="106"/>
      <c r="X950" s="106"/>
      <c r="Y950" s="106"/>
      <c r="Z950" s="106"/>
    </row>
    <row r="951" spans="1:26" ht="13.5" customHeight="1" x14ac:dyDescent="0.2">
      <c r="A951" s="106"/>
      <c r="B951" s="106"/>
      <c r="C951" s="106"/>
      <c r="D951" s="106"/>
      <c r="E951" s="106"/>
      <c r="F951" s="106"/>
      <c r="G951" s="106"/>
      <c r="H951" s="106"/>
      <c r="I951" s="106"/>
      <c r="J951" s="106"/>
      <c r="K951" s="106"/>
      <c r="L951" s="106"/>
      <c r="M951" s="106"/>
      <c r="N951" s="106"/>
      <c r="O951" s="106"/>
      <c r="P951" s="106"/>
      <c r="Q951" s="106"/>
      <c r="R951" s="106"/>
      <c r="S951" s="106"/>
      <c r="T951" s="106"/>
      <c r="U951" s="106"/>
      <c r="V951" s="106"/>
      <c r="W951" s="106"/>
      <c r="X951" s="106"/>
      <c r="Y951" s="106"/>
      <c r="Z951" s="106"/>
    </row>
    <row r="952" spans="1:26" ht="13.5" customHeight="1" x14ac:dyDescent="0.2">
      <c r="A952" s="106"/>
      <c r="B952" s="106"/>
      <c r="C952" s="106"/>
      <c r="D952" s="106"/>
      <c r="E952" s="106"/>
      <c r="F952" s="106"/>
      <c r="G952" s="106"/>
      <c r="H952" s="106"/>
      <c r="I952" s="106"/>
      <c r="J952" s="106"/>
      <c r="K952" s="106"/>
      <c r="L952" s="106"/>
      <c r="M952" s="106"/>
      <c r="N952" s="106"/>
      <c r="O952" s="106"/>
      <c r="P952" s="106"/>
      <c r="Q952" s="106"/>
      <c r="R952" s="106"/>
      <c r="S952" s="106"/>
      <c r="T952" s="106"/>
      <c r="U952" s="106"/>
      <c r="V952" s="106"/>
      <c r="W952" s="106"/>
      <c r="X952" s="106"/>
      <c r="Y952" s="106"/>
      <c r="Z952" s="106"/>
    </row>
    <row r="953" spans="1:26" ht="13.5" customHeight="1" x14ac:dyDescent="0.2">
      <c r="A953" s="106"/>
      <c r="B953" s="106"/>
      <c r="C953" s="106"/>
      <c r="D953" s="106"/>
      <c r="E953" s="106"/>
      <c r="F953" s="106"/>
      <c r="G953" s="106"/>
      <c r="H953" s="106"/>
      <c r="I953" s="106"/>
      <c r="J953" s="106"/>
      <c r="K953" s="106"/>
      <c r="L953" s="106"/>
      <c r="M953" s="106"/>
      <c r="N953" s="106"/>
      <c r="O953" s="106"/>
      <c r="P953" s="106"/>
      <c r="Q953" s="106"/>
      <c r="R953" s="106"/>
      <c r="S953" s="106"/>
      <c r="T953" s="106"/>
      <c r="U953" s="106"/>
      <c r="V953" s="106"/>
      <c r="W953" s="106"/>
      <c r="X953" s="106"/>
      <c r="Y953" s="106"/>
      <c r="Z953" s="106"/>
    </row>
    <row r="954" spans="1:26" ht="13.5" customHeight="1" x14ac:dyDescent="0.2">
      <c r="A954" s="106"/>
      <c r="B954" s="106"/>
      <c r="C954" s="106"/>
      <c r="D954" s="106"/>
      <c r="E954" s="106"/>
      <c r="F954" s="106"/>
      <c r="G954" s="106"/>
      <c r="H954" s="106"/>
      <c r="I954" s="106"/>
      <c r="J954" s="106"/>
      <c r="K954" s="106"/>
      <c r="L954" s="106"/>
      <c r="M954" s="106"/>
      <c r="N954" s="106"/>
      <c r="O954" s="106"/>
      <c r="P954" s="106"/>
      <c r="Q954" s="106"/>
      <c r="R954" s="106"/>
      <c r="S954" s="106"/>
      <c r="T954" s="106"/>
      <c r="U954" s="106"/>
      <c r="V954" s="106"/>
      <c r="W954" s="106"/>
      <c r="X954" s="106"/>
      <c r="Y954" s="106"/>
      <c r="Z954" s="106"/>
    </row>
    <row r="955" spans="1:26" ht="13.5" customHeight="1" x14ac:dyDescent="0.2">
      <c r="A955" s="106"/>
      <c r="B955" s="106"/>
      <c r="C955" s="106"/>
      <c r="D955" s="106"/>
      <c r="E955" s="106"/>
      <c r="F955" s="106"/>
      <c r="G955" s="106"/>
      <c r="H955" s="106"/>
      <c r="I955" s="106"/>
      <c r="J955" s="106"/>
      <c r="K955" s="106"/>
      <c r="L955" s="106"/>
      <c r="M955" s="106"/>
      <c r="N955" s="106"/>
      <c r="O955" s="106"/>
      <c r="P955" s="106"/>
      <c r="Q955" s="106"/>
      <c r="R955" s="106"/>
      <c r="S955" s="106"/>
      <c r="T955" s="106"/>
      <c r="U955" s="106"/>
      <c r="V955" s="106"/>
      <c r="W955" s="106"/>
      <c r="X955" s="106"/>
      <c r="Y955" s="106"/>
      <c r="Z955" s="106"/>
    </row>
    <row r="956" spans="1:26" ht="13.5" customHeight="1" x14ac:dyDescent="0.2">
      <c r="A956" s="106"/>
      <c r="B956" s="106"/>
      <c r="C956" s="106"/>
      <c r="D956" s="106"/>
      <c r="E956" s="106"/>
      <c r="F956" s="106"/>
      <c r="G956" s="106"/>
      <c r="H956" s="106"/>
      <c r="I956" s="106"/>
      <c r="J956" s="106"/>
      <c r="K956" s="106"/>
      <c r="L956" s="106"/>
      <c r="M956" s="106"/>
      <c r="N956" s="106"/>
      <c r="O956" s="106"/>
      <c r="P956" s="106"/>
      <c r="Q956" s="106"/>
      <c r="R956" s="106"/>
      <c r="S956" s="106"/>
      <c r="T956" s="106"/>
      <c r="U956" s="106"/>
      <c r="V956" s="106"/>
      <c r="W956" s="106"/>
      <c r="X956" s="106"/>
      <c r="Y956" s="106"/>
      <c r="Z956" s="106"/>
    </row>
    <row r="957" spans="1:26" ht="13.5" customHeight="1" x14ac:dyDescent="0.2">
      <c r="A957" s="106"/>
      <c r="B957" s="106"/>
      <c r="C957" s="106"/>
      <c r="D957" s="106"/>
      <c r="E957" s="106"/>
      <c r="F957" s="106"/>
      <c r="G957" s="106"/>
      <c r="H957" s="106"/>
      <c r="I957" s="106"/>
      <c r="J957" s="106"/>
      <c r="K957" s="106"/>
      <c r="L957" s="106"/>
      <c r="M957" s="106"/>
      <c r="N957" s="106"/>
      <c r="O957" s="106"/>
      <c r="P957" s="106"/>
      <c r="Q957" s="106"/>
      <c r="R957" s="106"/>
      <c r="S957" s="106"/>
      <c r="T957" s="106"/>
      <c r="U957" s="106"/>
      <c r="V957" s="106"/>
      <c r="W957" s="106"/>
      <c r="X957" s="106"/>
      <c r="Y957" s="106"/>
      <c r="Z957" s="106"/>
    </row>
    <row r="958" spans="1:26" ht="13.5" customHeight="1" x14ac:dyDescent="0.2">
      <c r="A958" s="106"/>
      <c r="B958" s="106"/>
      <c r="C958" s="106"/>
      <c r="D958" s="106"/>
      <c r="E958" s="106"/>
      <c r="F958" s="106"/>
      <c r="G958" s="106"/>
      <c r="H958" s="106"/>
      <c r="I958" s="106"/>
      <c r="J958" s="106"/>
      <c r="K958" s="106"/>
      <c r="L958" s="106"/>
      <c r="M958" s="106"/>
      <c r="N958" s="106"/>
      <c r="O958" s="106"/>
      <c r="P958" s="106"/>
      <c r="Q958" s="106"/>
      <c r="R958" s="106"/>
      <c r="S958" s="106"/>
      <c r="T958" s="106"/>
      <c r="U958" s="106"/>
      <c r="V958" s="106"/>
      <c r="W958" s="106"/>
      <c r="X958" s="106"/>
      <c r="Y958" s="106"/>
      <c r="Z958" s="106"/>
    </row>
    <row r="959" spans="1:26" ht="13.5" customHeight="1" x14ac:dyDescent="0.2">
      <c r="A959" s="106"/>
      <c r="B959" s="106"/>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6"/>
      <c r="Z959" s="106"/>
    </row>
    <row r="960" spans="1:26" ht="13.5" customHeight="1" x14ac:dyDescent="0.2">
      <c r="A960" s="106"/>
      <c r="B960" s="106"/>
      <c r="C960" s="106"/>
      <c r="D960" s="106"/>
      <c r="E960" s="106"/>
      <c r="F960" s="106"/>
      <c r="G960" s="106"/>
      <c r="H960" s="106"/>
      <c r="I960" s="106"/>
      <c r="J960" s="106"/>
      <c r="K960" s="106"/>
      <c r="L960" s="106"/>
      <c r="M960" s="106"/>
      <c r="N960" s="106"/>
      <c r="O960" s="106"/>
      <c r="P960" s="106"/>
      <c r="Q960" s="106"/>
      <c r="R960" s="106"/>
      <c r="S960" s="106"/>
      <c r="T960" s="106"/>
      <c r="U960" s="106"/>
      <c r="V960" s="106"/>
      <c r="W960" s="106"/>
      <c r="X960" s="106"/>
      <c r="Y960" s="106"/>
      <c r="Z960" s="106"/>
    </row>
    <row r="961" spans="1:26" ht="13.5" customHeight="1" x14ac:dyDescent="0.2">
      <c r="A961" s="106"/>
      <c r="B961" s="106"/>
      <c r="C961" s="106"/>
      <c r="D961" s="106"/>
      <c r="E961" s="106"/>
      <c r="F961" s="106"/>
      <c r="G961" s="106"/>
      <c r="H961" s="106"/>
      <c r="I961" s="106"/>
      <c r="J961" s="106"/>
      <c r="K961" s="106"/>
      <c r="L961" s="106"/>
      <c r="M961" s="106"/>
      <c r="N961" s="106"/>
      <c r="O961" s="106"/>
      <c r="P961" s="106"/>
      <c r="Q961" s="106"/>
      <c r="R961" s="106"/>
      <c r="S961" s="106"/>
      <c r="T961" s="106"/>
      <c r="U961" s="106"/>
      <c r="V961" s="106"/>
      <c r="W961" s="106"/>
      <c r="X961" s="106"/>
      <c r="Y961" s="106"/>
      <c r="Z961" s="106"/>
    </row>
    <row r="962" spans="1:26" ht="13.5" customHeight="1" x14ac:dyDescent="0.2">
      <c r="A962" s="106"/>
      <c r="B962" s="106"/>
      <c r="C962" s="106"/>
      <c r="D962" s="106"/>
      <c r="E962" s="106"/>
      <c r="F962" s="106"/>
      <c r="G962" s="106"/>
      <c r="H962" s="106"/>
      <c r="I962" s="106"/>
      <c r="J962" s="106"/>
      <c r="K962" s="106"/>
      <c r="L962" s="106"/>
      <c r="M962" s="106"/>
      <c r="N962" s="106"/>
      <c r="O962" s="106"/>
      <c r="P962" s="106"/>
      <c r="Q962" s="106"/>
      <c r="R962" s="106"/>
      <c r="S962" s="106"/>
      <c r="T962" s="106"/>
      <c r="U962" s="106"/>
      <c r="V962" s="106"/>
      <c r="W962" s="106"/>
      <c r="X962" s="106"/>
      <c r="Y962" s="106"/>
      <c r="Z962" s="106"/>
    </row>
    <row r="963" spans="1:26" ht="13.5" customHeight="1" x14ac:dyDescent="0.2">
      <c r="A963" s="106"/>
      <c r="B963" s="106"/>
      <c r="C963" s="106"/>
      <c r="D963" s="106"/>
      <c r="E963" s="106"/>
      <c r="F963" s="106"/>
      <c r="G963" s="106"/>
      <c r="H963" s="106"/>
      <c r="I963" s="106"/>
      <c r="J963" s="106"/>
      <c r="K963" s="106"/>
      <c r="L963" s="106"/>
      <c r="M963" s="106"/>
      <c r="N963" s="106"/>
      <c r="O963" s="106"/>
      <c r="P963" s="106"/>
      <c r="Q963" s="106"/>
      <c r="R963" s="106"/>
      <c r="S963" s="106"/>
      <c r="T963" s="106"/>
      <c r="U963" s="106"/>
      <c r="V963" s="106"/>
      <c r="W963" s="106"/>
      <c r="X963" s="106"/>
      <c r="Y963" s="106"/>
      <c r="Z963" s="106"/>
    </row>
    <row r="964" spans="1:26" ht="13.5" customHeight="1" x14ac:dyDescent="0.2">
      <c r="A964" s="106"/>
      <c r="B964" s="106"/>
      <c r="C964" s="106"/>
      <c r="D964" s="106"/>
      <c r="E964" s="106"/>
      <c r="F964" s="106"/>
      <c r="G964" s="106"/>
      <c r="H964" s="106"/>
      <c r="I964" s="106"/>
      <c r="J964" s="106"/>
      <c r="K964" s="106"/>
      <c r="L964" s="106"/>
      <c r="M964" s="106"/>
      <c r="N964" s="106"/>
      <c r="O964" s="106"/>
      <c r="P964" s="106"/>
      <c r="Q964" s="106"/>
      <c r="R964" s="106"/>
      <c r="S964" s="106"/>
      <c r="T964" s="106"/>
      <c r="U964" s="106"/>
      <c r="V964" s="106"/>
      <c r="W964" s="106"/>
      <c r="X964" s="106"/>
      <c r="Y964" s="106"/>
      <c r="Z964" s="106"/>
    </row>
    <row r="965" spans="1:26" ht="13.5" customHeight="1" x14ac:dyDescent="0.2">
      <c r="A965" s="106"/>
      <c r="B965" s="106"/>
      <c r="C965" s="106"/>
      <c r="D965" s="106"/>
      <c r="E965" s="106"/>
      <c r="F965" s="106"/>
      <c r="G965" s="106"/>
      <c r="H965" s="106"/>
      <c r="I965" s="106"/>
      <c r="J965" s="106"/>
      <c r="K965" s="106"/>
      <c r="L965" s="106"/>
      <c r="M965" s="106"/>
      <c r="N965" s="106"/>
      <c r="O965" s="106"/>
      <c r="P965" s="106"/>
      <c r="Q965" s="106"/>
      <c r="R965" s="106"/>
      <c r="S965" s="106"/>
      <c r="T965" s="106"/>
      <c r="U965" s="106"/>
      <c r="V965" s="106"/>
      <c r="W965" s="106"/>
      <c r="X965" s="106"/>
      <c r="Y965" s="106"/>
      <c r="Z965" s="106"/>
    </row>
    <row r="966" spans="1:26" ht="13.5" customHeight="1" x14ac:dyDescent="0.2">
      <c r="A966" s="106"/>
      <c r="B966" s="106"/>
      <c r="C966" s="106"/>
      <c r="D966" s="106"/>
      <c r="E966" s="106"/>
      <c r="F966" s="106"/>
      <c r="G966" s="106"/>
      <c r="H966" s="106"/>
      <c r="I966" s="106"/>
      <c r="J966" s="106"/>
      <c r="K966" s="106"/>
      <c r="L966" s="106"/>
      <c r="M966" s="106"/>
      <c r="N966" s="106"/>
      <c r="O966" s="106"/>
      <c r="P966" s="106"/>
      <c r="Q966" s="106"/>
      <c r="R966" s="106"/>
      <c r="S966" s="106"/>
      <c r="T966" s="106"/>
      <c r="U966" s="106"/>
      <c r="V966" s="106"/>
      <c r="W966" s="106"/>
      <c r="X966" s="106"/>
      <c r="Y966" s="106"/>
      <c r="Z966" s="106"/>
    </row>
    <row r="967" spans="1:26" ht="13.5" customHeight="1" x14ac:dyDescent="0.2">
      <c r="C967" s="106"/>
      <c r="D967" s="106"/>
      <c r="E967" s="106"/>
      <c r="F967" s="106"/>
      <c r="G967" s="106"/>
      <c r="H967" s="106"/>
      <c r="I967" s="106"/>
      <c r="J967" s="106"/>
      <c r="K967" s="106"/>
      <c r="L967" s="106"/>
      <c r="M967" s="106"/>
      <c r="N967" s="106"/>
      <c r="O967" s="106"/>
      <c r="P967" s="106"/>
      <c r="Q967" s="106"/>
      <c r="R967" s="106"/>
      <c r="S967" s="106"/>
      <c r="T967" s="106"/>
      <c r="U967" s="106"/>
      <c r="V967" s="106"/>
      <c r="W967" s="106"/>
      <c r="X967" s="106"/>
      <c r="Y967" s="106"/>
      <c r="Z967" s="106"/>
    </row>
    <row r="968" spans="1:26" ht="13.5" customHeight="1" x14ac:dyDescent="0.2">
      <c r="C968" s="106"/>
      <c r="D968" s="106"/>
      <c r="E968" s="106"/>
      <c r="F968" s="106"/>
      <c r="G968" s="106"/>
      <c r="H968" s="106"/>
      <c r="I968" s="106"/>
      <c r="J968" s="106"/>
      <c r="K968" s="106"/>
      <c r="L968" s="106"/>
      <c r="M968" s="106"/>
      <c r="N968" s="106"/>
      <c r="O968" s="106"/>
      <c r="P968" s="106"/>
      <c r="Q968" s="106"/>
      <c r="R968" s="106"/>
      <c r="S968" s="106"/>
      <c r="T968" s="106"/>
      <c r="U968" s="106"/>
      <c r="V968" s="106"/>
      <c r="W968" s="106"/>
      <c r="X968" s="106"/>
      <c r="Y968" s="106"/>
      <c r="Z968" s="106"/>
    </row>
    <row r="969" spans="1:26" ht="13.5" customHeight="1" x14ac:dyDescent="0.2">
      <c r="C969" s="106"/>
      <c r="D969" s="106"/>
      <c r="E969" s="106"/>
      <c r="F969" s="106"/>
      <c r="G969" s="106"/>
      <c r="H969" s="106"/>
      <c r="I969" s="106"/>
      <c r="J969" s="106"/>
      <c r="K969" s="106"/>
      <c r="L969" s="106"/>
      <c r="M969" s="106"/>
      <c r="N969" s="106"/>
      <c r="O969" s="106"/>
      <c r="P969" s="106"/>
      <c r="Q969" s="106"/>
      <c r="R969" s="106"/>
      <c r="S969" s="106"/>
      <c r="T969" s="106"/>
      <c r="U969" s="106"/>
      <c r="V969" s="106"/>
      <c r="W969" s="106"/>
      <c r="X969" s="106"/>
      <c r="Y969" s="106"/>
      <c r="Z969" s="106"/>
    </row>
  </sheetData>
  <mergeCells count="12">
    <mergeCell ref="F64:F104"/>
    <mergeCell ref="F108:F117"/>
    <mergeCell ref="F127:F167"/>
    <mergeCell ref="J108:J117"/>
    <mergeCell ref="J127:J167"/>
    <mergeCell ref="J64:J104"/>
    <mergeCell ref="F4:F13"/>
    <mergeCell ref="J4:J13"/>
    <mergeCell ref="F21:F41"/>
    <mergeCell ref="J21:J41"/>
    <mergeCell ref="F46:F56"/>
    <mergeCell ref="J46:J56"/>
  </mergeCells>
  <conditionalFormatting sqref="H4">
    <cfRule type="cellIs" dxfId="66" priority="1" operator="greaterThan">
      <formula>$L$4</formula>
    </cfRule>
  </conditionalFormatting>
  <conditionalFormatting sqref="H5">
    <cfRule type="cellIs" dxfId="65" priority="2" operator="greaterThan">
      <formula>$L$5</formula>
    </cfRule>
  </conditionalFormatting>
  <conditionalFormatting sqref="H6">
    <cfRule type="cellIs" dxfId="64" priority="3" operator="greaterThan">
      <formula>$L$6</formula>
    </cfRule>
  </conditionalFormatting>
  <conditionalFormatting sqref="H7">
    <cfRule type="cellIs" dxfId="63" priority="4" operator="greaterThan">
      <formula>$L$7</formula>
    </cfRule>
  </conditionalFormatting>
  <conditionalFormatting sqref="H8">
    <cfRule type="cellIs" dxfId="62" priority="5" operator="greaterThan">
      <formula>$L$8</formula>
    </cfRule>
  </conditionalFormatting>
  <conditionalFormatting sqref="H9">
    <cfRule type="cellIs" dxfId="61" priority="6" operator="greaterThan">
      <formula>$L$9</formula>
    </cfRule>
  </conditionalFormatting>
  <conditionalFormatting sqref="H10">
    <cfRule type="cellIs" dxfId="60" priority="7" operator="greaterThan">
      <formula>$L$10</formula>
    </cfRule>
  </conditionalFormatting>
  <conditionalFormatting sqref="H11">
    <cfRule type="cellIs" dxfId="59" priority="8" operator="greaterThan">
      <formula>$L$11</formula>
    </cfRule>
  </conditionalFormatting>
  <conditionalFormatting sqref="H12">
    <cfRule type="cellIs" dxfId="58" priority="9" operator="greaterThan">
      <formula>$L$12</formula>
    </cfRule>
  </conditionalFormatting>
  <conditionalFormatting sqref="H13">
    <cfRule type="cellIs" dxfId="57" priority="10" operator="greaterThan">
      <formula>$L$13</formula>
    </cfRule>
  </conditionalFormatting>
  <conditionalFormatting sqref="H21 H64:H104 L64:L81 L104">
    <cfRule type="cellIs" dxfId="56" priority="11" operator="greaterThan">
      <formula>L21</formula>
    </cfRule>
  </conditionalFormatting>
  <conditionalFormatting sqref="H22">
    <cfRule type="cellIs" dxfId="55" priority="12" operator="greaterThan">
      <formula>L22</formula>
    </cfRule>
  </conditionalFormatting>
  <conditionalFormatting sqref="H23">
    <cfRule type="cellIs" dxfId="54" priority="13" operator="greaterThan">
      <formula>L23</formula>
    </cfRule>
  </conditionalFormatting>
  <conditionalFormatting sqref="H24">
    <cfRule type="cellIs" dxfId="53" priority="14" operator="greaterThan">
      <formula>L24</formula>
    </cfRule>
  </conditionalFormatting>
  <conditionalFormatting sqref="H25">
    <cfRule type="cellIs" dxfId="52" priority="15" operator="greaterThan">
      <formula>L25</formula>
    </cfRule>
  </conditionalFormatting>
  <conditionalFormatting sqref="H26">
    <cfRule type="cellIs" dxfId="51" priority="16" operator="greaterThan">
      <formula>L26</formula>
    </cfRule>
  </conditionalFormatting>
  <conditionalFormatting sqref="H27">
    <cfRule type="cellIs" dxfId="50" priority="17" operator="greaterThan">
      <formula>L27</formula>
    </cfRule>
  </conditionalFormatting>
  <conditionalFormatting sqref="H28">
    <cfRule type="cellIs" dxfId="49" priority="18" operator="greaterThan">
      <formula>L28</formula>
    </cfRule>
  </conditionalFormatting>
  <conditionalFormatting sqref="H29">
    <cfRule type="cellIs" dxfId="48" priority="19" operator="greaterThan">
      <formula>L29</formula>
    </cfRule>
  </conditionalFormatting>
  <conditionalFormatting sqref="H30">
    <cfRule type="cellIs" dxfId="47" priority="20" operator="greaterThan">
      <formula>L30</formula>
    </cfRule>
  </conditionalFormatting>
  <conditionalFormatting sqref="H31">
    <cfRule type="cellIs" dxfId="46" priority="21" operator="greaterThan">
      <formula>L31</formula>
    </cfRule>
  </conditionalFormatting>
  <conditionalFormatting sqref="H32">
    <cfRule type="cellIs" dxfId="45" priority="22" operator="greaterThan">
      <formula>L32</formula>
    </cfRule>
  </conditionalFormatting>
  <conditionalFormatting sqref="H33">
    <cfRule type="cellIs" dxfId="44" priority="23" operator="greaterThan">
      <formula>L33</formula>
    </cfRule>
  </conditionalFormatting>
  <conditionalFormatting sqref="H34">
    <cfRule type="cellIs" dxfId="43" priority="24" operator="greaterThan">
      <formula>L34</formula>
    </cfRule>
  </conditionalFormatting>
  <conditionalFormatting sqref="H35">
    <cfRule type="cellIs" dxfId="42" priority="25" operator="greaterThan">
      <formula>L35</formula>
    </cfRule>
  </conditionalFormatting>
  <conditionalFormatting sqref="H36">
    <cfRule type="cellIs" dxfId="41" priority="26" operator="greaterThan">
      <formula>L36</formula>
    </cfRule>
  </conditionalFormatting>
  <conditionalFormatting sqref="H37">
    <cfRule type="cellIs" dxfId="40" priority="27" operator="greaterThan">
      <formula>L37</formula>
    </cfRule>
  </conditionalFormatting>
  <conditionalFormatting sqref="H38">
    <cfRule type="cellIs" dxfId="39" priority="28" operator="greaterThan">
      <formula>L38</formula>
    </cfRule>
  </conditionalFormatting>
  <conditionalFormatting sqref="H39">
    <cfRule type="cellIs" dxfId="38" priority="29" operator="greaterThan">
      <formula>L39</formula>
    </cfRule>
  </conditionalFormatting>
  <conditionalFormatting sqref="H40">
    <cfRule type="cellIs" dxfId="37" priority="30" operator="greaterThan">
      <formula>L40</formula>
    </cfRule>
  </conditionalFormatting>
  <conditionalFormatting sqref="H41">
    <cfRule type="cellIs" dxfId="36" priority="31" operator="greaterThan">
      <formula>L41</formula>
    </cfRule>
  </conditionalFormatting>
  <conditionalFormatting sqref="H46">
    <cfRule type="cellIs" dxfId="35" priority="32" operator="greaterThan">
      <formula>L46</formula>
    </cfRule>
  </conditionalFormatting>
  <conditionalFormatting sqref="H47">
    <cfRule type="cellIs" dxfId="34" priority="33" operator="greaterThan">
      <formula>L47</formula>
    </cfRule>
  </conditionalFormatting>
  <conditionalFormatting sqref="H48">
    <cfRule type="cellIs" dxfId="33" priority="34" operator="greaterThan">
      <formula>L48</formula>
    </cfRule>
  </conditionalFormatting>
  <conditionalFormatting sqref="H49">
    <cfRule type="cellIs" dxfId="32" priority="35" operator="greaterThan">
      <formula>L49</formula>
    </cfRule>
  </conditionalFormatting>
  <conditionalFormatting sqref="H50">
    <cfRule type="cellIs" dxfId="31" priority="36" operator="greaterThan">
      <formula>L50</formula>
    </cfRule>
  </conditionalFormatting>
  <conditionalFormatting sqref="H51">
    <cfRule type="cellIs" dxfId="30" priority="37" operator="greaterThan">
      <formula>L51</formula>
    </cfRule>
  </conditionalFormatting>
  <conditionalFormatting sqref="H52">
    <cfRule type="cellIs" dxfId="29" priority="38" operator="greaterThan">
      <formula>L52</formula>
    </cfRule>
  </conditionalFormatting>
  <conditionalFormatting sqref="H53">
    <cfRule type="cellIs" dxfId="28" priority="39" operator="greaterThan">
      <formula>L53</formula>
    </cfRule>
  </conditionalFormatting>
  <conditionalFormatting sqref="H54">
    <cfRule type="cellIs" dxfId="27" priority="40" operator="greaterThan">
      <formula>L54</formula>
    </cfRule>
  </conditionalFormatting>
  <conditionalFormatting sqref="H55">
    <cfRule type="cellIs" dxfId="26" priority="41" operator="greaterThan">
      <formula>L55</formula>
    </cfRule>
  </conditionalFormatting>
  <conditionalFormatting sqref="H56">
    <cfRule type="cellIs" dxfId="25" priority="42" operator="greaterThan">
      <formula>L56</formula>
    </cfRule>
  </conditionalFormatting>
  <conditionalFormatting sqref="H108">
    <cfRule type="cellIs" dxfId="24" priority="43" operator="greaterThan">
      <formula>L108</formula>
    </cfRule>
  </conditionalFormatting>
  <conditionalFormatting sqref="H109">
    <cfRule type="cellIs" dxfId="23" priority="44" operator="greaterThan">
      <formula>L109</formula>
    </cfRule>
  </conditionalFormatting>
  <conditionalFormatting sqref="H110">
    <cfRule type="cellIs" dxfId="22" priority="45" operator="greaterThan">
      <formula>L110</formula>
    </cfRule>
  </conditionalFormatting>
  <conditionalFormatting sqref="H111">
    <cfRule type="cellIs" dxfId="21" priority="46" operator="greaterThan">
      <formula>L111</formula>
    </cfRule>
  </conditionalFormatting>
  <conditionalFormatting sqref="H112">
    <cfRule type="cellIs" dxfId="20" priority="47" operator="greaterThan">
      <formula>L112</formula>
    </cfRule>
  </conditionalFormatting>
  <conditionalFormatting sqref="H113">
    <cfRule type="cellIs" dxfId="19" priority="48" operator="greaterThan">
      <formula>L113</formula>
    </cfRule>
  </conditionalFormatting>
  <conditionalFormatting sqref="H114">
    <cfRule type="cellIs" dxfId="18" priority="49" operator="greaterThan">
      <formula>L114</formula>
    </cfRule>
  </conditionalFormatting>
  <conditionalFormatting sqref="H115">
    <cfRule type="cellIs" dxfId="17" priority="50" operator="greaterThan">
      <formula>L115</formula>
    </cfRule>
  </conditionalFormatting>
  <conditionalFormatting sqref="H116">
    <cfRule type="cellIs" dxfId="16" priority="51" operator="greaterThan">
      <formula>L116</formula>
    </cfRule>
  </conditionalFormatting>
  <conditionalFormatting sqref="H117">
    <cfRule type="cellIs" dxfId="15" priority="52" operator="greaterThan">
      <formula>L117</formula>
    </cfRule>
  </conditionalFormatting>
  <conditionalFormatting sqref="H127">
    <cfRule type="cellIs" dxfId="14" priority="53" operator="greaterThan">
      <formula>L127</formula>
    </cfRule>
  </conditionalFormatting>
  <conditionalFormatting sqref="H128">
    <cfRule type="cellIs" dxfId="13" priority="54" operator="greaterThan">
      <formula>L128</formula>
    </cfRule>
  </conditionalFormatting>
  <conditionalFormatting sqref="H129">
    <cfRule type="cellIs" dxfId="12" priority="55" operator="greaterThan">
      <formula>L129</formula>
    </cfRule>
  </conditionalFormatting>
  <conditionalFormatting sqref="H130">
    <cfRule type="cellIs" dxfId="11" priority="56" operator="greaterThan">
      <formula>L130</formula>
    </cfRule>
  </conditionalFormatting>
  <conditionalFormatting sqref="H131">
    <cfRule type="cellIs" dxfId="10" priority="57" operator="greaterThan">
      <formula>L131</formula>
    </cfRule>
  </conditionalFormatting>
  <conditionalFormatting sqref="H132">
    <cfRule type="cellIs" dxfId="9" priority="58" operator="greaterThan">
      <formula>L132</formula>
    </cfRule>
  </conditionalFormatting>
  <conditionalFormatting sqref="H133">
    <cfRule type="cellIs" dxfId="8" priority="59" operator="greaterThan">
      <formula>L133</formula>
    </cfRule>
  </conditionalFormatting>
  <conditionalFormatting sqref="H134">
    <cfRule type="cellIs" dxfId="7" priority="60" operator="greaterThan">
      <formula>L134</formula>
    </cfRule>
  </conditionalFormatting>
  <conditionalFormatting sqref="H135">
    <cfRule type="cellIs" dxfId="6" priority="61" operator="greaterThan">
      <formula>L135</formula>
    </cfRule>
  </conditionalFormatting>
  <conditionalFormatting sqref="H136">
    <cfRule type="cellIs" dxfId="5" priority="62" operator="greaterThan">
      <formula>L136</formula>
    </cfRule>
  </conditionalFormatting>
  <conditionalFormatting sqref="H137">
    <cfRule type="cellIs" dxfId="4" priority="63" operator="greaterThan">
      <formula>L137</formula>
    </cfRule>
  </conditionalFormatting>
  <conditionalFormatting sqref="H138 H142 H146 H150 H154 H158 H162 H166">
    <cfRule type="cellIs" dxfId="3" priority="64" operator="greaterThan">
      <formula>L138</formula>
    </cfRule>
  </conditionalFormatting>
  <conditionalFormatting sqref="H139 H143 H147 H151 H155 H159 H163 H167">
    <cfRule type="cellIs" dxfId="2" priority="65" operator="greaterThan">
      <formula>L139</formula>
    </cfRule>
  </conditionalFormatting>
  <conditionalFormatting sqref="H140 H144 H148 H152 H156 H160 H164">
    <cfRule type="cellIs" dxfId="1" priority="66" operator="greaterThan">
      <formula>L140</formula>
    </cfRule>
  </conditionalFormatting>
  <conditionalFormatting sqref="H141 H145 H149 H153 H157 H161 H165 H168:H169">
    <cfRule type="cellIs" dxfId="0" priority="67" operator="greaterThan">
      <formula>L141</formula>
    </cfRule>
  </conditionalFormatting>
  <pageMargins left="0.7" right="0.7" top="0.75" bottom="0.75" header="0" footer="0"/>
  <pageSetup orientation="portrait"/>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S235"/>
  <sheetViews>
    <sheetView topLeftCell="A53" workbookViewId="0">
      <selection activeCell="I27" sqref="I27"/>
    </sheetView>
  </sheetViews>
  <sheetFormatPr defaultColWidth="12.7109375" defaultRowHeight="15" customHeight="1" outlineLevelCol="1" x14ac:dyDescent="0.2"/>
  <cols>
    <col min="1" max="1" width="42.42578125" customWidth="1"/>
    <col min="2" max="2" width="18.42578125" customWidth="1"/>
    <col min="3" max="5" width="14.42578125" customWidth="1" outlineLevel="1"/>
    <col min="6" max="8" width="15" customWidth="1" outlineLevel="1"/>
    <col min="9" max="9" width="38.42578125" customWidth="1"/>
    <col min="10" max="10" width="20.42578125" customWidth="1"/>
    <col min="11" max="35" width="14.42578125" customWidth="1"/>
    <col min="36" max="39" width="17.140625" customWidth="1"/>
    <col min="40" max="42" width="14.42578125" customWidth="1"/>
    <col min="43" max="54" width="16.140625" customWidth="1"/>
    <col min="55" max="102" width="14.42578125" customWidth="1"/>
    <col min="103" max="103" width="15.42578125" customWidth="1"/>
    <col min="104" max="104" width="14.42578125" hidden="1" customWidth="1"/>
    <col min="105" max="123" width="10.42578125" hidden="1" customWidth="1"/>
  </cols>
  <sheetData>
    <row r="1" spans="1:123" ht="15.75" customHeight="1" x14ac:dyDescent="0.3">
      <c r="A1" s="145" t="s">
        <v>107</v>
      </c>
      <c r="B1" s="146"/>
      <c r="C1" s="146"/>
      <c r="D1" s="146"/>
      <c r="E1" s="146"/>
      <c r="F1" s="146"/>
      <c r="G1" s="146"/>
      <c r="H1" s="147"/>
      <c r="I1" s="148" t="s">
        <v>108</v>
      </c>
      <c r="J1" s="149"/>
      <c r="K1" s="149"/>
      <c r="L1" s="149"/>
      <c r="M1" s="149"/>
      <c r="N1" s="149"/>
      <c r="O1" s="149"/>
      <c r="P1" s="149"/>
      <c r="Q1" s="149"/>
      <c r="R1" s="149"/>
      <c r="S1" s="149"/>
      <c r="T1" s="149"/>
      <c r="U1" s="149"/>
      <c r="V1" s="149"/>
      <c r="W1" s="149"/>
      <c r="X1" s="149"/>
      <c r="Y1" s="149"/>
      <c r="Z1" s="149"/>
      <c r="AA1" s="149"/>
      <c r="AB1" s="149"/>
      <c r="AC1" s="149"/>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c r="BV1" s="150"/>
      <c r="BW1" s="150"/>
      <c r="BX1" s="150"/>
      <c r="BY1" s="150"/>
      <c r="BZ1" s="150"/>
      <c r="CA1" s="150"/>
      <c r="CB1" s="150"/>
      <c r="CC1" s="150"/>
      <c r="CD1" s="150"/>
      <c r="CE1" s="150"/>
      <c r="CF1" s="150"/>
      <c r="CG1" s="150"/>
      <c r="CH1" s="150"/>
      <c r="CI1" s="150"/>
      <c r="CJ1" s="150"/>
      <c r="CK1" s="150"/>
      <c r="CL1" s="150"/>
      <c r="CM1" s="150"/>
      <c r="CN1" s="150"/>
      <c r="CO1" s="150"/>
      <c r="CP1" s="150"/>
      <c r="CQ1" s="150"/>
      <c r="CR1" s="150"/>
      <c r="CS1" s="150"/>
      <c r="CT1" s="150"/>
      <c r="CU1" s="150"/>
      <c r="CV1" s="150"/>
      <c r="CW1" s="150"/>
      <c r="CX1" s="150"/>
      <c r="CY1" s="150"/>
      <c r="CZ1" s="150"/>
      <c r="DA1" s="150"/>
      <c r="DB1" s="150"/>
      <c r="DC1" s="150"/>
      <c r="DD1" s="150"/>
      <c r="DE1" s="150"/>
      <c r="DF1" s="150"/>
      <c r="DG1" s="150"/>
      <c r="DH1" s="150"/>
      <c r="DI1" s="150"/>
      <c r="DJ1" s="150"/>
      <c r="DK1" s="150"/>
      <c r="DL1" s="150"/>
      <c r="DM1" s="150"/>
      <c r="DN1" s="150"/>
      <c r="DO1" s="150"/>
      <c r="DP1" s="150"/>
      <c r="DQ1" s="150"/>
      <c r="DR1" s="150"/>
      <c r="DS1" s="150"/>
    </row>
    <row r="2" spans="1:123" ht="15.75" customHeight="1" x14ac:dyDescent="0.2">
      <c r="A2" s="151" t="s">
        <v>109</v>
      </c>
      <c r="B2" s="152">
        <f t="shared" ref="B2:G2" si="0">B5-2020</f>
        <v>3</v>
      </c>
      <c r="C2" s="152">
        <f t="shared" si="0"/>
        <v>4</v>
      </c>
      <c r="D2" s="152">
        <f t="shared" si="0"/>
        <v>5</v>
      </c>
      <c r="E2" s="152">
        <f t="shared" si="0"/>
        <v>6</v>
      </c>
      <c r="F2" s="152">
        <f t="shared" si="0"/>
        <v>7</v>
      </c>
      <c r="G2" s="152">
        <f t="shared" si="0"/>
        <v>8</v>
      </c>
      <c r="H2" s="748" t="s">
        <v>58</v>
      </c>
      <c r="I2" s="153" t="s">
        <v>109</v>
      </c>
      <c r="J2" s="154">
        <f t="shared" ref="J2:CY2" si="1">J5-2020</f>
        <v>9</v>
      </c>
      <c r="K2" s="154">
        <f t="shared" si="1"/>
        <v>10</v>
      </c>
      <c r="L2" s="154">
        <f t="shared" si="1"/>
        <v>11</v>
      </c>
      <c r="M2" s="154">
        <f t="shared" si="1"/>
        <v>12</v>
      </c>
      <c r="N2" s="154">
        <f t="shared" si="1"/>
        <v>13</v>
      </c>
      <c r="O2" s="154">
        <f t="shared" si="1"/>
        <v>14</v>
      </c>
      <c r="P2" s="154">
        <f t="shared" si="1"/>
        <v>15</v>
      </c>
      <c r="Q2" s="154">
        <f t="shared" si="1"/>
        <v>16</v>
      </c>
      <c r="R2" s="154">
        <f t="shared" si="1"/>
        <v>17</v>
      </c>
      <c r="S2" s="154">
        <f t="shared" si="1"/>
        <v>18</v>
      </c>
      <c r="T2" s="154">
        <f t="shared" si="1"/>
        <v>19</v>
      </c>
      <c r="U2" s="154">
        <f t="shared" si="1"/>
        <v>20</v>
      </c>
      <c r="V2" s="154">
        <f t="shared" si="1"/>
        <v>21</v>
      </c>
      <c r="W2" s="154">
        <f t="shared" si="1"/>
        <v>22</v>
      </c>
      <c r="X2" s="154">
        <f t="shared" si="1"/>
        <v>23</v>
      </c>
      <c r="Y2" s="154">
        <f t="shared" si="1"/>
        <v>24</v>
      </c>
      <c r="Z2" s="154">
        <f t="shared" si="1"/>
        <v>25</v>
      </c>
      <c r="AA2" s="154">
        <f t="shared" si="1"/>
        <v>26</v>
      </c>
      <c r="AB2" s="154">
        <f t="shared" si="1"/>
        <v>27</v>
      </c>
      <c r="AC2" s="154">
        <f t="shared" si="1"/>
        <v>28</v>
      </c>
      <c r="AD2" s="154">
        <f t="shared" si="1"/>
        <v>29</v>
      </c>
      <c r="AE2" s="154">
        <f t="shared" si="1"/>
        <v>30</v>
      </c>
      <c r="AF2" s="154">
        <f t="shared" si="1"/>
        <v>31</v>
      </c>
      <c r="AG2" s="154">
        <f t="shared" si="1"/>
        <v>32</v>
      </c>
      <c r="AH2" s="154">
        <f t="shared" si="1"/>
        <v>33</v>
      </c>
      <c r="AI2" s="154">
        <f t="shared" si="1"/>
        <v>34</v>
      </c>
      <c r="AJ2" s="154">
        <f t="shared" si="1"/>
        <v>35</v>
      </c>
      <c r="AK2" s="154">
        <f t="shared" si="1"/>
        <v>36</v>
      </c>
      <c r="AL2" s="154">
        <f t="shared" si="1"/>
        <v>37</v>
      </c>
      <c r="AM2" s="154">
        <f t="shared" si="1"/>
        <v>38</v>
      </c>
      <c r="AN2" s="154">
        <f t="shared" si="1"/>
        <v>39</v>
      </c>
      <c r="AO2" s="154">
        <f t="shared" si="1"/>
        <v>40</v>
      </c>
      <c r="AP2" s="154">
        <f t="shared" si="1"/>
        <v>41</v>
      </c>
      <c r="AQ2" s="154">
        <f t="shared" si="1"/>
        <v>42</v>
      </c>
      <c r="AR2" s="154">
        <f t="shared" si="1"/>
        <v>43</v>
      </c>
      <c r="AS2" s="154">
        <f t="shared" si="1"/>
        <v>44</v>
      </c>
      <c r="AT2" s="154">
        <f t="shared" si="1"/>
        <v>45</v>
      </c>
      <c r="AU2" s="154">
        <f t="shared" si="1"/>
        <v>46</v>
      </c>
      <c r="AV2" s="154">
        <f t="shared" si="1"/>
        <v>47</v>
      </c>
      <c r="AW2" s="154">
        <f t="shared" si="1"/>
        <v>48</v>
      </c>
      <c r="AX2" s="154">
        <f t="shared" si="1"/>
        <v>49</v>
      </c>
      <c r="AY2" s="154">
        <f t="shared" si="1"/>
        <v>50</v>
      </c>
      <c r="AZ2" s="154">
        <f t="shared" si="1"/>
        <v>51</v>
      </c>
      <c r="BA2" s="154">
        <f t="shared" si="1"/>
        <v>52</v>
      </c>
      <c r="BB2" s="154">
        <f t="shared" si="1"/>
        <v>53</v>
      </c>
      <c r="BC2" s="154">
        <f t="shared" si="1"/>
        <v>54</v>
      </c>
      <c r="BD2" s="154">
        <f t="shared" si="1"/>
        <v>55</v>
      </c>
      <c r="BE2" s="154">
        <f t="shared" si="1"/>
        <v>56</v>
      </c>
      <c r="BF2" s="154">
        <f t="shared" si="1"/>
        <v>57</v>
      </c>
      <c r="BG2" s="154">
        <f t="shared" si="1"/>
        <v>58</v>
      </c>
      <c r="BH2" s="154">
        <f t="shared" si="1"/>
        <v>59</v>
      </c>
      <c r="BI2" s="154">
        <f t="shared" si="1"/>
        <v>60</v>
      </c>
      <c r="BJ2" s="154">
        <f t="shared" si="1"/>
        <v>61</v>
      </c>
      <c r="BK2" s="154">
        <f t="shared" si="1"/>
        <v>62</v>
      </c>
      <c r="BL2" s="154">
        <f t="shared" si="1"/>
        <v>63</v>
      </c>
      <c r="BM2" s="154">
        <f t="shared" si="1"/>
        <v>64</v>
      </c>
      <c r="BN2" s="154">
        <f t="shared" si="1"/>
        <v>65</v>
      </c>
      <c r="BO2" s="154">
        <f t="shared" si="1"/>
        <v>66</v>
      </c>
      <c r="BP2" s="154">
        <f t="shared" si="1"/>
        <v>67</v>
      </c>
      <c r="BQ2" s="154">
        <f t="shared" si="1"/>
        <v>68</v>
      </c>
      <c r="BR2" s="154">
        <f t="shared" si="1"/>
        <v>69</v>
      </c>
      <c r="BS2" s="154">
        <f t="shared" si="1"/>
        <v>70</v>
      </c>
      <c r="BT2" s="154">
        <f t="shared" si="1"/>
        <v>71</v>
      </c>
      <c r="BU2" s="154">
        <f t="shared" si="1"/>
        <v>72</v>
      </c>
      <c r="BV2" s="154">
        <f t="shared" si="1"/>
        <v>73</v>
      </c>
      <c r="BW2" s="154">
        <f t="shared" si="1"/>
        <v>74</v>
      </c>
      <c r="BX2" s="154">
        <f t="shared" si="1"/>
        <v>75</v>
      </c>
      <c r="BY2" s="154">
        <f t="shared" si="1"/>
        <v>76</v>
      </c>
      <c r="BZ2" s="154">
        <f t="shared" si="1"/>
        <v>77</v>
      </c>
      <c r="CA2" s="154">
        <f t="shared" si="1"/>
        <v>78</v>
      </c>
      <c r="CB2" s="154">
        <f t="shared" si="1"/>
        <v>79</v>
      </c>
      <c r="CC2" s="154">
        <f t="shared" si="1"/>
        <v>80</v>
      </c>
      <c r="CD2" s="154">
        <f t="shared" si="1"/>
        <v>81</v>
      </c>
      <c r="CE2" s="154">
        <f t="shared" si="1"/>
        <v>82</v>
      </c>
      <c r="CF2" s="154">
        <f t="shared" si="1"/>
        <v>83</v>
      </c>
      <c r="CG2" s="154">
        <f t="shared" si="1"/>
        <v>84</v>
      </c>
      <c r="CH2" s="154">
        <f t="shared" si="1"/>
        <v>85</v>
      </c>
      <c r="CI2" s="154">
        <f t="shared" si="1"/>
        <v>86</v>
      </c>
      <c r="CJ2" s="154">
        <f t="shared" si="1"/>
        <v>87</v>
      </c>
      <c r="CK2" s="154">
        <f t="shared" si="1"/>
        <v>88</v>
      </c>
      <c r="CL2" s="154">
        <f t="shared" si="1"/>
        <v>89</v>
      </c>
      <c r="CM2" s="154">
        <f t="shared" si="1"/>
        <v>90</v>
      </c>
      <c r="CN2" s="154">
        <f t="shared" si="1"/>
        <v>91</v>
      </c>
      <c r="CO2" s="154">
        <f t="shared" si="1"/>
        <v>92</v>
      </c>
      <c r="CP2" s="154">
        <f t="shared" si="1"/>
        <v>93</v>
      </c>
      <c r="CQ2" s="154">
        <f t="shared" si="1"/>
        <v>94</v>
      </c>
      <c r="CR2" s="154">
        <f t="shared" si="1"/>
        <v>95</v>
      </c>
      <c r="CS2" s="154">
        <f t="shared" si="1"/>
        <v>96</v>
      </c>
      <c r="CT2" s="154">
        <f t="shared" si="1"/>
        <v>97</v>
      </c>
      <c r="CU2" s="154">
        <f t="shared" si="1"/>
        <v>98</v>
      </c>
      <c r="CV2" s="154">
        <f t="shared" si="1"/>
        <v>99</v>
      </c>
      <c r="CW2" s="154">
        <f t="shared" si="1"/>
        <v>100</v>
      </c>
      <c r="CX2" s="154">
        <f t="shared" si="1"/>
        <v>101</v>
      </c>
      <c r="CY2" s="154">
        <f t="shared" si="1"/>
        <v>102</v>
      </c>
      <c r="CZ2" s="10" t="s">
        <v>110</v>
      </c>
      <c r="DA2" s="66"/>
      <c r="DB2" s="66"/>
      <c r="DC2" s="66"/>
      <c r="DD2" s="66"/>
      <c r="DE2" s="66"/>
      <c r="DF2" s="66"/>
      <c r="DG2" s="66"/>
      <c r="DH2" s="66"/>
      <c r="DI2" s="66"/>
      <c r="DJ2" s="66"/>
      <c r="DK2" s="66"/>
      <c r="DL2" s="66"/>
      <c r="DM2" s="66"/>
      <c r="DN2" s="66"/>
      <c r="DO2" s="66"/>
      <c r="DP2" s="66"/>
      <c r="DQ2" s="66"/>
      <c r="DR2" s="66"/>
      <c r="DS2" s="66"/>
    </row>
    <row r="3" spans="1:123" ht="15.75" customHeight="1" x14ac:dyDescent="0.2">
      <c r="A3" s="155" t="s">
        <v>111</v>
      </c>
      <c r="B3" s="156"/>
      <c r="C3" s="156">
        <v>1</v>
      </c>
      <c r="D3" s="156">
        <v>2</v>
      </c>
      <c r="E3" s="156">
        <v>3</v>
      </c>
      <c r="F3" s="156">
        <v>4</v>
      </c>
      <c r="G3" s="156">
        <v>5</v>
      </c>
      <c r="H3" s="735"/>
      <c r="I3" s="157" t="s">
        <v>111</v>
      </c>
      <c r="J3" s="158">
        <v>6</v>
      </c>
      <c r="K3" s="158">
        <v>7</v>
      </c>
      <c r="L3" s="158">
        <v>8</v>
      </c>
      <c r="M3" s="158">
        <v>9</v>
      </c>
      <c r="N3" s="158">
        <v>10</v>
      </c>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c r="BR3" s="158"/>
      <c r="BS3" s="158"/>
      <c r="BT3" s="158"/>
      <c r="BU3" s="158"/>
      <c r="BV3" s="158"/>
      <c r="BW3" s="158"/>
      <c r="BX3" s="158"/>
      <c r="BY3" s="158"/>
      <c r="BZ3" s="158"/>
      <c r="CA3" s="158"/>
      <c r="CB3" s="158"/>
      <c r="CC3" s="158"/>
      <c r="CD3" s="158"/>
      <c r="CE3" s="158"/>
      <c r="CF3" s="158"/>
      <c r="CG3" s="158"/>
      <c r="CH3" s="158"/>
      <c r="CI3" s="158"/>
      <c r="CJ3" s="158"/>
      <c r="CK3" s="158"/>
      <c r="CL3" s="158"/>
      <c r="CM3" s="158"/>
      <c r="CN3" s="158"/>
      <c r="CO3" s="158"/>
      <c r="CP3" s="158"/>
      <c r="CQ3" s="158"/>
      <c r="CR3" s="158"/>
      <c r="CS3" s="158"/>
      <c r="CT3" s="158"/>
      <c r="CU3" s="158"/>
      <c r="CV3" s="158"/>
      <c r="CW3" s="158"/>
      <c r="CX3" s="158"/>
      <c r="CY3" s="158"/>
      <c r="CZ3" s="159"/>
      <c r="DA3" s="160"/>
      <c r="DB3" s="160"/>
      <c r="DC3" s="160"/>
      <c r="DD3" s="160"/>
      <c r="DE3" s="160"/>
      <c r="DF3" s="160"/>
      <c r="DG3" s="160"/>
      <c r="DH3" s="160"/>
      <c r="DI3" s="160"/>
      <c r="DJ3" s="160"/>
      <c r="DK3" s="160"/>
      <c r="DL3" s="160"/>
      <c r="DM3" s="160"/>
      <c r="DN3" s="160"/>
      <c r="DO3" s="160"/>
      <c r="DP3" s="160"/>
      <c r="DQ3" s="160"/>
      <c r="DR3" s="160"/>
      <c r="DS3" s="160"/>
    </row>
    <row r="4" spans="1:123" ht="15.75" customHeight="1" x14ac:dyDescent="0.2">
      <c r="A4" s="155" t="s">
        <v>112</v>
      </c>
      <c r="B4" s="156"/>
      <c r="C4" s="156"/>
      <c r="D4" s="156"/>
      <c r="E4" s="156"/>
      <c r="F4" s="156"/>
      <c r="G4" s="156"/>
      <c r="H4" s="749"/>
      <c r="I4" s="157" t="s">
        <v>112</v>
      </c>
      <c r="J4" s="158">
        <v>1</v>
      </c>
      <c r="K4" s="158">
        <f t="shared" ref="K4:CY4" si="2">J4+1</f>
        <v>2</v>
      </c>
      <c r="L4" s="158">
        <f t="shared" si="2"/>
        <v>3</v>
      </c>
      <c r="M4" s="158">
        <f t="shared" si="2"/>
        <v>4</v>
      </c>
      <c r="N4" s="158">
        <f t="shared" si="2"/>
        <v>5</v>
      </c>
      <c r="O4" s="158">
        <f t="shared" si="2"/>
        <v>6</v>
      </c>
      <c r="P4" s="158">
        <f t="shared" si="2"/>
        <v>7</v>
      </c>
      <c r="Q4" s="158">
        <f t="shared" si="2"/>
        <v>8</v>
      </c>
      <c r="R4" s="158">
        <f t="shared" si="2"/>
        <v>9</v>
      </c>
      <c r="S4" s="158">
        <f t="shared" si="2"/>
        <v>10</v>
      </c>
      <c r="T4" s="158">
        <f t="shared" si="2"/>
        <v>11</v>
      </c>
      <c r="U4" s="158">
        <f t="shared" si="2"/>
        <v>12</v>
      </c>
      <c r="V4" s="158">
        <f t="shared" si="2"/>
        <v>13</v>
      </c>
      <c r="W4" s="158">
        <f t="shared" si="2"/>
        <v>14</v>
      </c>
      <c r="X4" s="158">
        <f t="shared" si="2"/>
        <v>15</v>
      </c>
      <c r="Y4" s="158">
        <f t="shared" si="2"/>
        <v>16</v>
      </c>
      <c r="Z4" s="158">
        <f t="shared" si="2"/>
        <v>17</v>
      </c>
      <c r="AA4" s="158">
        <f t="shared" si="2"/>
        <v>18</v>
      </c>
      <c r="AB4" s="158">
        <f t="shared" si="2"/>
        <v>19</v>
      </c>
      <c r="AC4" s="158">
        <f t="shared" si="2"/>
        <v>20</v>
      </c>
      <c r="AD4" s="158">
        <f t="shared" si="2"/>
        <v>21</v>
      </c>
      <c r="AE4" s="158">
        <f t="shared" si="2"/>
        <v>22</v>
      </c>
      <c r="AF4" s="158">
        <f t="shared" si="2"/>
        <v>23</v>
      </c>
      <c r="AG4" s="158">
        <f t="shared" si="2"/>
        <v>24</v>
      </c>
      <c r="AH4" s="158">
        <f t="shared" si="2"/>
        <v>25</v>
      </c>
      <c r="AI4" s="158">
        <f t="shared" si="2"/>
        <v>26</v>
      </c>
      <c r="AJ4" s="158">
        <f t="shared" si="2"/>
        <v>27</v>
      </c>
      <c r="AK4" s="158">
        <f t="shared" si="2"/>
        <v>28</v>
      </c>
      <c r="AL4" s="158">
        <f t="shared" si="2"/>
        <v>29</v>
      </c>
      <c r="AM4" s="158">
        <f t="shared" si="2"/>
        <v>30</v>
      </c>
      <c r="AN4" s="158">
        <f t="shared" si="2"/>
        <v>31</v>
      </c>
      <c r="AO4" s="158">
        <f t="shared" si="2"/>
        <v>32</v>
      </c>
      <c r="AP4" s="158">
        <f t="shared" si="2"/>
        <v>33</v>
      </c>
      <c r="AQ4" s="158">
        <f t="shared" si="2"/>
        <v>34</v>
      </c>
      <c r="AR4" s="158">
        <f t="shared" si="2"/>
        <v>35</v>
      </c>
      <c r="AS4" s="158">
        <f t="shared" si="2"/>
        <v>36</v>
      </c>
      <c r="AT4" s="158">
        <f t="shared" si="2"/>
        <v>37</v>
      </c>
      <c r="AU4" s="158">
        <f t="shared" si="2"/>
        <v>38</v>
      </c>
      <c r="AV4" s="158">
        <f t="shared" si="2"/>
        <v>39</v>
      </c>
      <c r="AW4" s="158">
        <f t="shared" si="2"/>
        <v>40</v>
      </c>
      <c r="AX4" s="158">
        <f t="shared" si="2"/>
        <v>41</v>
      </c>
      <c r="AY4" s="158">
        <f t="shared" si="2"/>
        <v>42</v>
      </c>
      <c r="AZ4" s="158">
        <f t="shared" si="2"/>
        <v>43</v>
      </c>
      <c r="BA4" s="158">
        <f t="shared" si="2"/>
        <v>44</v>
      </c>
      <c r="BB4" s="158">
        <f t="shared" si="2"/>
        <v>45</v>
      </c>
      <c r="BC4" s="158">
        <f t="shared" si="2"/>
        <v>46</v>
      </c>
      <c r="BD4" s="158">
        <f t="shared" si="2"/>
        <v>47</v>
      </c>
      <c r="BE4" s="158">
        <f t="shared" si="2"/>
        <v>48</v>
      </c>
      <c r="BF4" s="158">
        <f t="shared" si="2"/>
        <v>49</v>
      </c>
      <c r="BG4" s="158">
        <f t="shared" si="2"/>
        <v>50</v>
      </c>
      <c r="BH4" s="158">
        <f t="shared" si="2"/>
        <v>51</v>
      </c>
      <c r="BI4" s="158">
        <f t="shared" si="2"/>
        <v>52</v>
      </c>
      <c r="BJ4" s="158">
        <f t="shared" si="2"/>
        <v>53</v>
      </c>
      <c r="BK4" s="158">
        <f t="shared" si="2"/>
        <v>54</v>
      </c>
      <c r="BL4" s="158">
        <f t="shared" si="2"/>
        <v>55</v>
      </c>
      <c r="BM4" s="158">
        <f t="shared" si="2"/>
        <v>56</v>
      </c>
      <c r="BN4" s="158">
        <f t="shared" si="2"/>
        <v>57</v>
      </c>
      <c r="BO4" s="158">
        <f t="shared" si="2"/>
        <v>58</v>
      </c>
      <c r="BP4" s="158">
        <f t="shared" si="2"/>
        <v>59</v>
      </c>
      <c r="BQ4" s="158">
        <f t="shared" si="2"/>
        <v>60</v>
      </c>
      <c r="BR4" s="158">
        <f t="shared" si="2"/>
        <v>61</v>
      </c>
      <c r="BS4" s="158">
        <f t="shared" si="2"/>
        <v>62</v>
      </c>
      <c r="BT4" s="158">
        <f t="shared" si="2"/>
        <v>63</v>
      </c>
      <c r="BU4" s="158">
        <f t="shared" si="2"/>
        <v>64</v>
      </c>
      <c r="BV4" s="158">
        <f t="shared" si="2"/>
        <v>65</v>
      </c>
      <c r="BW4" s="158">
        <f t="shared" si="2"/>
        <v>66</v>
      </c>
      <c r="BX4" s="158">
        <f t="shared" si="2"/>
        <v>67</v>
      </c>
      <c r="BY4" s="158">
        <f t="shared" si="2"/>
        <v>68</v>
      </c>
      <c r="BZ4" s="158">
        <f t="shared" si="2"/>
        <v>69</v>
      </c>
      <c r="CA4" s="158">
        <f t="shared" si="2"/>
        <v>70</v>
      </c>
      <c r="CB4" s="158">
        <f t="shared" si="2"/>
        <v>71</v>
      </c>
      <c r="CC4" s="158">
        <f t="shared" si="2"/>
        <v>72</v>
      </c>
      <c r="CD4" s="158">
        <f t="shared" si="2"/>
        <v>73</v>
      </c>
      <c r="CE4" s="158">
        <f t="shared" si="2"/>
        <v>74</v>
      </c>
      <c r="CF4" s="158">
        <f t="shared" si="2"/>
        <v>75</v>
      </c>
      <c r="CG4" s="158">
        <f t="shared" si="2"/>
        <v>76</v>
      </c>
      <c r="CH4" s="158">
        <f t="shared" si="2"/>
        <v>77</v>
      </c>
      <c r="CI4" s="158">
        <f t="shared" si="2"/>
        <v>78</v>
      </c>
      <c r="CJ4" s="158">
        <f t="shared" si="2"/>
        <v>79</v>
      </c>
      <c r="CK4" s="158">
        <f t="shared" si="2"/>
        <v>80</v>
      </c>
      <c r="CL4" s="158">
        <f t="shared" si="2"/>
        <v>81</v>
      </c>
      <c r="CM4" s="158">
        <f t="shared" si="2"/>
        <v>82</v>
      </c>
      <c r="CN4" s="158">
        <f t="shared" si="2"/>
        <v>83</v>
      </c>
      <c r="CO4" s="158">
        <f t="shared" si="2"/>
        <v>84</v>
      </c>
      <c r="CP4" s="158">
        <f t="shared" si="2"/>
        <v>85</v>
      </c>
      <c r="CQ4" s="158">
        <f t="shared" si="2"/>
        <v>86</v>
      </c>
      <c r="CR4" s="158">
        <f t="shared" si="2"/>
        <v>87</v>
      </c>
      <c r="CS4" s="158">
        <f t="shared" si="2"/>
        <v>88</v>
      </c>
      <c r="CT4" s="158">
        <f t="shared" si="2"/>
        <v>89</v>
      </c>
      <c r="CU4" s="158">
        <f t="shared" si="2"/>
        <v>90</v>
      </c>
      <c r="CV4" s="158">
        <f t="shared" si="2"/>
        <v>91</v>
      </c>
      <c r="CW4" s="158">
        <f t="shared" si="2"/>
        <v>92</v>
      </c>
      <c r="CX4" s="158">
        <f t="shared" si="2"/>
        <v>93</v>
      </c>
      <c r="CY4" s="158">
        <f t="shared" si="2"/>
        <v>94</v>
      </c>
      <c r="CZ4" s="159"/>
      <c r="DA4" s="160"/>
      <c r="DB4" s="160"/>
      <c r="DC4" s="160"/>
      <c r="DD4" s="160"/>
      <c r="DE4" s="160"/>
      <c r="DF4" s="160"/>
      <c r="DG4" s="160"/>
      <c r="DH4" s="160"/>
      <c r="DI4" s="160"/>
      <c r="DJ4" s="160"/>
      <c r="DK4" s="160"/>
      <c r="DL4" s="160"/>
      <c r="DM4" s="160"/>
      <c r="DN4" s="160"/>
      <c r="DO4" s="160"/>
      <c r="DP4" s="160"/>
      <c r="DQ4" s="160"/>
      <c r="DR4" s="160"/>
      <c r="DS4" s="160"/>
    </row>
    <row r="5" spans="1:123" ht="15.75" customHeight="1" x14ac:dyDescent="0.2">
      <c r="A5" s="10" t="s">
        <v>12</v>
      </c>
      <c r="B5" s="161">
        <v>2023</v>
      </c>
      <c r="C5" s="161">
        <f t="shared" ref="C5:G5" si="3">B5+1</f>
        <v>2024</v>
      </c>
      <c r="D5" s="161">
        <f t="shared" si="3"/>
        <v>2025</v>
      </c>
      <c r="E5" s="161">
        <f t="shared" si="3"/>
        <v>2026</v>
      </c>
      <c r="F5" s="161">
        <f t="shared" si="3"/>
        <v>2027</v>
      </c>
      <c r="G5" s="161">
        <f t="shared" si="3"/>
        <v>2028</v>
      </c>
      <c r="H5" s="162" t="s">
        <v>113</v>
      </c>
      <c r="I5" s="163" t="s">
        <v>12</v>
      </c>
      <c r="J5" s="164">
        <f>G5+1</f>
        <v>2029</v>
      </c>
      <c r="K5" s="164">
        <f t="shared" ref="K5:CY5" si="4">J5+1</f>
        <v>2030</v>
      </c>
      <c r="L5" s="164">
        <f t="shared" si="4"/>
        <v>2031</v>
      </c>
      <c r="M5" s="164">
        <f t="shared" si="4"/>
        <v>2032</v>
      </c>
      <c r="N5" s="164">
        <f t="shared" si="4"/>
        <v>2033</v>
      </c>
      <c r="O5" s="164">
        <f t="shared" si="4"/>
        <v>2034</v>
      </c>
      <c r="P5" s="164">
        <f t="shared" si="4"/>
        <v>2035</v>
      </c>
      <c r="Q5" s="164">
        <f t="shared" si="4"/>
        <v>2036</v>
      </c>
      <c r="R5" s="164">
        <f t="shared" si="4"/>
        <v>2037</v>
      </c>
      <c r="S5" s="164">
        <f t="shared" si="4"/>
        <v>2038</v>
      </c>
      <c r="T5" s="164">
        <f t="shared" si="4"/>
        <v>2039</v>
      </c>
      <c r="U5" s="164">
        <f t="shared" si="4"/>
        <v>2040</v>
      </c>
      <c r="V5" s="164">
        <f t="shared" si="4"/>
        <v>2041</v>
      </c>
      <c r="W5" s="164">
        <f t="shared" si="4"/>
        <v>2042</v>
      </c>
      <c r="X5" s="164">
        <f t="shared" si="4"/>
        <v>2043</v>
      </c>
      <c r="Y5" s="164">
        <f t="shared" si="4"/>
        <v>2044</v>
      </c>
      <c r="Z5" s="164">
        <f t="shared" si="4"/>
        <v>2045</v>
      </c>
      <c r="AA5" s="164">
        <f t="shared" si="4"/>
        <v>2046</v>
      </c>
      <c r="AB5" s="164">
        <f t="shared" si="4"/>
        <v>2047</v>
      </c>
      <c r="AC5" s="164">
        <f t="shared" si="4"/>
        <v>2048</v>
      </c>
      <c r="AD5" s="164">
        <f t="shared" si="4"/>
        <v>2049</v>
      </c>
      <c r="AE5" s="164">
        <f t="shared" si="4"/>
        <v>2050</v>
      </c>
      <c r="AF5" s="164">
        <f t="shared" si="4"/>
        <v>2051</v>
      </c>
      <c r="AG5" s="164">
        <f t="shared" si="4"/>
        <v>2052</v>
      </c>
      <c r="AH5" s="164">
        <f t="shared" si="4"/>
        <v>2053</v>
      </c>
      <c r="AI5" s="164">
        <f t="shared" si="4"/>
        <v>2054</v>
      </c>
      <c r="AJ5" s="164">
        <f t="shared" si="4"/>
        <v>2055</v>
      </c>
      <c r="AK5" s="164">
        <f t="shared" si="4"/>
        <v>2056</v>
      </c>
      <c r="AL5" s="164">
        <f t="shared" si="4"/>
        <v>2057</v>
      </c>
      <c r="AM5" s="164">
        <f t="shared" si="4"/>
        <v>2058</v>
      </c>
      <c r="AN5" s="164">
        <f t="shared" si="4"/>
        <v>2059</v>
      </c>
      <c r="AO5" s="164">
        <f t="shared" si="4"/>
        <v>2060</v>
      </c>
      <c r="AP5" s="164">
        <f t="shared" si="4"/>
        <v>2061</v>
      </c>
      <c r="AQ5" s="164">
        <f t="shared" si="4"/>
        <v>2062</v>
      </c>
      <c r="AR5" s="164">
        <f t="shared" si="4"/>
        <v>2063</v>
      </c>
      <c r="AS5" s="164">
        <f t="shared" si="4"/>
        <v>2064</v>
      </c>
      <c r="AT5" s="164">
        <f t="shared" si="4"/>
        <v>2065</v>
      </c>
      <c r="AU5" s="164">
        <f t="shared" si="4"/>
        <v>2066</v>
      </c>
      <c r="AV5" s="164">
        <f t="shared" si="4"/>
        <v>2067</v>
      </c>
      <c r="AW5" s="164">
        <f t="shared" si="4"/>
        <v>2068</v>
      </c>
      <c r="AX5" s="164">
        <f t="shared" si="4"/>
        <v>2069</v>
      </c>
      <c r="AY5" s="164">
        <f t="shared" si="4"/>
        <v>2070</v>
      </c>
      <c r="AZ5" s="164">
        <f t="shared" si="4"/>
        <v>2071</v>
      </c>
      <c r="BA5" s="164">
        <f t="shared" si="4"/>
        <v>2072</v>
      </c>
      <c r="BB5" s="164">
        <f t="shared" si="4"/>
        <v>2073</v>
      </c>
      <c r="BC5" s="164">
        <f t="shared" si="4"/>
        <v>2074</v>
      </c>
      <c r="BD5" s="164">
        <f t="shared" si="4"/>
        <v>2075</v>
      </c>
      <c r="BE5" s="164">
        <f t="shared" si="4"/>
        <v>2076</v>
      </c>
      <c r="BF5" s="164">
        <f t="shared" si="4"/>
        <v>2077</v>
      </c>
      <c r="BG5" s="164">
        <f t="shared" si="4"/>
        <v>2078</v>
      </c>
      <c r="BH5" s="164">
        <f t="shared" si="4"/>
        <v>2079</v>
      </c>
      <c r="BI5" s="164">
        <f t="shared" si="4"/>
        <v>2080</v>
      </c>
      <c r="BJ5" s="164">
        <f t="shared" si="4"/>
        <v>2081</v>
      </c>
      <c r="BK5" s="164">
        <f t="shared" si="4"/>
        <v>2082</v>
      </c>
      <c r="BL5" s="164">
        <f t="shared" si="4"/>
        <v>2083</v>
      </c>
      <c r="BM5" s="164">
        <f t="shared" si="4"/>
        <v>2084</v>
      </c>
      <c r="BN5" s="164">
        <f t="shared" si="4"/>
        <v>2085</v>
      </c>
      <c r="BO5" s="164">
        <f t="shared" si="4"/>
        <v>2086</v>
      </c>
      <c r="BP5" s="164">
        <f t="shared" si="4"/>
        <v>2087</v>
      </c>
      <c r="BQ5" s="164">
        <f t="shared" si="4"/>
        <v>2088</v>
      </c>
      <c r="BR5" s="164">
        <f t="shared" si="4"/>
        <v>2089</v>
      </c>
      <c r="BS5" s="164">
        <f t="shared" si="4"/>
        <v>2090</v>
      </c>
      <c r="BT5" s="164">
        <f t="shared" si="4"/>
        <v>2091</v>
      </c>
      <c r="BU5" s="164">
        <f t="shared" si="4"/>
        <v>2092</v>
      </c>
      <c r="BV5" s="164">
        <f t="shared" si="4"/>
        <v>2093</v>
      </c>
      <c r="BW5" s="164">
        <f t="shared" si="4"/>
        <v>2094</v>
      </c>
      <c r="BX5" s="164">
        <f t="shared" si="4"/>
        <v>2095</v>
      </c>
      <c r="BY5" s="164">
        <f t="shared" si="4"/>
        <v>2096</v>
      </c>
      <c r="BZ5" s="164">
        <f t="shared" si="4"/>
        <v>2097</v>
      </c>
      <c r="CA5" s="164">
        <f t="shared" si="4"/>
        <v>2098</v>
      </c>
      <c r="CB5" s="164">
        <f t="shared" si="4"/>
        <v>2099</v>
      </c>
      <c r="CC5" s="164">
        <f t="shared" si="4"/>
        <v>2100</v>
      </c>
      <c r="CD5" s="164">
        <f t="shared" si="4"/>
        <v>2101</v>
      </c>
      <c r="CE5" s="164">
        <f t="shared" si="4"/>
        <v>2102</v>
      </c>
      <c r="CF5" s="164">
        <f t="shared" si="4"/>
        <v>2103</v>
      </c>
      <c r="CG5" s="164">
        <f t="shared" si="4"/>
        <v>2104</v>
      </c>
      <c r="CH5" s="164">
        <f t="shared" si="4"/>
        <v>2105</v>
      </c>
      <c r="CI5" s="164">
        <f t="shared" si="4"/>
        <v>2106</v>
      </c>
      <c r="CJ5" s="164">
        <f t="shared" si="4"/>
        <v>2107</v>
      </c>
      <c r="CK5" s="164">
        <f t="shared" si="4"/>
        <v>2108</v>
      </c>
      <c r="CL5" s="164">
        <f t="shared" si="4"/>
        <v>2109</v>
      </c>
      <c r="CM5" s="164">
        <f t="shared" si="4"/>
        <v>2110</v>
      </c>
      <c r="CN5" s="164">
        <f t="shared" si="4"/>
        <v>2111</v>
      </c>
      <c r="CO5" s="164">
        <f t="shared" si="4"/>
        <v>2112</v>
      </c>
      <c r="CP5" s="164">
        <f t="shared" si="4"/>
        <v>2113</v>
      </c>
      <c r="CQ5" s="164">
        <f t="shared" si="4"/>
        <v>2114</v>
      </c>
      <c r="CR5" s="164">
        <f t="shared" si="4"/>
        <v>2115</v>
      </c>
      <c r="CS5" s="164">
        <f t="shared" si="4"/>
        <v>2116</v>
      </c>
      <c r="CT5" s="164">
        <f t="shared" si="4"/>
        <v>2117</v>
      </c>
      <c r="CU5" s="164">
        <f t="shared" si="4"/>
        <v>2118</v>
      </c>
      <c r="CV5" s="164">
        <f t="shared" si="4"/>
        <v>2119</v>
      </c>
      <c r="CW5" s="164">
        <f t="shared" si="4"/>
        <v>2120</v>
      </c>
      <c r="CX5" s="164">
        <f t="shared" si="4"/>
        <v>2121</v>
      </c>
      <c r="CY5" s="165">
        <f t="shared" si="4"/>
        <v>2122</v>
      </c>
      <c r="CZ5" s="10"/>
      <c r="DA5" s="66"/>
      <c r="DB5" s="66"/>
      <c r="DC5" s="66"/>
      <c r="DD5" s="66"/>
      <c r="DE5" s="66"/>
      <c r="DF5" s="66"/>
      <c r="DG5" s="66"/>
      <c r="DH5" s="66"/>
      <c r="DI5" s="66"/>
      <c r="DJ5" s="66"/>
      <c r="DK5" s="66"/>
      <c r="DL5" s="66"/>
      <c r="DM5" s="66"/>
      <c r="DN5" s="66"/>
      <c r="DO5" s="66"/>
      <c r="DP5" s="66"/>
      <c r="DQ5" s="66"/>
      <c r="DR5" s="66"/>
      <c r="DS5" s="66"/>
    </row>
    <row r="6" spans="1:123" ht="15.75" customHeight="1" x14ac:dyDescent="0.2">
      <c r="A6" s="166" t="s">
        <v>114</v>
      </c>
      <c r="B6" s="167">
        <f>'Utilidor Construction &amp; Mainten'!J4+'Utilidor Construction &amp; Mainten'!J5+'Utilidor Construction &amp; Mainten'!J7+'Utilidor Construction &amp; Mainten'!J8+'Utilidor Construction &amp; Mainten'!J6</f>
        <v>83158684.291249871</v>
      </c>
      <c r="C6" s="168" t="s">
        <v>115</v>
      </c>
      <c r="D6" s="168" t="s">
        <v>115</v>
      </c>
      <c r="E6" s="168" t="s">
        <v>115</v>
      </c>
      <c r="F6" s="168" t="s">
        <v>115</v>
      </c>
      <c r="G6" s="168" t="s">
        <v>115</v>
      </c>
      <c r="H6" s="169">
        <f>B6</f>
        <v>83158684.291249871</v>
      </c>
      <c r="I6" s="170"/>
      <c r="J6" s="171"/>
      <c r="K6" s="171"/>
      <c r="L6" s="171"/>
      <c r="M6" s="171"/>
      <c r="N6" s="171"/>
      <c r="O6" s="750"/>
      <c r="P6" s="751"/>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4"/>
      <c r="DA6" s="4"/>
      <c r="DB6" s="4"/>
      <c r="DC6" s="4"/>
      <c r="DD6" s="4"/>
      <c r="DE6" s="4"/>
      <c r="DF6" s="4"/>
      <c r="DG6" s="4"/>
      <c r="DH6" s="4"/>
      <c r="DI6" s="4"/>
      <c r="DJ6" s="4"/>
      <c r="DK6" s="4"/>
      <c r="DL6" s="4"/>
      <c r="DM6" s="4"/>
      <c r="DN6" s="4"/>
      <c r="DO6" s="4"/>
      <c r="DP6" s="4"/>
      <c r="DQ6" s="4"/>
      <c r="DR6" s="4"/>
      <c r="DS6" s="4"/>
    </row>
    <row r="7" spans="1:123" ht="15.75" customHeight="1" x14ac:dyDescent="0.2">
      <c r="A7" s="172" t="s">
        <v>116</v>
      </c>
      <c r="B7" s="173" t="s">
        <v>115</v>
      </c>
      <c r="C7" s="173">
        <f>'Utilidor Construction &amp; Mainten'!K9</f>
        <v>2827395.2659024964</v>
      </c>
      <c r="D7" s="173">
        <f>'Utilidor Construction &amp; Mainten'!L9</f>
        <v>2883943.1712205461</v>
      </c>
      <c r="E7" s="173">
        <f>'Utilidor Construction &amp; Mainten'!M9</f>
        <v>2941622.0346449567</v>
      </c>
      <c r="F7" s="173">
        <f>'Utilidor Construction &amp; Mainten'!N9</f>
        <v>3000454.475337856</v>
      </c>
      <c r="G7" s="173">
        <f>'Utilidor Construction &amp; Mainten'!O9</f>
        <v>3060463.5648446134</v>
      </c>
      <c r="H7" s="174">
        <f t="shared" ref="H7:H8" si="5">SUM(C7:G7)</f>
        <v>14713878.511950469</v>
      </c>
      <c r="I7" s="170"/>
      <c r="J7" s="171"/>
      <c r="K7" s="171"/>
      <c r="L7" s="171"/>
      <c r="M7" s="171"/>
      <c r="N7" s="171"/>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4"/>
      <c r="DA7" s="4"/>
      <c r="DB7" s="4"/>
      <c r="DC7" s="4"/>
      <c r="DD7" s="4"/>
      <c r="DE7" s="4"/>
      <c r="DF7" s="4"/>
      <c r="DG7" s="4"/>
      <c r="DH7" s="4"/>
      <c r="DI7" s="4"/>
      <c r="DJ7" s="4"/>
      <c r="DK7" s="4"/>
      <c r="DL7" s="4"/>
      <c r="DM7" s="4"/>
      <c r="DN7" s="4"/>
      <c r="DO7" s="4"/>
      <c r="DP7" s="4"/>
      <c r="DQ7" s="4"/>
      <c r="DR7" s="4"/>
      <c r="DS7" s="4"/>
    </row>
    <row r="8" spans="1:123" ht="15.75" customHeight="1" x14ac:dyDescent="0.2">
      <c r="A8" s="175" t="s">
        <v>117</v>
      </c>
      <c r="B8" s="176" t="s">
        <v>115</v>
      </c>
      <c r="C8" s="176">
        <f t="shared" ref="C8:G8" si="6">C7/(1+$B$14)^(C5-$B$5)</f>
        <v>2771956.1430416629</v>
      </c>
      <c r="D8" s="176">
        <f t="shared" si="6"/>
        <v>2771956.1430416629</v>
      </c>
      <c r="E8" s="176">
        <f t="shared" si="6"/>
        <v>2771956.1430416629</v>
      </c>
      <c r="F8" s="176">
        <f t="shared" si="6"/>
        <v>2771956.1430416629</v>
      </c>
      <c r="G8" s="176">
        <f t="shared" si="6"/>
        <v>2771956.1430416629</v>
      </c>
      <c r="H8" s="177">
        <f t="shared" si="5"/>
        <v>13859780.715208314</v>
      </c>
      <c r="I8" s="178"/>
      <c r="J8" s="179"/>
      <c r="K8" s="4"/>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c r="CV8" s="180"/>
      <c r="CW8" s="180"/>
      <c r="CX8" s="180"/>
      <c r="CY8" s="180"/>
      <c r="CZ8" s="181"/>
      <c r="DA8" s="181"/>
      <c r="DB8" s="181"/>
      <c r="DC8" s="181"/>
      <c r="DD8" s="181"/>
      <c r="DE8" s="181"/>
      <c r="DF8" s="181"/>
      <c r="DG8" s="181"/>
      <c r="DH8" s="181"/>
      <c r="DI8" s="181"/>
      <c r="DJ8" s="181"/>
      <c r="DK8" s="181"/>
      <c r="DL8" s="181"/>
      <c r="DM8" s="181"/>
      <c r="DN8" s="181"/>
      <c r="DO8" s="181"/>
      <c r="DP8" s="181"/>
      <c r="DQ8" s="181"/>
      <c r="DR8" s="181"/>
      <c r="DS8" s="181"/>
    </row>
    <row r="9" spans="1:123" ht="15.75" customHeight="1" x14ac:dyDescent="0.2">
      <c r="A9" s="182" t="s">
        <v>118</v>
      </c>
      <c r="B9" s="10"/>
      <c r="C9" s="10"/>
      <c r="D9" s="10"/>
      <c r="E9" s="10"/>
      <c r="F9" s="10"/>
      <c r="G9" s="10"/>
      <c r="H9" s="10"/>
      <c r="I9" s="183" t="s">
        <v>119</v>
      </c>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c r="CV9" s="184"/>
      <c r="CW9" s="184"/>
      <c r="CX9" s="184"/>
      <c r="CY9" s="184"/>
      <c r="CZ9" s="4"/>
      <c r="DA9" s="4"/>
      <c r="DB9" s="4"/>
      <c r="DC9" s="4"/>
      <c r="DD9" s="4"/>
      <c r="DE9" s="4"/>
      <c r="DF9" s="4"/>
      <c r="DG9" s="4"/>
      <c r="DH9" s="4"/>
      <c r="DI9" s="4"/>
      <c r="DJ9" s="4"/>
      <c r="DK9" s="4"/>
      <c r="DL9" s="4"/>
      <c r="DM9" s="4"/>
      <c r="DN9" s="4"/>
      <c r="DO9" s="4"/>
      <c r="DP9" s="4"/>
      <c r="DQ9" s="4"/>
      <c r="DR9" s="4"/>
      <c r="DS9" s="4"/>
    </row>
    <row r="10" spans="1:123" ht="15.75" customHeight="1" x14ac:dyDescent="0.2">
      <c r="A10" s="101" t="s">
        <v>120</v>
      </c>
      <c r="B10" s="185">
        <v>120000000</v>
      </c>
      <c r="C10" s="186"/>
      <c r="D10" s="186"/>
      <c r="E10" s="186"/>
      <c r="F10" s="186"/>
      <c r="G10" s="186"/>
      <c r="H10" s="187"/>
      <c r="I10" s="188" t="s">
        <v>121</v>
      </c>
      <c r="J10" s="189">
        <v>135000000</v>
      </c>
      <c r="K10" s="189">
        <v>110000000</v>
      </c>
      <c r="L10" s="3"/>
      <c r="M10" s="3"/>
      <c r="N10" s="3"/>
      <c r="O10" s="3"/>
      <c r="P10" s="3"/>
      <c r="Q10" s="3"/>
      <c r="R10" s="3"/>
      <c r="S10" s="3"/>
      <c r="T10" s="3"/>
      <c r="U10" s="3"/>
      <c r="V10" s="3"/>
      <c r="W10" s="3"/>
      <c r="X10" s="3"/>
      <c r="Y10" s="3"/>
      <c r="Z10" s="3"/>
      <c r="AA10" s="3"/>
      <c r="AB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4"/>
      <c r="DA10" s="4"/>
      <c r="DB10" s="4"/>
      <c r="DC10" s="4"/>
      <c r="DD10" s="4"/>
      <c r="DE10" s="4"/>
      <c r="DF10" s="4"/>
      <c r="DG10" s="4"/>
      <c r="DH10" s="4"/>
      <c r="DI10" s="4"/>
      <c r="DJ10" s="4"/>
      <c r="DK10" s="4"/>
      <c r="DL10" s="4"/>
      <c r="DM10" s="4"/>
      <c r="DN10" s="4"/>
      <c r="DO10" s="4"/>
      <c r="DP10" s="4"/>
      <c r="DQ10" s="4"/>
      <c r="DR10" s="4"/>
      <c r="DS10" s="4"/>
    </row>
    <row r="11" spans="1:123" ht="15.75" customHeight="1" x14ac:dyDescent="0.2">
      <c r="A11" s="182" t="s">
        <v>122</v>
      </c>
      <c r="B11" s="10"/>
      <c r="C11" s="10"/>
      <c r="D11" s="10"/>
      <c r="E11" s="10"/>
      <c r="F11" s="10"/>
      <c r="G11" s="10"/>
      <c r="H11" s="10"/>
      <c r="I11" s="183" t="s">
        <v>122</v>
      </c>
      <c r="J11" s="184"/>
      <c r="K11" s="184" t="s">
        <v>123</v>
      </c>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c r="CV11" s="184"/>
      <c r="CW11" s="184"/>
      <c r="CX11" s="184"/>
      <c r="CY11" s="184"/>
      <c r="CZ11" s="4"/>
      <c r="DA11" s="4"/>
      <c r="DB11" s="4"/>
      <c r="DC11" s="4"/>
      <c r="DD11" s="4"/>
      <c r="DE11" s="4"/>
      <c r="DF11" s="4"/>
      <c r="DG11" s="4"/>
      <c r="DH11" s="4"/>
      <c r="DI11" s="4"/>
      <c r="DJ11" s="4"/>
      <c r="DK11" s="4"/>
      <c r="DL11" s="4"/>
      <c r="DM11" s="4"/>
      <c r="DN11" s="4"/>
      <c r="DO11" s="4"/>
      <c r="DP11" s="4"/>
      <c r="DQ11" s="4"/>
      <c r="DR11" s="4"/>
      <c r="DS11" s="4"/>
    </row>
    <row r="12" spans="1:123" ht="15.75" customHeight="1" x14ac:dyDescent="0.2">
      <c r="A12" s="190" t="s">
        <v>124</v>
      </c>
      <c r="B12" s="191">
        <v>5</v>
      </c>
      <c r="C12" s="192"/>
      <c r="D12" s="193"/>
      <c r="E12" s="193"/>
      <c r="F12" s="193"/>
      <c r="G12" s="193"/>
      <c r="H12" s="194"/>
      <c r="I12" s="190" t="s">
        <v>124</v>
      </c>
      <c r="J12" s="191">
        <f>'Sensitivity Analysis'!B12</f>
        <v>25</v>
      </c>
      <c r="K12" s="191">
        <f>'Sensitivity Analysis'!B13</f>
        <v>20</v>
      </c>
      <c r="L12" s="3"/>
      <c r="M12" s="3"/>
      <c r="N12" s="3"/>
      <c r="O12" s="3"/>
      <c r="P12" s="3"/>
      <c r="Q12" s="3"/>
      <c r="R12" s="3"/>
      <c r="S12" s="3"/>
      <c r="T12" s="3"/>
      <c r="U12" s="3"/>
      <c r="V12" s="3"/>
      <c r="W12" s="3"/>
      <c r="X12" s="3"/>
      <c r="Y12" s="3"/>
      <c r="Z12" s="3"/>
      <c r="AA12" s="3"/>
      <c r="AB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4"/>
      <c r="DA12" s="4"/>
      <c r="DB12" s="4"/>
      <c r="DC12" s="4"/>
      <c r="DD12" s="4"/>
      <c r="DE12" s="4"/>
      <c r="DF12" s="4"/>
      <c r="DG12" s="4"/>
      <c r="DH12" s="4"/>
      <c r="DI12" s="4"/>
      <c r="DJ12" s="4"/>
      <c r="DK12" s="4"/>
      <c r="DL12" s="4"/>
      <c r="DM12" s="4"/>
      <c r="DN12" s="4"/>
      <c r="DO12" s="4"/>
      <c r="DP12" s="4"/>
      <c r="DQ12" s="4"/>
      <c r="DR12" s="4"/>
      <c r="DS12" s="4"/>
    </row>
    <row r="13" spans="1:123" ht="15.75" customHeight="1" x14ac:dyDescent="0.25">
      <c r="A13" s="195" t="s">
        <v>125</v>
      </c>
      <c r="B13" s="196">
        <v>0.05</v>
      </c>
      <c r="C13" s="192"/>
      <c r="D13" s="193"/>
      <c r="E13" s="193"/>
      <c r="F13" s="193"/>
      <c r="G13" s="193"/>
      <c r="H13" s="194"/>
      <c r="I13" s="190" t="s">
        <v>125</v>
      </c>
      <c r="J13" s="197">
        <v>0.05</v>
      </c>
      <c r="K13" s="198">
        <v>0.05</v>
      </c>
      <c r="L13" s="199"/>
      <c r="M13" s="3"/>
      <c r="N13" s="3"/>
      <c r="O13" s="3"/>
      <c r="P13" s="3"/>
      <c r="Q13" s="3"/>
      <c r="R13" s="3"/>
      <c r="S13" s="3"/>
      <c r="T13" s="3"/>
      <c r="U13" s="3"/>
      <c r="V13" s="3"/>
      <c r="W13" s="3"/>
      <c r="X13" s="3"/>
      <c r="Y13" s="3"/>
      <c r="Z13" s="3"/>
      <c r="AA13" s="3"/>
      <c r="AB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200">
        <f>'Utilidor Construction &amp; Mainten'!DF9</f>
        <v>0</v>
      </c>
      <c r="DA13" s="200">
        <f>'Utilidor Construction &amp; Mainten'!DG9</f>
        <v>0</v>
      </c>
      <c r="DB13" s="4"/>
      <c r="DC13" s="4"/>
      <c r="DD13" s="4"/>
      <c r="DE13" s="4"/>
      <c r="DF13" s="4"/>
      <c r="DG13" s="4"/>
      <c r="DH13" s="4"/>
      <c r="DI13" s="4"/>
      <c r="DJ13" s="4"/>
      <c r="DK13" s="4"/>
      <c r="DL13" s="4"/>
      <c r="DM13" s="4"/>
      <c r="DN13" s="4"/>
      <c r="DO13" s="4"/>
      <c r="DP13" s="4"/>
      <c r="DQ13" s="4"/>
      <c r="DR13" s="4"/>
      <c r="DS13" s="4"/>
    </row>
    <row r="14" spans="1:123" ht="15.75" customHeight="1" x14ac:dyDescent="0.25">
      <c r="A14" s="195" t="s">
        <v>126</v>
      </c>
      <c r="B14" s="196">
        <f>'Summary of CBA'!D6</f>
        <v>0.02</v>
      </c>
      <c r="C14" s="192"/>
      <c r="D14" s="193"/>
      <c r="E14" s="193"/>
      <c r="F14" s="193"/>
      <c r="G14" s="193"/>
      <c r="H14" s="194"/>
      <c r="I14" s="195" t="s">
        <v>126</v>
      </c>
      <c r="J14" s="196">
        <f>'Summary of CBA'!D6</f>
        <v>0.02</v>
      </c>
      <c r="K14" s="198">
        <f>'Summary of CBA'!D6</f>
        <v>0.02</v>
      </c>
      <c r="L14" s="3"/>
      <c r="M14" s="3"/>
      <c r="N14" s="3"/>
      <c r="O14" s="3"/>
      <c r="P14" s="3"/>
      <c r="Q14" s="3"/>
      <c r="R14" s="3"/>
      <c r="S14" s="3"/>
      <c r="T14" s="3"/>
      <c r="U14" s="3"/>
      <c r="V14" s="3"/>
      <c r="W14" s="3"/>
      <c r="X14" s="3"/>
      <c r="Y14" s="3"/>
      <c r="Z14" s="3"/>
      <c r="AA14" s="3"/>
      <c r="AB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t="s">
        <v>127</v>
      </c>
      <c r="CG14" s="3"/>
      <c r="CH14" s="3"/>
      <c r="CI14" s="3"/>
      <c r="CJ14" s="3"/>
      <c r="CK14" s="3"/>
      <c r="CL14" s="3"/>
      <c r="CM14" s="3"/>
      <c r="CN14" s="3"/>
      <c r="CO14" s="3"/>
      <c r="CP14" s="3"/>
      <c r="CQ14" s="3"/>
      <c r="CR14" s="3"/>
      <c r="CS14" s="3"/>
      <c r="CT14" s="3"/>
      <c r="CU14" s="3"/>
      <c r="CV14" s="3"/>
      <c r="CW14" s="3"/>
      <c r="CX14" s="3"/>
      <c r="CY14" s="3"/>
      <c r="CZ14" s="200"/>
      <c r="DA14" s="200"/>
      <c r="DB14" s="4"/>
      <c r="DC14" s="4"/>
      <c r="DD14" s="4"/>
      <c r="DE14" s="4"/>
      <c r="DF14" s="4"/>
      <c r="DG14" s="4"/>
      <c r="DH14" s="4"/>
      <c r="DI14" s="4"/>
      <c r="DJ14" s="4"/>
      <c r="DK14" s="4"/>
      <c r="DL14" s="4"/>
      <c r="DM14" s="4"/>
      <c r="DN14" s="4"/>
      <c r="DO14" s="4"/>
      <c r="DP14" s="4"/>
      <c r="DQ14" s="4"/>
      <c r="DR14" s="4"/>
      <c r="DS14" s="4"/>
    </row>
    <row r="15" spans="1:123" ht="15.75" customHeight="1" x14ac:dyDescent="0.2">
      <c r="A15" s="182" t="s">
        <v>128</v>
      </c>
      <c r="B15" s="10"/>
      <c r="C15" s="10"/>
      <c r="D15" s="10"/>
      <c r="E15" s="10"/>
      <c r="F15" s="10"/>
      <c r="G15" s="10"/>
      <c r="H15" s="10"/>
      <c r="I15" s="183" t="s">
        <v>128</v>
      </c>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184"/>
      <c r="CI15" s="184"/>
      <c r="CJ15" s="184"/>
      <c r="CK15" s="184"/>
      <c r="CL15" s="184"/>
      <c r="CM15" s="184"/>
      <c r="CN15" s="184"/>
      <c r="CO15" s="184"/>
      <c r="CP15" s="184"/>
      <c r="CQ15" s="184"/>
      <c r="CR15" s="184"/>
      <c r="CS15" s="184"/>
      <c r="CT15" s="184"/>
      <c r="CU15" s="184"/>
      <c r="CV15" s="184"/>
      <c r="CW15" s="184"/>
      <c r="CX15" s="184"/>
      <c r="CY15" s="184"/>
      <c r="CZ15" s="4"/>
      <c r="DA15" s="4"/>
      <c r="DB15" s="4"/>
      <c r="DC15" s="4"/>
      <c r="DD15" s="4"/>
      <c r="DE15" s="4"/>
      <c r="DF15" s="4"/>
      <c r="DG15" s="4"/>
      <c r="DH15" s="4"/>
      <c r="DI15" s="4"/>
      <c r="DJ15" s="4"/>
      <c r="DK15" s="4"/>
      <c r="DL15" s="4"/>
      <c r="DM15" s="4"/>
      <c r="DN15" s="4"/>
      <c r="DO15" s="4"/>
      <c r="DP15" s="4"/>
      <c r="DQ15" s="4"/>
      <c r="DR15" s="4"/>
      <c r="DS15" s="4"/>
    </row>
    <row r="16" spans="1:123" ht="15.75" customHeight="1" x14ac:dyDescent="0.2">
      <c r="A16" s="47" t="s">
        <v>129</v>
      </c>
      <c r="B16" s="201" t="s">
        <v>115</v>
      </c>
      <c r="C16" s="202">
        <f t="shared" ref="C16:G16" si="7">$B$10*$B$13</f>
        <v>6000000</v>
      </c>
      <c r="D16" s="202">
        <f t="shared" si="7"/>
        <v>6000000</v>
      </c>
      <c r="E16" s="202">
        <f t="shared" si="7"/>
        <v>6000000</v>
      </c>
      <c r="F16" s="202">
        <f t="shared" si="7"/>
        <v>6000000</v>
      </c>
      <c r="G16" s="203">
        <f t="shared" si="7"/>
        <v>6000000</v>
      </c>
      <c r="H16" s="203">
        <f t="shared" ref="H16:H17" si="8">SUM(C16:G16)</f>
        <v>30000000</v>
      </c>
      <c r="I16" s="204" t="s">
        <v>130</v>
      </c>
      <c r="J16" s="205">
        <f t="shared" ref="J16:CY16" si="9">IF(J$4&lt;=$J$12, $J$10*$J$13,IF(J$4&lt;=$J$12+$K$12, $K$10*$K$13,0))</f>
        <v>6750000</v>
      </c>
      <c r="K16" s="202">
        <f t="shared" si="9"/>
        <v>6750000</v>
      </c>
      <c r="L16" s="202">
        <f t="shared" si="9"/>
        <v>6750000</v>
      </c>
      <c r="M16" s="202">
        <f t="shared" si="9"/>
        <v>6750000</v>
      </c>
      <c r="N16" s="202">
        <f t="shared" si="9"/>
        <v>6750000</v>
      </c>
      <c r="O16" s="202">
        <f t="shared" si="9"/>
        <v>6750000</v>
      </c>
      <c r="P16" s="202">
        <f t="shared" si="9"/>
        <v>6750000</v>
      </c>
      <c r="Q16" s="202">
        <f t="shared" si="9"/>
        <v>6750000</v>
      </c>
      <c r="R16" s="202">
        <f t="shared" si="9"/>
        <v>6750000</v>
      </c>
      <c r="S16" s="202">
        <f t="shared" si="9"/>
        <v>6750000</v>
      </c>
      <c r="T16" s="202">
        <f t="shared" si="9"/>
        <v>6750000</v>
      </c>
      <c r="U16" s="202">
        <f t="shared" si="9"/>
        <v>6750000</v>
      </c>
      <c r="V16" s="202">
        <f t="shared" si="9"/>
        <v>6750000</v>
      </c>
      <c r="W16" s="202">
        <f t="shared" si="9"/>
        <v>6750000</v>
      </c>
      <c r="X16" s="202">
        <f t="shared" si="9"/>
        <v>6750000</v>
      </c>
      <c r="Y16" s="202">
        <f t="shared" si="9"/>
        <v>6750000</v>
      </c>
      <c r="Z16" s="202">
        <f t="shared" si="9"/>
        <v>6750000</v>
      </c>
      <c r="AA16" s="202">
        <f t="shared" si="9"/>
        <v>6750000</v>
      </c>
      <c r="AB16" s="202">
        <f t="shared" si="9"/>
        <v>6750000</v>
      </c>
      <c r="AC16" s="202">
        <f t="shared" si="9"/>
        <v>6750000</v>
      </c>
      <c r="AD16" s="202">
        <f t="shared" si="9"/>
        <v>6750000</v>
      </c>
      <c r="AE16" s="202">
        <f t="shared" si="9"/>
        <v>6750000</v>
      </c>
      <c r="AF16" s="202">
        <f t="shared" si="9"/>
        <v>6750000</v>
      </c>
      <c r="AG16" s="202">
        <f t="shared" si="9"/>
        <v>6750000</v>
      </c>
      <c r="AH16" s="202">
        <f t="shared" si="9"/>
        <v>6750000</v>
      </c>
      <c r="AI16" s="202">
        <f t="shared" si="9"/>
        <v>5500000</v>
      </c>
      <c r="AJ16" s="202">
        <f t="shared" si="9"/>
        <v>5500000</v>
      </c>
      <c r="AK16" s="202">
        <f t="shared" si="9"/>
        <v>5500000</v>
      </c>
      <c r="AL16" s="202">
        <f t="shared" si="9"/>
        <v>5500000</v>
      </c>
      <c r="AM16" s="202">
        <f t="shared" si="9"/>
        <v>5500000</v>
      </c>
      <c r="AN16" s="202">
        <f t="shared" si="9"/>
        <v>5500000</v>
      </c>
      <c r="AO16" s="202">
        <f t="shared" si="9"/>
        <v>5500000</v>
      </c>
      <c r="AP16" s="202">
        <f t="shared" si="9"/>
        <v>5500000</v>
      </c>
      <c r="AQ16" s="202">
        <f t="shared" si="9"/>
        <v>5500000</v>
      </c>
      <c r="AR16" s="202">
        <f t="shared" si="9"/>
        <v>5500000</v>
      </c>
      <c r="AS16" s="202">
        <f t="shared" si="9"/>
        <v>5500000</v>
      </c>
      <c r="AT16" s="202">
        <f t="shared" si="9"/>
        <v>5500000</v>
      </c>
      <c r="AU16" s="202">
        <f t="shared" si="9"/>
        <v>5500000</v>
      </c>
      <c r="AV16" s="202">
        <f t="shared" si="9"/>
        <v>5500000</v>
      </c>
      <c r="AW16" s="202">
        <f t="shared" si="9"/>
        <v>5500000</v>
      </c>
      <c r="AX16" s="202">
        <f t="shared" si="9"/>
        <v>5500000</v>
      </c>
      <c r="AY16" s="202">
        <f t="shared" si="9"/>
        <v>5500000</v>
      </c>
      <c r="AZ16" s="202">
        <f t="shared" si="9"/>
        <v>5500000</v>
      </c>
      <c r="BA16" s="202">
        <f t="shared" si="9"/>
        <v>5500000</v>
      </c>
      <c r="BB16" s="202">
        <f t="shared" si="9"/>
        <v>5500000</v>
      </c>
      <c r="BC16" s="202">
        <f t="shared" si="9"/>
        <v>0</v>
      </c>
      <c r="BD16" s="202">
        <f t="shared" si="9"/>
        <v>0</v>
      </c>
      <c r="BE16" s="202">
        <f t="shared" si="9"/>
        <v>0</v>
      </c>
      <c r="BF16" s="202">
        <f t="shared" si="9"/>
        <v>0</v>
      </c>
      <c r="BG16" s="202">
        <f t="shared" si="9"/>
        <v>0</v>
      </c>
      <c r="BH16" s="202">
        <f t="shared" si="9"/>
        <v>0</v>
      </c>
      <c r="BI16" s="202">
        <f t="shared" si="9"/>
        <v>0</v>
      </c>
      <c r="BJ16" s="202">
        <f t="shared" si="9"/>
        <v>0</v>
      </c>
      <c r="BK16" s="202">
        <f t="shared" si="9"/>
        <v>0</v>
      </c>
      <c r="BL16" s="202">
        <f t="shared" si="9"/>
        <v>0</v>
      </c>
      <c r="BM16" s="202">
        <f t="shared" si="9"/>
        <v>0</v>
      </c>
      <c r="BN16" s="202">
        <f t="shared" si="9"/>
        <v>0</v>
      </c>
      <c r="BO16" s="202">
        <f t="shared" si="9"/>
        <v>0</v>
      </c>
      <c r="BP16" s="202">
        <f t="shared" si="9"/>
        <v>0</v>
      </c>
      <c r="BQ16" s="202">
        <f t="shared" si="9"/>
        <v>0</v>
      </c>
      <c r="BR16" s="202">
        <f t="shared" si="9"/>
        <v>0</v>
      </c>
      <c r="BS16" s="202">
        <f t="shared" si="9"/>
        <v>0</v>
      </c>
      <c r="BT16" s="202">
        <f t="shared" si="9"/>
        <v>0</v>
      </c>
      <c r="BU16" s="202">
        <f t="shared" si="9"/>
        <v>0</v>
      </c>
      <c r="BV16" s="202">
        <f t="shared" si="9"/>
        <v>0</v>
      </c>
      <c r="BW16" s="202">
        <f t="shared" si="9"/>
        <v>0</v>
      </c>
      <c r="BX16" s="202">
        <f t="shared" si="9"/>
        <v>0</v>
      </c>
      <c r="BY16" s="202">
        <f t="shared" si="9"/>
        <v>0</v>
      </c>
      <c r="BZ16" s="202">
        <f t="shared" si="9"/>
        <v>0</v>
      </c>
      <c r="CA16" s="202">
        <f t="shared" si="9"/>
        <v>0</v>
      </c>
      <c r="CB16" s="202">
        <f t="shared" si="9"/>
        <v>0</v>
      </c>
      <c r="CC16" s="202">
        <f t="shared" si="9"/>
        <v>0</v>
      </c>
      <c r="CD16" s="202">
        <f t="shared" si="9"/>
        <v>0</v>
      </c>
      <c r="CE16" s="202">
        <f t="shared" si="9"/>
        <v>0</v>
      </c>
      <c r="CF16" s="202">
        <f t="shared" si="9"/>
        <v>0</v>
      </c>
      <c r="CG16" s="202">
        <f t="shared" si="9"/>
        <v>0</v>
      </c>
      <c r="CH16" s="202">
        <f t="shared" si="9"/>
        <v>0</v>
      </c>
      <c r="CI16" s="202">
        <f t="shared" si="9"/>
        <v>0</v>
      </c>
      <c r="CJ16" s="202">
        <f t="shared" si="9"/>
        <v>0</v>
      </c>
      <c r="CK16" s="202">
        <f t="shared" si="9"/>
        <v>0</v>
      </c>
      <c r="CL16" s="202">
        <f t="shared" si="9"/>
        <v>0</v>
      </c>
      <c r="CM16" s="202">
        <f t="shared" si="9"/>
        <v>0</v>
      </c>
      <c r="CN16" s="202">
        <f t="shared" si="9"/>
        <v>0</v>
      </c>
      <c r="CO16" s="202">
        <f t="shared" si="9"/>
        <v>0</v>
      </c>
      <c r="CP16" s="202">
        <f t="shared" si="9"/>
        <v>0</v>
      </c>
      <c r="CQ16" s="202">
        <f t="shared" si="9"/>
        <v>0</v>
      </c>
      <c r="CR16" s="202">
        <f t="shared" si="9"/>
        <v>0</v>
      </c>
      <c r="CS16" s="202">
        <f t="shared" si="9"/>
        <v>0</v>
      </c>
      <c r="CT16" s="202">
        <f t="shared" si="9"/>
        <v>0</v>
      </c>
      <c r="CU16" s="202">
        <f t="shared" si="9"/>
        <v>0</v>
      </c>
      <c r="CV16" s="202">
        <f t="shared" si="9"/>
        <v>0</v>
      </c>
      <c r="CW16" s="202">
        <f t="shared" si="9"/>
        <v>0</v>
      </c>
      <c r="CX16" s="202">
        <f t="shared" si="9"/>
        <v>0</v>
      </c>
      <c r="CY16" s="202">
        <f t="shared" si="9"/>
        <v>0</v>
      </c>
      <c r="CZ16" s="4"/>
      <c r="DA16" s="4"/>
      <c r="DB16" s="4"/>
      <c r="DC16" s="4"/>
      <c r="DD16" s="4"/>
      <c r="DE16" s="4"/>
      <c r="DF16" s="4"/>
      <c r="DG16" s="4"/>
      <c r="DH16" s="4"/>
      <c r="DI16" s="4"/>
      <c r="DJ16" s="4"/>
      <c r="DK16" s="4"/>
      <c r="DL16" s="4"/>
      <c r="DM16" s="4"/>
      <c r="DN16" s="4"/>
      <c r="DO16" s="4"/>
      <c r="DP16" s="4"/>
      <c r="DQ16" s="4"/>
      <c r="DR16" s="4"/>
      <c r="DS16" s="4"/>
    </row>
    <row r="17" spans="1:123" ht="15.75" customHeight="1" x14ac:dyDescent="0.2">
      <c r="A17" s="206" t="s">
        <v>131</v>
      </c>
      <c r="B17" s="201" t="s">
        <v>115</v>
      </c>
      <c r="C17" s="202">
        <v>0</v>
      </c>
      <c r="D17" s="202">
        <v>0</v>
      </c>
      <c r="E17" s="202">
        <v>0</v>
      </c>
      <c r="F17" s="202">
        <v>0</v>
      </c>
      <c r="G17" s="202">
        <f>B10</f>
        <v>120000000</v>
      </c>
      <c r="H17" s="203">
        <f t="shared" si="8"/>
        <v>120000000</v>
      </c>
      <c r="I17" s="206" t="s">
        <v>132</v>
      </c>
      <c r="J17" s="207">
        <f t="shared" ref="J17:CY17" si="10">IF(J$4=$J$12,$J$10,IF(J$4=$J$12+$K$12,$K$10,0))</f>
        <v>0</v>
      </c>
      <c r="K17" s="207">
        <f t="shared" si="10"/>
        <v>0</v>
      </c>
      <c r="L17" s="207">
        <f t="shared" si="10"/>
        <v>0</v>
      </c>
      <c r="M17" s="207">
        <f t="shared" si="10"/>
        <v>0</v>
      </c>
      <c r="N17" s="207">
        <f t="shared" si="10"/>
        <v>0</v>
      </c>
      <c r="O17" s="207">
        <f t="shared" si="10"/>
        <v>0</v>
      </c>
      <c r="P17" s="207">
        <f t="shared" si="10"/>
        <v>0</v>
      </c>
      <c r="Q17" s="207">
        <f t="shared" si="10"/>
        <v>0</v>
      </c>
      <c r="R17" s="207">
        <f t="shared" si="10"/>
        <v>0</v>
      </c>
      <c r="S17" s="207">
        <f t="shared" si="10"/>
        <v>0</v>
      </c>
      <c r="T17" s="207">
        <f t="shared" si="10"/>
        <v>0</v>
      </c>
      <c r="U17" s="207">
        <f t="shared" si="10"/>
        <v>0</v>
      </c>
      <c r="V17" s="207">
        <f t="shared" si="10"/>
        <v>0</v>
      </c>
      <c r="W17" s="207">
        <f t="shared" si="10"/>
        <v>0</v>
      </c>
      <c r="X17" s="207">
        <f t="shared" si="10"/>
        <v>0</v>
      </c>
      <c r="Y17" s="207">
        <f t="shared" si="10"/>
        <v>0</v>
      </c>
      <c r="Z17" s="207">
        <f t="shared" si="10"/>
        <v>0</v>
      </c>
      <c r="AA17" s="207">
        <f t="shared" si="10"/>
        <v>0</v>
      </c>
      <c r="AB17" s="207">
        <f t="shared" si="10"/>
        <v>0</v>
      </c>
      <c r="AC17" s="207">
        <f t="shared" si="10"/>
        <v>0</v>
      </c>
      <c r="AD17" s="207">
        <f t="shared" si="10"/>
        <v>0</v>
      </c>
      <c r="AE17" s="207">
        <f t="shared" si="10"/>
        <v>0</v>
      </c>
      <c r="AF17" s="207">
        <f t="shared" si="10"/>
        <v>0</v>
      </c>
      <c r="AG17" s="207">
        <f t="shared" si="10"/>
        <v>0</v>
      </c>
      <c r="AH17" s="207">
        <f t="shared" si="10"/>
        <v>135000000</v>
      </c>
      <c r="AI17" s="207">
        <f t="shared" si="10"/>
        <v>0</v>
      </c>
      <c r="AJ17" s="207">
        <f t="shared" si="10"/>
        <v>0</v>
      </c>
      <c r="AK17" s="207">
        <f t="shared" si="10"/>
        <v>0</v>
      </c>
      <c r="AL17" s="207">
        <f t="shared" si="10"/>
        <v>0</v>
      </c>
      <c r="AM17" s="207">
        <f t="shared" si="10"/>
        <v>0</v>
      </c>
      <c r="AN17" s="207">
        <f t="shared" si="10"/>
        <v>0</v>
      </c>
      <c r="AO17" s="207">
        <f t="shared" si="10"/>
        <v>0</v>
      </c>
      <c r="AP17" s="207">
        <f t="shared" si="10"/>
        <v>0</v>
      </c>
      <c r="AQ17" s="207">
        <f t="shared" si="10"/>
        <v>0</v>
      </c>
      <c r="AR17" s="207">
        <f t="shared" si="10"/>
        <v>0</v>
      </c>
      <c r="AS17" s="207">
        <f t="shared" si="10"/>
        <v>0</v>
      </c>
      <c r="AT17" s="207">
        <f t="shared" si="10"/>
        <v>0</v>
      </c>
      <c r="AU17" s="207">
        <f t="shared" si="10"/>
        <v>0</v>
      </c>
      <c r="AV17" s="207">
        <f t="shared" si="10"/>
        <v>0</v>
      </c>
      <c r="AW17" s="207">
        <f t="shared" si="10"/>
        <v>0</v>
      </c>
      <c r="AX17" s="207">
        <f t="shared" si="10"/>
        <v>0</v>
      </c>
      <c r="AY17" s="207">
        <f t="shared" si="10"/>
        <v>0</v>
      </c>
      <c r="AZ17" s="207">
        <f t="shared" si="10"/>
        <v>0</v>
      </c>
      <c r="BA17" s="207">
        <f t="shared" si="10"/>
        <v>0</v>
      </c>
      <c r="BB17" s="207">
        <f t="shared" si="10"/>
        <v>110000000</v>
      </c>
      <c r="BC17" s="207">
        <f t="shared" si="10"/>
        <v>0</v>
      </c>
      <c r="BD17" s="207">
        <f t="shared" si="10"/>
        <v>0</v>
      </c>
      <c r="BE17" s="207">
        <f t="shared" si="10"/>
        <v>0</v>
      </c>
      <c r="BF17" s="207">
        <f t="shared" si="10"/>
        <v>0</v>
      </c>
      <c r="BG17" s="207">
        <f t="shared" si="10"/>
        <v>0</v>
      </c>
      <c r="BH17" s="207">
        <f t="shared" si="10"/>
        <v>0</v>
      </c>
      <c r="BI17" s="207">
        <f t="shared" si="10"/>
        <v>0</v>
      </c>
      <c r="BJ17" s="207">
        <f t="shared" si="10"/>
        <v>0</v>
      </c>
      <c r="BK17" s="207">
        <f t="shared" si="10"/>
        <v>0</v>
      </c>
      <c r="BL17" s="207">
        <f t="shared" si="10"/>
        <v>0</v>
      </c>
      <c r="BM17" s="207">
        <f t="shared" si="10"/>
        <v>0</v>
      </c>
      <c r="BN17" s="207">
        <f t="shared" si="10"/>
        <v>0</v>
      </c>
      <c r="BO17" s="207">
        <f t="shared" si="10"/>
        <v>0</v>
      </c>
      <c r="BP17" s="207">
        <f t="shared" si="10"/>
        <v>0</v>
      </c>
      <c r="BQ17" s="207">
        <f t="shared" si="10"/>
        <v>0</v>
      </c>
      <c r="BR17" s="207">
        <f t="shared" si="10"/>
        <v>0</v>
      </c>
      <c r="BS17" s="207">
        <f t="shared" si="10"/>
        <v>0</v>
      </c>
      <c r="BT17" s="207">
        <f t="shared" si="10"/>
        <v>0</v>
      </c>
      <c r="BU17" s="207">
        <f t="shared" si="10"/>
        <v>0</v>
      </c>
      <c r="BV17" s="207">
        <f t="shared" si="10"/>
        <v>0</v>
      </c>
      <c r="BW17" s="207">
        <f t="shared" si="10"/>
        <v>0</v>
      </c>
      <c r="BX17" s="207">
        <f t="shared" si="10"/>
        <v>0</v>
      </c>
      <c r="BY17" s="207">
        <f t="shared" si="10"/>
        <v>0</v>
      </c>
      <c r="BZ17" s="207">
        <f t="shared" si="10"/>
        <v>0</v>
      </c>
      <c r="CA17" s="207">
        <f t="shared" si="10"/>
        <v>0</v>
      </c>
      <c r="CB17" s="207">
        <f t="shared" si="10"/>
        <v>0</v>
      </c>
      <c r="CC17" s="207">
        <f t="shared" si="10"/>
        <v>0</v>
      </c>
      <c r="CD17" s="207">
        <f t="shared" si="10"/>
        <v>0</v>
      </c>
      <c r="CE17" s="207">
        <f t="shared" si="10"/>
        <v>0</v>
      </c>
      <c r="CF17" s="207">
        <f t="shared" si="10"/>
        <v>0</v>
      </c>
      <c r="CG17" s="207">
        <f t="shared" si="10"/>
        <v>0</v>
      </c>
      <c r="CH17" s="207">
        <f t="shared" si="10"/>
        <v>0</v>
      </c>
      <c r="CI17" s="207">
        <f t="shared" si="10"/>
        <v>0</v>
      </c>
      <c r="CJ17" s="207">
        <f t="shared" si="10"/>
        <v>0</v>
      </c>
      <c r="CK17" s="207">
        <f t="shared" si="10"/>
        <v>0</v>
      </c>
      <c r="CL17" s="207">
        <f t="shared" si="10"/>
        <v>0</v>
      </c>
      <c r="CM17" s="207">
        <f t="shared" si="10"/>
        <v>0</v>
      </c>
      <c r="CN17" s="207">
        <f t="shared" si="10"/>
        <v>0</v>
      </c>
      <c r="CO17" s="207">
        <f t="shared" si="10"/>
        <v>0</v>
      </c>
      <c r="CP17" s="207">
        <f t="shared" si="10"/>
        <v>0</v>
      </c>
      <c r="CQ17" s="207">
        <f t="shared" si="10"/>
        <v>0</v>
      </c>
      <c r="CR17" s="207">
        <f t="shared" si="10"/>
        <v>0</v>
      </c>
      <c r="CS17" s="207">
        <f t="shared" si="10"/>
        <v>0</v>
      </c>
      <c r="CT17" s="207">
        <f t="shared" si="10"/>
        <v>0</v>
      </c>
      <c r="CU17" s="207">
        <f t="shared" si="10"/>
        <v>0</v>
      </c>
      <c r="CV17" s="207">
        <f t="shared" si="10"/>
        <v>0</v>
      </c>
      <c r="CW17" s="207">
        <f t="shared" si="10"/>
        <v>0</v>
      </c>
      <c r="CX17" s="207">
        <f t="shared" si="10"/>
        <v>0</v>
      </c>
      <c r="CY17" s="207">
        <f t="shared" si="10"/>
        <v>0</v>
      </c>
      <c r="CZ17" s="4"/>
      <c r="DA17" s="4"/>
      <c r="DB17" s="4"/>
      <c r="DC17" s="4"/>
      <c r="DD17" s="4"/>
      <c r="DE17" s="4"/>
      <c r="DF17" s="4"/>
      <c r="DG17" s="4"/>
      <c r="DH17" s="4"/>
      <c r="DI17" s="208"/>
      <c r="DJ17" s="4"/>
      <c r="DK17" s="4"/>
      <c r="DL17" s="4"/>
      <c r="DM17" s="4"/>
      <c r="DN17" s="4"/>
      <c r="DO17" s="4"/>
      <c r="DP17" s="4"/>
      <c r="DQ17" s="4"/>
      <c r="DR17" s="4"/>
      <c r="DS17" s="4"/>
    </row>
    <row r="18" spans="1:123" ht="15.75" customHeight="1" x14ac:dyDescent="0.2">
      <c r="A18" s="182" t="s">
        <v>133</v>
      </c>
      <c r="B18" s="10"/>
      <c r="C18" s="10"/>
      <c r="D18" s="10"/>
      <c r="E18" s="10"/>
      <c r="F18" s="10"/>
      <c r="G18" s="10"/>
      <c r="H18" s="10"/>
      <c r="I18" s="209" t="s">
        <v>134</v>
      </c>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c r="CR18" s="184"/>
      <c r="CS18" s="184"/>
      <c r="CT18" s="184"/>
      <c r="CU18" s="184"/>
      <c r="CV18" s="184"/>
      <c r="CW18" s="184"/>
      <c r="CX18" s="184"/>
      <c r="CY18" s="184"/>
      <c r="CZ18" s="4"/>
      <c r="DA18" s="4"/>
      <c r="DB18" s="4"/>
      <c r="DC18" s="4"/>
      <c r="DD18" s="4"/>
      <c r="DE18" s="4"/>
      <c r="DF18" s="4"/>
      <c r="DG18" s="4"/>
      <c r="DH18" s="4"/>
      <c r="DI18" s="208"/>
      <c r="DJ18" s="208"/>
      <c r="DK18" s="208"/>
      <c r="DL18" s="208"/>
      <c r="DM18" s="208"/>
      <c r="DN18" s="208"/>
      <c r="DO18" s="208"/>
      <c r="DP18" s="208"/>
      <c r="DQ18" s="208"/>
      <c r="DR18" s="208"/>
      <c r="DS18" s="208"/>
    </row>
    <row r="19" spans="1:123" ht="15.75" customHeight="1" x14ac:dyDescent="0.2">
      <c r="A19" s="210" t="s">
        <v>135</v>
      </c>
      <c r="B19" s="211" t="s">
        <v>115</v>
      </c>
      <c r="C19" s="212">
        <f t="shared" ref="C19:H19" si="11">C16+C17</f>
        <v>6000000</v>
      </c>
      <c r="D19" s="212">
        <f t="shared" si="11"/>
        <v>6000000</v>
      </c>
      <c r="E19" s="212">
        <f t="shared" si="11"/>
        <v>6000000</v>
      </c>
      <c r="F19" s="212">
        <f t="shared" si="11"/>
        <v>6000000</v>
      </c>
      <c r="G19" s="212">
        <f t="shared" si="11"/>
        <v>126000000</v>
      </c>
      <c r="H19" s="212">
        <f t="shared" si="11"/>
        <v>150000000</v>
      </c>
      <c r="I19" s="213" t="s">
        <v>136</v>
      </c>
      <c r="J19" s="214">
        <f t="shared" ref="J19:CY19" si="12">J6+J16+J7+J17</f>
        <v>6750000</v>
      </c>
      <c r="K19" s="214">
        <f t="shared" si="12"/>
        <v>6750000</v>
      </c>
      <c r="L19" s="214">
        <f t="shared" si="12"/>
        <v>6750000</v>
      </c>
      <c r="M19" s="214">
        <f t="shared" si="12"/>
        <v>6750000</v>
      </c>
      <c r="N19" s="214">
        <f t="shared" si="12"/>
        <v>6750000</v>
      </c>
      <c r="O19" s="214">
        <f t="shared" si="12"/>
        <v>6750000</v>
      </c>
      <c r="P19" s="214">
        <f t="shared" si="12"/>
        <v>6750000</v>
      </c>
      <c r="Q19" s="214">
        <f t="shared" si="12"/>
        <v>6750000</v>
      </c>
      <c r="R19" s="214">
        <f t="shared" si="12"/>
        <v>6750000</v>
      </c>
      <c r="S19" s="214">
        <f t="shared" si="12"/>
        <v>6750000</v>
      </c>
      <c r="T19" s="214">
        <f t="shared" si="12"/>
        <v>6750000</v>
      </c>
      <c r="U19" s="214">
        <f t="shared" si="12"/>
        <v>6750000</v>
      </c>
      <c r="V19" s="214">
        <f t="shared" si="12"/>
        <v>6750000</v>
      </c>
      <c r="W19" s="214">
        <f t="shared" si="12"/>
        <v>6750000</v>
      </c>
      <c r="X19" s="214">
        <f t="shared" si="12"/>
        <v>6750000</v>
      </c>
      <c r="Y19" s="214">
        <f t="shared" si="12"/>
        <v>6750000</v>
      </c>
      <c r="Z19" s="214">
        <f t="shared" si="12"/>
        <v>6750000</v>
      </c>
      <c r="AA19" s="214">
        <f t="shared" si="12"/>
        <v>6750000</v>
      </c>
      <c r="AB19" s="214">
        <f t="shared" si="12"/>
        <v>6750000</v>
      </c>
      <c r="AC19" s="214">
        <f t="shared" si="12"/>
        <v>6750000</v>
      </c>
      <c r="AD19" s="214">
        <f t="shared" si="12"/>
        <v>6750000</v>
      </c>
      <c r="AE19" s="214">
        <f t="shared" si="12"/>
        <v>6750000</v>
      </c>
      <c r="AF19" s="214">
        <f t="shared" si="12"/>
        <v>6750000</v>
      </c>
      <c r="AG19" s="214">
        <f t="shared" si="12"/>
        <v>6750000</v>
      </c>
      <c r="AH19" s="214">
        <f t="shared" si="12"/>
        <v>141750000</v>
      </c>
      <c r="AI19" s="214">
        <f t="shared" si="12"/>
        <v>5500000</v>
      </c>
      <c r="AJ19" s="214">
        <f t="shared" si="12"/>
        <v>5500000</v>
      </c>
      <c r="AK19" s="214">
        <f t="shared" si="12"/>
        <v>5500000</v>
      </c>
      <c r="AL19" s="214">
        <f t="shared" si="12"/>
        <v>5500000</v>
      </c>
      <c r="AM19" s="214">
        <f t="shared" si="12"/>
        <v>5500000</v>
      </c>
      <c r="AN19" s="214">
        <f t="shared" si="12"/>
        <v>5500000</v>
      </c>
      <c r="AO19" s="214">
        <f t="shared" si="12"/>
        <v>5500000</v>
      </c>
      <c r="AP19" s="214">
        <f t="shared" si="12"/>
        <v>5500000</v>
      </c>
      <c r="AQ19" s="214">
        <f t="shared" si="12"/>
        <v>5500000</v>
      </c>
      <c r="AR19" s="214">
        <f t="shared" si="12"/>
        <v>5500000</v>
      </c>
      <c r="AS19" s="214">
        <f t="shared" si="12"/>
        <v>5500000</v>
      </c>
      <c r="AT19" s="214">
        <f t="shared" si="12"/>
        <v>5500000</v>
      </c>
      <c r="AU19" s="214">
        <f t="shared" si="12"/>
        <v>5500000</v>
      </c>
      <c r="AV19" s="214">
        <f t="shared" si="12"/>
        <v>5500000</v>
      </c>
      <c r="AW19" s="214">
        <f t="shared" si="12"/>
        <v>5500000</v>
      </c>
      <c r="AX19" s="214">
        <f t="shared" si="12"/>
        <v>5500000</v>
      </c>
      <c r="AY19" s="214">
        <f t="shared" si="12"/>
        <v>5500000</v>
      </c>
      <c r="AZ19" s="214">
        <f t="shared" si="12"/>
        <v>5500000</v>
      </c>
      <c r="BA19" s="214">
        <f t="shared" si="12"/>
        <v>5500000</v>
      </c>
      <c r="BB19" s="214">
        <f t="shared" si="12"/>
        <v>115500000</v>
      </c>
      <c r="BC19" s="214">
        <f t="shared" si="12"/>
        <v>0</v>
      </c>
      <c r="BD19" s="214">
        <f t="shared" si="12"/>
        <v>0</v>
      </c>
      <c r="BE19" s="214">
        <f t="shared" si="12"/>
        <v>0</v>
      </c>
      <c r="BF19" s="214">
        <f t="shared" si="12"/>
        <v>0</v>
      </c>
      <c r="BG19" s="214">
        <f t="shared" si="12"/>
        <v>0</v>
      </c>
      <c r="BH19" s="214">
        <f t="shared" si="12"/>
        <v>0</v>
      </c>
      <c r="BI19" s="214">
        <f t="shared" si="12"/>
        <v>0</v>
      </c>
      <c r="BJ19" s="214">
        <f t="shared" si="12"/>
        <v>0</v>
      </c>
      <c r="BK19" s="214">
        <f t="shared" si="12"/>
        <v>0</v>
      </c>
      <c r="BL19" s="214">
        <f t="shared" si="12"/>
        <v>0</v>
      </c>
      <c r="BM19" s="214">
        <f t="shared" si="12"/>
        <v>0</v>
      </c>
      <c r="BN19" s="214">
        <f t="shared" si="12"/>
        <v>0</v>
      </c>
      <c r="BO19" s="214">
        <f t="shared" si="12"/>
        <v>0</v>
      </c>
      <c r="BP19" s="214">
        <f t="shared" si="12"/>
        <v>0</v>
      </c>
      <c r="BQ19" s="214">
        <f t="shared" si="12"/>
        <v>0</v>
      </c>
      <c r="BR19" s="214">
        <f t="shared" si="12"/>
        <v>0</v>
      </c>
      <c r="BS19" s="214">
        <f t="shared" si="12"/>
        <v>0</v>
      </c>
      <c r="BT19" s="214">
        <f t="shared" si="12"/>
        <v>0</v>
      </c>
      <c r="BU19" s="214">
        <f t="shared" si="12"/>
        <v>0</v>
      </c>
      <c r="BV19" s="214">
        <f t="shared" si="12"/>
        <v>0</v>
      </c>
      <c r="BW19" s="214">
        <f t="shared" si="12"/>
        <v>0</v>
      </c>
      <c r="BX19" s="214">
        <f t="shared" si="12"/>
        <v>0</v>
      </c>
      <c r="BY19" s="214">
        <f t="shared" si="12"/>
        <v>0</v>
      </c>
      <c r="BZ19" s="214">
        <f t="shared" si="12"/>
        <v>0</v>
      </c>
      <c r="CA19" s="214">
        <f t="shared" si="12"/>
        <v>0</v>
      </c>
      <c r="CB19" s="214">
        <f t="shared" si="12"/>
        <v>0</v>
      </c>
      <c r="CC19" s="214">
        <f t="shared" si="12"/>
        <v>0</v>
      </c>
      <c r="CD19" s="214">
        <f t="shared" si="12"/>
        <v>0</v>
      </c>
      <c r="CE19" s="214">
        <f t="shared" si="12"/>
        <v>0</v>
      </c>
      <c r="CF19" s="214">
        <f t="shared" si="12"/>
        <v>0</v>
      </c>
      <c r="CG19" s="214">
        <f t="shared" si="12"/>
        <v>0</v>
      </c>
      <c r="CH19" s="214">
        <f t="shared" si="12"/>
        <v>0</v>
      </c>
      <c r="CI19" s="214">
        <f t="shared" si="12"/>
        <v>0</v>
      </c>
      <c r="CJ19" s="214">
        <f t="shared" si="12"/>
        <v>0</v>
      </c>
      <c r="CK19" s="214">
        <f t="shared" si="12"/>
        <v>0</v>
      </c>
      <c r="CL19" s="214">
        <f t="shared" si="12"/>
        <v>0</v>
      </c>
      <c r="CM19" s="214">
        <f t="shared" si="12"/>
        <v>0</v>
      </c>
      <c r="CN19" s="214">
        <f t="shared" si="12"/>
        <v>0</v>
      </c>
      <c r="CO19" s="214">
        <f t="shared" si="12"/>
        <v>0</v>
      </c>
      <c r="CP19" s="214">
        <f t="shared" si="12"/>
        <v>0</v>
      </c>
      <c r="CQ19" s="214">
        <f t="shared" si="12"/>
        <v>0</v>
      </c>
      <c r="CR19" s="214">
        <f t="shared" si="12"/>
        <v>0</v>
      </c>
      <c r="CS19" s="214">
        <f t="shared" si="12"/>
        <v>0</v>
      </c>
      <c r="CT19" s="214">
        <f t="shared" si="12"/>
        <v>0</v>
      </c>
      <c r="CU19" s="214">
        <f t="shared" si="12"/>
        <v>0</v>
      </c>
      <c r="CV19" s="214">
        <f t="shared" si="12"/>
        <v>0</v>
      </c>
      <c r="CW19" s="214">
        <f t="shared" si="12"/>
        <v>0</v>
      </c>
      <c r="CX19" s="214">
        <f t="shared" si="12"/>
        <v>0</v>
      </c>
      <c r="CY19" s="214">
        <f t="shared" si="12"/>
        <v>0</v>
      </c>
      <c r="CZ19" s="215"/>
      <c r="DA19" s="215"/>
      <c r="DB19" s="215"/>
      <c r="DC19" s="215"/>
      <c r="DD19" s="215"/>
      <c r="DE19" s="215"/>
      <c r="DF19" s="215"/>
      <c r="DG19" s="215"/>
      <c r="DH19" s="215"/>
      <c r="DI19" s="215"/>
      <c r="DJ19" s="215"/>
      <c r="DK19" s="215"/>
      <c r="DL19" s="215"/>
      <c r="DM19" s="215"/>
      <c r="DN19" s="215"/>
      <c r="DO19" s="215"/>
      <c r="DP19" s="215"/>
      <c r="DQ19" s="215"/>
      <c r="DR19" s="215"/>
      <c r="DS19" s="215"/>
    </row>
    <row r="20" spans="1:123" ht="15.75" customHeight="1" x14ac:dyDescent="0.2">
      <c r="A20" s="4"/>
      <c r="E20" s="18"/>
      <c r="F20" s="18"/>
      <c r="G20" s="18"/>
      <c r="H20" s="4"/>
      <c r="I20" s="213" t="s">
        <v>116</v>
      </c>
      <c r="J20" s="214">
        <f>'Summary of CBA'!J30</f>
        <v>3121672.8361415057</v>
      </c>
      <c r="K20" s="214">
        <f>'Summary of CBA'!K30</f>
        <v>3184106.2928643352</v>
      </c>
      <c r="L20" s="214">
        <f>'Summary of CBA'!L30</f>
        <v>3247788.4187216223</v>
      </c>
      <c r="M20" s="214">
        <f>'Summary of CBA'!M30</f>
        <v>3312744.1870960547</v>
      </c>
      <c r="N20" s="214">
        <f>'Summary of CBA'!N30</f>
        <v>3378999.0708379759</v>
      </c>
      <c r="O20" s="214">
        <f>'Summary of CBA'!O30</f>
        <v>3446579.0522547346</v>
      </c>
      <c r="P20" s="214">
        <f>'Summary of CBA'!P30</f>
        <v>3515510.6332998299</v>
      </c>
      <c r="Q20" s="214">
        <f>'Summary of CBA'!Q30</f>
        <v>3585820.8459658264</v>
      </c>
      <c r="R20" s="214">
        <f>'Summary of CBA'!R30</f>
        <v>3657537.262885143</v>
      </c>
      <c r="S20" s="214">
        <f>'Summary of CBA'!S30</f>
        <v>3730688.0081428452</v>
      </c>
      <c r="T20" s="214">
        <f>'Summary of CBA'!T30</f>
        <v>3805301.7683057026</v>
      </c>
      <c r="U20" s="214">
        <f>'Summary of CBA'!U30</f>
        <v>3881407.8036718168</v>
      </c>
      <c r="V20" s="214">
        <f>'Summary of CBA'!V30</f>
        <v>3959035.959745253</v>
      </c>
      <c r="W20" s="214">
        <f>'Summary of CBA'!W30</f>
        <v>4038216.6789401579</v>
      </c>
      <c r="X20" s="214">
        <f>'Summary of CBA'!X30</f>
        <v>4118981.0125189614</v>
      </c>
      <c r="Y20" s="214">
        <f>'Summary of CBA'!Y30</f>
        <v>4201360.6327693406</v>
      </c>
      <c r="Z20" s="214">
        <f>'Summary of CBA'!Z30</f>
        <v>4285387.8454247275</v>
      </c>
      <c r="AA20" s="214">
        <f>'Summary of CBA'!AA30</f>
        <v>4371095.6023332207</v>
      </c>
      <c r="AB20" s="214">
        <f>'Summary of CBA'!AB30</f>
        <v>4458517.514379886</v>
      </c>
      <c r="AC20" s="214">
        <f>'Summary of CBA'!AC30</f>
        <v>4547687.8646674836</v>
      </c>
      <c r="AD20" s="214">
        <f>'Summary of CBA'!AD30</f>
        <v>4638641.6219608337</v>
      </c>
      <c r="AE20" s="214">
        <f>'Summary of CBA'!AE30</f>
        <v>4731414.4544000495</v>
      </c>
      <c r="AF20" s="214">
        <f>'Summary of CBA'!AF30</f>
        <v>4826042.743488051</v>
      </c>
      <c r="AG20" s="214">
        <f>'Summary of CBA'!AG30</f>
        <v>4922563.5983578116</v>
      </c>
      <c r="AH20" s="214">
        <f>'Summary of CBA'!AH30</f>
        <v>5021014.8703249684</v>
      </c>
      <c r="AI20" s="214">
        <f>'Summary of CBA'!AI30</f>
        <v>5121435.1677314667</v>
      </c>
      <c r="AJ20" s="214">
        <f>'Summary of CBA'!AJ30</f>
        <v>5223863.8710860973</v>
      </c>
      <c r="AK20" s="214">
        <f>'Summary of CBA'!AK30</f>
        <v>5328341.1485078195</v>
      </c>
      <c r="AL20" s="214">
        <f>'Summary of CBA'!AL30</f>
        <v>5434907.9714779751</v>
      </c>
      <c r="AM20" s="214">
        <f>'Summary of CBA'!AM30</f>
        <v>5543606.1309075346</v>
      </c>
      <c r="AN20" s="214">
        <f>'Summary of CBA'!AN30</f>
        <v>5654478.2535256846</v>
      </c>
      <c r="AO20" s="214">
        <f>'Summary of CBA'!AO30</f>
        <v>5767567.8185961992</v>
      </c>
      <c r="AP20" s="214">
        <f>'Summary of CBA'!AP30</f>
        <v>5882919.1749681244</v>
      </c>
      <c r="AQ20" s="214">
        <f>'Summary of CBA'!AQ30</f>
        <v>6000577.5584674841</v>
      </c>
      <c r="AR20" s="214">
        <f>'Summary of CBA'!AR30</f>
        <v>6120589.1096368358</v>
      </c>
      <c r="AS20" s="214">
        <f>'Summary of CBA'!AS30</f>
        <v>6243000.8918295717</v>
      </c>
      <c r="AT20" s="214">
        <f>'Summary of CBA'!AT30</f>
        <v>6367860.9096661629</v>
      </c>
      <c r="AU20" s="214">
        <f>'Summary of CBA'!AU30</f>
        <v>6495218.1278594853</v>
      </c>
      <c r="AV20" s="214">
        <f>'Summary of CBA'!AV30</f>
        <v>6625122.4904166767</v>
      </c>
      <c r="AW20" s="214">
        <f>'Summary of CBA'!AW30</f>
        <v>6757624.9402250098</v>
      </c>
      <c r="AX20" s="214">
        <f>'Summary of CBA'!AX30</f>
        <v>6892777.4390295111</v>
      </c>
      <c r="AY20" s="214">
        <f>'Summary of CBA'!AY30</f>
        <v>7030632.9878100986</v>
      </c>
      <c r="AZ20" s="214">
        <f>'Summary of CBA'!AZ30</f>
        <v>7171245.6475663017</v>
      </c>
      <c r="BA20" s="214">
        <f>'Summary of CBA'!BA30</f>
        <v>7314670.5605176277</v>
      </c>
      <c r="BB20" s="214">
        <f>'Summary of CBA'!BB30</f>
        <v>7460963.9717279803</v>
      </c>
      <c r="BC20" s="214">
        <f>'Summary of CBA'!BC30</f>
        <v>7610183.2511625392</v>
      </c>
      <c r="BD20" s="214">
        <f>'Summary of CBA'!BD30</f>
        <v>7762386.9161857916</v>
      </c>
      <c r="BE20" s="214">
        <f>'Summary of CBA'!BE30</f>
        <v>7917634.6545095062</v>
      </c>
      <c r="BF20" s="214">
        <f>'Summary of CBA'!BF30</f>
        <v>8075987.3475996973</v>
      </c>
      <c r="BG20" s="214">
        <f>'Summary of CBA'!BG30</f>
        <v>8237507.094551689</v>
      </c>
      <c r="BH20" s="214">
        <f>'Summary of CBA'!BH30</f>
        <v>8402257.2364427224</v>
      </c>
      <c r="BI20" s="214">
        <f>'Summary of CBA'!BI30</f>
        <v>8570302.3811715767</v>
      </c>
      <c r="BJ20" s="214">
        <f>'Summary of CBA'!BJ30</f>
        <v>8741708.4287950099</v>
      </c>
      <c r="BK20" s="214">
        <f>'Summary of CBA'!BK30</f>
        <v>8916542.5973709095</v>
      </c>
      <c r="BL20" s="214">
        <f>'Summary of CBA'!BL30</f>
        <v>9094873.4493183289</v>
      </c>
      <c r="BM20" s="214">
        <f>'Summary of CBA'!BM30</f>
        <v>9276770.9183046948</v>
      </c>
      <c r="BN20" s="214">
        <f>'Summary of CBA'!BN30</f>
        <v>9462306.336670788</v>
      </c>
      <c r="BO20" s="214">
        <f>'Summary of CBA'!BO30</f>
        <v>9651552.4634042028</v>
      </c>
      <c r="BP20" s="214">
        <f>'Summary of CBA'!BP30</f>
        <v>9844583.5126722883</v>
      </c>
      <c r="BQ20" s="214">
        <f>'Summary of CBA'!BQ30</f>
        <v>10041475.182925735</v>
      </c>
      <c r="BR20" s="214">
        <f>'Summary of CBA'!BR30</f>
        <v>10242304.686584249</v>
      </c>
      <c r="BS20" s="214">
        <f>'Summary of CBA'!BS30</f>
        <v>10447150.780315934</v>
      </c>
      <c r="BT20" s="214">
        <f>'Summary of CBA'!BT30</f>
        <v>10656093.795922251</v>
      </c>
      <c r="BU20" s="214">
        <f>'Summary of CBA'!BU30</f>
        <v>10869215.671840698</v>
      </c>
      <c r="BV20" s="214">
        <f>'Summary of CBA'!BV30</f>
        <v>11086599.985277513</v>
      </c>
      <c r="BW20" s="214">
        <f>'Summary of CBA'!BW30</f>
        <v>11308331.984983061</v>
      </c>
      <c r="BX20" s="214">
        <f>'Summary of CBA'!BX30</f>
        <v>11534498.624682723</v>
      </c>
      <c r="BY20" s="214">
        <f>'Summary of CBA'!BY30</f>
        <v>11765188.597176377</v>
      </c>
      <c r="BZ20" s="214">
        <f>'Summary of CBA'!BZ30</f>
        <v>12000492.369119905</v>
      </c>
      <c r="CA20" s="214">
        <f>'Summary of CBA'!CA30</f>
        <v>12240502.2165023</v>
      </c>
      <c r="CB20" s="214">
        <f>'Summary of CBA'!CB30</f>
        <v>12485312.260832349</v>
      </c>
      <c r="CC20" s="214">
        <f>'Summary of CBA'!CC30</f>
        <v>12735018.506048996</v>
      </c>
      <c r="CD20" s="214">
        <f>'Summary of CBA'!CD30</f>
        <v>12989718.876169976</v>
      </c>
      <c r="CE20" s="214">
        <f>'Summary of CBA'!CE30</f>
        <v>13249513.253693372</v>
      </c>
      <c r="CF20" s="214">
        <f>'Summary of CBA'!CF30</f>
        <v>13514503.518767241</v>
      </c>
      <c r="CG20" s="214">
        <f>'Summary of CBA'!CG30</f>
        <v>13784793.589142587</v>
      </c>
      <c r="CH20" s="214">
        <f>'Summary of CBA'!CH30</f>
        <v>14060489.460925438</v>
      </c>
      <c r="CI20" s="214">
        <f>'Summary of CBA'!CI30</f>
        <v>14341699.250143945</v>
      </c>
      <c r="CJ20" s="214">
        <f>'Summary of CBA'!CJ30</f>
        <v>14628533.235146826</v>
      </c>
      <c r="CK20" s="214">
        <f>'Summary of CBA'!CK30</f>
        <v>14921103.899849763</v>
      </c>
      <c r="CL20" s="214">
        <f>'Summary of CBA'!CL30</f>
        <v>15219525.977846758</v>
      </c>
      <c r="CM20" s="214">
        <f>'Summary of CBA'!CM30</f>
        <v>15523916.497403689</v>
      </c>
      <c r="CN20" s="214">
        <f>'Summary of CBA'!CN30</f>
        <v>15834394.827351764</v>
      </c>
      <c r="CO20" s="214">
        <f>'Summary of CBA'!CO30</f>
        <v>16151082.723898802</v>
      </c>
      <c r="CP20" s="214">
        <f>'Summary of CBA'!CP30</f>
        <v>16474104.378376778</v>
      </c>
      <c r="CQ20" s="214">
        <f>'Summary of CBA'!CQ30</f>
        <v>16803586.465944309</v>
      </c>
      <c r="CR20" s="214">
        <f>'Summary of CBA'!CR30</f>
        <v>17139658.1952632</v>
      </c>
      <c r="CS20" s="214">
        <f>'Summary of CBA'!CS30</f>
        <v>17482451.359168462</v>
      </c>
      <c r="CT20" s="214">
        <f>'Summary of CBA'!CT30</f>
        <v>17832100.386351831</v>
      </c>
      <c r="CU20" s="214">
        <f>'Summary of CBA'!CU30</f>
        <v>18188742.394078866</v>
      </c>
      <c r="CV20" s="214">
        <f>'Summary of CBA'!CV30</f>
        <v>18552517.241960444</v>
      </c>
      <c r="CW20" s="214">
        <f>'Summary of CBA'!CW30</f>
        <v>18923567.586799655</v>
      </c>
      <c r="CX20" s="214">
        <f>'Summary of CBA'!CX30</f>
        <v>19302038.938535646</v>
      </c>
      <c r="CY20" s="214">
        <f>'Summary of CBA'!CY30</f>
        <v>19688079.717306361</v>
      </c>
      <c r="CZ20" s="4"/>
      <c r="DA20" s="4"/>
      <c r="DB20" s="4"/>
      <c r="DC20" s="4"/>
      <c r="DD20" s="4"/>
      <c r="DE20" s="4"/>
      <c r="DF20" s="4"/>
      <c r="DG20" s="4"/>
      <c r="DH20" s="4"/>
      <c r="DI20" s="4"/>
      <c r="DJ20" s="4"/>
      <c r="DK20" s="4"/>
      <c r="DL20" s="4"/>
      <c r="DM20" s="4"/>
      <c r="DN20" s="4"/>
      <c r="DO20" s="4"/>
      <c r="DP20" s="4"/>
      <c r="DQ20" s="3"/>
      <c r="DR20" s="3"/>
      <c r="DS20" s="3"/>
    </row>
    <row r="21" spans="1:123" ht="15.75" customHeight="1" x14ac:dyDescent="0.2">
      <c r="A21" s="182" t="s">
        <v>137</v>
      </c>
      <c r="B21" s="182"/>
      <c r="C21" s="182"/>
      <c r="D21" s="182"/>
      <c r="E21" s="182"/>
      <c r="F21" s="182"/>
      <c r="G21" s="182"/>
      <c r="H21" s="182"/>
      <c r="I21" s="213" t="s">
        <v>138</v>
      </c>
      <c r="J21" s="214">
        <f t="shared" ref="J21:CY21" si="13">J19+J20</f>
        <v>9871672.8361415062</v>
      </c>
      <c r="K21" s="214">
        <f t="shared" si="13"/>
        <v>9934106.2928643357</v>
      </c>
      <c r="L21" s="214">
        <f t="shared" si="13"/>
        <v>9997788.4187216219</v>
      </c>
      <c r="M21" s="214">
        <f t="shared" si="13"/>
        <v>10062744.187096056</v>
      </c>
      <c r="N21" s="214">
        <f t="shared" si="13"/>
        <v>10128999.070837976</v>
      </c>
      <c r="O21" s="214">
        <f t="shared" si="13"/>
        <v>10196579.052254735</v>
      </c>
      <c r="P21" s="214">
        <f t="shared" si="13"/>
        <v>10265510.633299829</v>
      </c>
      <c r="Q21" s="214">
        <f t="shared" si="13"/>
        <v>10335820.845965827</v>
      </c>
      <c r="R21" s="214">
        <f t="shared" si="13"/>
        <v>10407537.262885142</v>
      </c>
      <c r="S21" s="214">
        <f t="shared" si="13"/>
        <v>10480688.008142846</v>
      </c>
      <c r="T21" s="214">
        <f t="shared" si="13"/>
        <v>10555301.768305702</v>
      </c>
      <c r="U21" s="214">
        <f t="shared" si="13"/>
        <v>10631407.803671816</v>
      </c>
      <c r="V21" s="214">
        <f t="shared" si="13"/>
        <v>10709035.959745253</v>
      </c>
      <c r="W21" s="214">
        <f t="shared" si="13"/>
        <v>10788216.678940158</v>
      </c>
      <c r="X21" s="214">
        <f t="shared" si="13"/>
        <v>10868981.012518961</v>
      </c>
      <c r="Y21" s="214">
        <f t="shared" si="13"/>
        <v>10951360.632769341</v>
      </c>
      <c r="Z21" s="214">
        <f t="shared" si="13"/>
        <v>11035387.845424727</v>
      </c>
      <c r="AA21" s="214">
        <f t="shared" si="13"/>
        <v>11121095.602333222</v>
      </c>
      <c r="AB21" s="214">
        <f t="shared" si="13"/>
        <v>11208517.514379885</v>
      </c>
      <c r="AC21" s="214">
        <f t="shared" si="13"/>
        <v>11297687.864667483</v>
      </c>
      <c r="AD21" s="214">
        <f t="shared" si="13"/>
        <v>11388641.621960834</v>
      </c>
      <c r="AE21" s="214">
        <f t="shared" si="13"/>
        <v>11481414.45440005</v>
      </c>
      <c r="AF21" s="214">
        <f t="shared" si="13"/>
        <v>11576042.743488051</v>
      </c>
      <c r="AG21" s="214">
        <f t="shared" si="13"/>
        <v>11672563.598357812</v>
      </c>
      <c r="AH21" s="214">
        <f t="shared" si="13"/>
        <v>146771014.87032497</v>
      </c>
      <c r="AI21" s="214">
        <f t="shared" si="13"/>
        <v>10621435.167731468</v>
      </c>
      <c r="AJ21" s="214">
        <f t="shared" si="13"/>
        <v>10723863.871086098</v>
      </c>
      <c r="AK21" s="214">
        <f t="shared" si="13"/>
        <v>10828341.148507819</v>
      </c>
      <c r="AL21" s="214">
        <f t="shared" si="13"/>
        <v>10934907.971477974</v>
      </c>
      <c r="AM21" s="214">
        <f t="shared" si="13"/>
        <v>11043606.130907536</v>
      </c>
      <c r="AN21" s="214">
        <f t="shared" si="13"/>
        <v>11154478.253525686</v>
      </c>
      <c r="AO21" s="214">
        <f t="shared" si="13"/>
        <v>11267567.818596199</v>
      </c>
      <c r="AP21" s="214">
        <f t="shared" si="13"/>
        <v>11382919.174968123</v>
      </c>
      <c r="AQ21" s="214">
        <f t="shared" si="13"/>
        <v>11500577.558467485</v>
      </c>
      <c r="AR21" s="214">
        <f t="shared" si="13"/>
        <v>11620589.109636836</v>
      </c>
      <c r="AS21" s="214">
        <f t="shared" si="13"/>
        <v>11743000.891829573</v>
      </c>
      <c r="AT21" s="214">
        <f t="shared" si="13"/>
        <v>11867860.909666162</v>
      </c>
      <c r="AU21" s="214">
        <f t="shared" si="13"/>
        <v>11995218.127859484</v>
      </c>
      <c r="AV21" s="214">
        <f t="shared" si="13"/>
        <v>12125122.490416676</v>
      </c>
      <c r="AW21" s="214">
        <f t="shared" si="13"/>
        <v>12257624.940225009</v>
      </c>
      <c r="AX21" s="214">
        <f t="shared" si="13"/>
        <v>12392777.439029511</v>
      </c>
      <c r="AY21" s="214">
        <f t="shared" si="13"/>
        <v>12530632.987810098</v>
      </c>
      <c r="AZ21" s="214">
        <f t="shared" si="13"/>
        <v>12671245.647566302</v>
      </c>
      <c r="BA21" s="214">
        <f t="shared" si="13"/>
        <v>12814670.560517628</v>
      </c>
      <c r="BB21" s="214">
        <f t="shared" si="13"/>
        <v>122960963.97172798</v>
      </c>
      <c r="BC21" s="214">
        <f t="shared" si="13"/>
        <v>7610183.2511625392</v>
      </c>
      <c r="BD21" s="214">
        <f t="shared" si="13"/>
        <v>7762386.9161857916</v>
      </c>
      <c r="BE21" s="214">
        <f t="shared" si="13"/>
        <v>7917634.6545095062</v>
      </c>
      <c r="BF21" s="214">
        <f t="shared" si="13"/>
        <v>8075987.3475996973</v>
      </c>
      <c r="BG21" s="214">
        <f t="shared" si="13"/>
        <v>8237507.094551689</v>
      </c>
      <c r="BH21" s="214">
        <f t="shared" si="13"/>
        <v>8402257.2364427224</v>
      </c>
      <c r="BI21" s="214">
        <f t="shared" si="13"/>
        <v>8570302.3811715767</v>
      </c>
      <c r="BJ21" s="214">
        <f t="shared" si="13"/>
        <v>8741708.4287950099</v>
      </c>
      <c r="BK21" s="214">
        <f t="shared" si="13"/>
        <v>8916542.5973709095</v>
      </c>
      <c r="BL21" s="214">
        <f t="shared" si="13"/>
        <v>9094873.4493183289</v>
      </c>
      <c r="BM21" s="214">
        <f t="shared" si="13"/>
        <v>9276770.9183046948</v>
      </c>
      <c r="BN21" s="214">
        <f t="shared" si="13"/>
        <v>9462306.336670788</v>
      </c>
      <c r="BO21" s="214">
        <f t="shared" si="13"/>
        <v>9651552.4634042028</v>
      </c>
      <c r="BP21" s="214">
        <f t="shared" si="13"/>
        <v>9844583.5126722883</v>
      </c>
      <c r="BQ21" s="214">
        <f t="shared" si="13"/>
        <v>10041475.182925735</v>
      </c>
      <c r="BR21" s="214">
        <f t="shared" si="13"/>
        <v>10242304.686584249</v>
      </c>
      <c r="BS21" s="214">
        <f t="shared" si="13"/>
        <v>10447150.780315934</v>
      </c>
      <c r="BT21" s="214">
        <f t="shared" si="13"/>
        <v>10656093.795922251</v>
      </c>
      <c r="BU21" s="214">
        <f t="shared" si="13"/>
        <v>10869215.671840698</v>
      </c>
      <c r="BV21" s="214">
        <f t="shared" si="13"/>
        <v>11086599.985277513</v>
      </c>
      <c r="BW21" s="214">
        <f t="shared" si="13"/>
        <v>11308331.984983061</v>
      </c>
      <c r="BX21" s="214">
        <f t="shared" si="13"/>
        <v>11534498.624682723</v>
      </c>
      <c r="BY21" s="214">
        <f t="shared" si="13"/>
        <v>11765188.597176377</v>
      </c>
      <c r="BZ21" s="214">
        <f t="shared" si="13"/>
        <v>12000492.369119905</v>
      </c>
      <c r="CA21" s="214">
        <f t="shared" si="13"/>
        <v>12240502.2165023</v>
      </c>
      <c r="CB21" s="214">
        <f t="shared" si="13"/>
        <v>12485312.260832349</v>
      </c>
      <c r="CC21" s="214">
        <f t="shared" si="13"/>
        <v>12735018.506048996</v>
      </c>
      <c r="CD21" s="214">
        <f t="shared" si="13"/>
        <v>12989718.876169976</v>
      </c>
      <c r="CE21" s="214">
        <f t="shared" si="13"/>
        <v>13249513.253693372</v>
      </c>
      <c r="CF21" s="214">
        <f t="shared" si="13"/>
        <v>13514503.518767241</v>
      </c>
      <c r="CG21" s="214">
        <f t="shared" si="13"/>
        <v>13784793.589142587</v>
      </c>
      <c r="CH21" s="214">
        <f t="shared" si="13"/>
        <v>14060489.460925438</v>
      </c>
      <c r="CI21" s="214">
        <f t="shared" si="13"/>
        <v>14341699.250143945</v>
      </c>
      <c r="CJ21" s="214">
        <f t="shared" si="13"/>
        <v>14628533.235146826</v>
      </c>
      <c r="CK21" s="214">
        <f t="shared" si="13"/>
        <v>14921103.899849763</v>
      </c>
      <c r="CL21" s="214">
        <f t="shared" si="13"/>
        <v>15219525.977846758</v>
      </c>
      <c r="CM21" s="214">
        <f t="shared" si="13"/>
        <v>15523916.497403689</v>
      </c>
      <c r="CN21" s="214">
        <f t="shared" si="13"/>
        <v>15834394.827351764</v>
      </c>
      <c r="CO21" s="214">
        <f t="shared" si="13"/>
        <v>16151082.723898802</v>
      </c>
      <c r="CP21" s="214">
        <f t="shared" si="13"/>
        <v>16474104.378376778</v>
      </c>
      <c r="CQ21" s="214">
        <f t="shared" si="13"/>
        <v>16803586.465944309</v>
      </c>
      <c r="CR21" s="214">
        <f t="shared" si="13"/>
        <v>17139658.1952632</v>
      </c>
      <c r="CS21" s="214">
        <f t="shared" si="13"/>
        <v>17482451.359168462</v>
      </c>
      <c r="CT21" s="214">
        <f t="shared" si="13"/>
        <v>17832100.386351831</v>
      </c>
      <c r="CU21" s="214">
        <f t="shared" si="13"/>
        <v>18188742.394078866</v>
      </c>
      <c r="CV21" s="214">
        <f t="shared" si="13"/>
        <v>18552517.241960444</v>
      </c>
      <c r="CW21" s="214">
        <f t="shared" si="13"/>
        <v>18923567.586799655</v>
      </c>
      <c r="CX21" s="214">
        <f t="shared" si="13"/>
        <v>19302038.938535646</v>
      </c>
      <c r="CY21" s="214">
        <f t="shared" si="13"/>
        <v>19688079.717306361</v>
      </c>
      <c r="CZ21" s="4"/>
      <c r="DA21" s="4"/>
      <c r="DB21" s="4"/>
      <c r="DC21" s="4"/>
      <c r="DD21" s="4"/>
      <c r="DE21" s="4"/>
      <c r="DF21" s="4"/>
      <c r="DG21" s="4"/>
      <c r="DH21" s="4"/>
      <c r="DI21" s="4"/>
      <c r="DJ21" s="4"/>
      <c r="DK21" s="4"/>
      <c r="DL21" s="4"/>
      <c r="DM21" s="4"/>
      <c r="DN21" s="4"/>
      <c r="DO21" s="4"/>
      <c r="DP21" s="4"/>
      <c r="DQ21" s="4"/>
      <c r="DR21" s="4"/>
      <c r="DS21" s="4"/>
    </row>
    <row r="22" spans="1:123" ht="15.75" customHeight="1" x14ac:dyDescent="0.2">
      <c r="A22" s="206" t="s">
        <v>139</v>
      </c>
      <c r="B22" s="202">
        <f>B10</f>
        <v>120000000</v>
      </c>
      <c r="C22" s="202">
        <f t="shared" ref="C22:F22" si="14">B25</f>
        <v>78420657.854375064</v>
      </c>
      <c r="D22" s="202">
        <f t="shared" si="14"/>
        <v>28013920.442847639</v>
      </c>
      <c r="E22" s="202">
        <f t="shared" si="14"/>
        <v>19129977.271627095</v>
      </c>
      <c r="F22" s="202">
        <f t="shared" si="14"/>
        <v>10188355.236982137</v>
      </c>
      <c r="G22" s="202">
        <f>F25+J10</f>
        <v>136187900.76164427</v>
      </c>
      <c r="H22" s="202"/>
      <c r="I22" s="213" t="s">
        <v>140</v>
      </c>
      <c r="J22" s="216">
        <f>SUM(J21:CY21)</f>
        <v>1371758423.7755492</v>
      </c>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214"/>
      <c r="CV22" s="214"/>
      <c r="CW22" s="214"/>
      <c r="CX22" s="214"/>
      <c r="CY22" s="214"/>
      <c r="CZ22" s="217"/>
      <c r="DA22" s="217"/>
      <c r="DB22" s="217"/>
      <c r="DC22" s="217"/>
      <c r="DD22" s="217"/>
      <c r="DE22" s="217"/>
      <c r="DF22" s="217"/>
      <c r="DG22" s="217"/>
      <c r="DH22" s="217"/>
      <c r="DI22" s="217"/>
      <c r="DJ22" s="4"/>
      <c r="DK22" s="4"/>
      <c r="DL22" s="4"/>
      <c r="DM22" s="4"/>
      <c r="DN22" s="4"/>
      <c r="DO22" s="4"/>
      <c r="DP22" s="4"/>
      <c r="DQ22" s="4"/>
      <c r="DR22" s="4"/>
      <c r="DS22" s="4"/>
    </row>
    <row r="23" spans="1:123" ht="15.75" customHeight="1" x14ac:dyDescent="0.2">
      <c r="A23" s="206" t="s">
        <v>141</v>
      </c>
      <c r="B23" s="202">
        <f>B6/2</f>
        <v>41579342.145624936</v>
      </c>
      <c r="C23" s="202">
        <f>$B$6/2</f>
        <v>41579342.145624936</v>
      </c>
      <c r="D23" s="202"/>
      <c r="E23" s="202"/>
      <c r="F23" s="202"/>
      <c r="G23" s="202"/>
      <c r="H23" s="202"/>
      <c r="I23" s="218" t="s">
        <v>142</v>
      </c>
      <c r="J23" s="218"/>
      <c r="K23" s="218"/>
      <c r="L23" s="218"/>
      <c r="M23" s="218"/>
      <c r="N23" s="218"/>
      <c r="O23" s="218"/>
      <c r="P23" s="218"/>
      <c r="Q23" s="218"/>
      <c r="R23" s="218"/>
      <c r="S23" s="218"/>
      <c r="T23" s="218"/>
      <c r="U23" s="218"/>
      <c r="V23" s="218"/>
      <c r="W23" s="218"/>
      <c r="X23" s="218"/>
      <c r="Y23" s="218"/>
      <c r="Z23" s="218"/>
      <c r="AA23" s="218"/>
      <c r="AB23" s="218"/>
      <c r="AC23" s="218"/>
      <c r="AD23" s="218"/>
      <c r="AE23" s="218"/>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c r="BR23" s="218"/>
      <c r="BS23" s="218"/>
      <c r="BT23" s="218"/>
      <c r="BU23" s="218"/>
      <c r="BV23" s="218"/>
      <c r="BW23" s="218"/>
      <c r="BX23" s="218"/>
      <c r="BY23" s="218"/>
      <c r="BZ23" s="218"/>
      <c r="CA23" s="218"/>
      <c r="CB23" s="218"/>
      <c r="CC23" s="218"/>
      <c r="CD23" s="218"/>
      <c r="CE23" s="218"/>
      <c r="CF23" s="218"/>
      <c r="CG23" s="218"/>
      <c r="CH23" s="218"/>
      <c r="CI23" s="218"/>
      <c r="CJ23" s="218"/>
      <c r="CK23" s="218"/>
      <c r="CL23" s="218"/>
      <c r="CM23" s="218"/>
      <c r="CN23" s="218"/>
      <c r="CO23" s="218"/>
      <c r="CP23" s="218"/>
      <c r="CQ23" s="218"/>
      <c r="CR23" s="218"/>
      <c r="CS23" s="218"/>
      <c r="CT23" s="218"/>
      <c r="CU23" s="218"/>
      <c r="CV23" s="218"/>
      <c r="CW23" s="218"/>
      <c r="CX23" s="218"/>
      <c r="CY23" s="218"/>
      <c r="CZ23" s="218"/>
      <c r="DA23" s="218"/>
      <c r="DB23" s="218"/>
      <c r="DC23" s="218"/>
      <c r="DD23" s="218"/>
      <c r="DE23" s="218"/>
      <c r="DF23" s="218"/>
      <c r="DG23" s="218"/>
      <c r="DH23" s="218"/>
      <c r="DI23" s="218"/>
      <c r="DJ23" s="218"/>
      <c r="DK23" s="218"/>
      <c r="DL23" s="218"/>
      <c r="DM23" s="218"/>
      <c r="DN23" s="218"/>
      <c r="DO23" s="218"/>
      <c r="DP23" s="218"/>
      <c r="DQ23" s="218"/>
      <c r="DR23" s="218"/>
      <c r="DS23" s="218"/>
    </row>
    <row r="24" spans="1:123" ht="15.75" customHeight="1" x14ac:dyDescent="0.2">
      <c r="A24" s="206" t="s">
        <v>143</v>
      </c>
      <c r="B24" s="202"/>
      <c r="C24" s="202">
        <f t="shared" ref="C24:G24" si="15">C19</f>
        <v>6000000</v>
      </c>
      <c r="D24" s="202">
        <f t="shared" si="15"/>
        <v>6000000</v>
      </c>
      <c r="E24" s="202">
        <f t="shared" si="15"/>
        <v>6000000</v>
      </c>
      <c r="F24" s="202">
        <f t="shared" si="15"/>
        <v>6000000</v>
      </c>
      <c r="G24" s="202">
        <f t="shared" si="15"/>
        <v>126000000</v>
      </c>
      <c r="H24" s="202"/>
      <c r="I24" s="213" t="s">
        <v>144</v>
      </c>
      <c r="J24" s="214">
        <f>G25 + IF(J$4 = $J$12,$K$10,0)</f>
        <v>7127437.1967996657</v>
      </c>
      <c r="K24" s="214">
        <f t="shared" ref="K24:CY24" si="16">J27 + IF(K$4 = $J$12,$K$10,0)</f>
        <v>5798301.7063898444</v>
      </c>
      <c r="L24" s="214">
        <f t="shared" si="16"/>
        <v>4621050.4867989775</v>
      </c>
      <c r="M24" s="214">
        <f t="shared" si="16"/>
        <v>3599813.1569727566</v>
      </c>
      <c r="N24" s="214">
        <f t="shared" si="16"/>
        <v>2738829.4619829487</v>
      </c>
      <c r="O24" s="214">
        <f t="shared" si="16"/>
        <v>2042452.1840560194</v>
      </c>
      <c r="P24" s="214">
        <f t="shared" si="16"/>
        <v>1515150.1320060752</v>
      </c>
      <c r="Q24" s="214">
        <f t="shared" si="16"/>
        <v>1161511.211477641</v>
      </c>
      <c r="R24" s="214">
        <f t="shared" si="16"/>
        <v>986245.57851870358</v>
      </c>
      <c r="S24" s="214">
        <f t="shared" si="16"/>
        <v>994188.87912931107</v>
      </c>
      <c r="T24" s="214">
        <f t="shared" si="16"/>
        <v>1190305.5775676556</v>
      </c>
      <c r="U24" s="214">
        <f t="shared" si="16"/>
        <v>1579692.3763450328</v>
      </c>
      <c r="V24" s="214">
        <f t="shared" si="16"/>
        <v>2167581.7310051806</v>
      </c>
      <c r="W24" s="214">
        <f t="shared" si="16"/>
        <v>2959345.4629641511</v>
      </c>
      <c r="X24" s="214">
        <f t="shared" si="16"/>
        <v>3960498.4738859702</v>
      </c>
      <c r="Y24" s="214">
        <f t="shared" si="16"/>
        <v>5176702.565289557</v>
      </c>
      <c r="Z24" s="214">
        <f t="shared" si="16"/>
        <v>6613770.3673262689</v>
      </c>
      <c r="AA24" s="214">
        <f t="shared" si="16"/>
        <v>8277669.3809380755</v>
      </c>
      <c r="AB24" s="214">
        <f t="shared" si="16"/>
        <v>10174526.137907494</v>
      </c>
      <c r="AC24" s="214">
        <f t="shared" si="16"/>
        <v>12310501.425577298</v>
      </c>
      <c r="AD24" s="214">
        <f t="shared" si="16"/>
        <v>14624068.213147536</v>
      </c>
      <c r="AE24" s="214">
        <f t="shared" si="16"/>
        <v>17118778.351660535</v>
      </c>
      <c r="AF24" s="214">
        <f t="shared" si="16"/>
        <v>19798254.72960034</v>
      </c>
      <c r="AG24" s="214">
        <f t="shared" si="16"/>
        <v>22666192.693649977</v>
      </c>
      <c r="AH24" s="214">
        <f t="shared" si="16"/>
        <v>135726361.49786404</v>
      </c>
      <c r="AI24" s="214">
        <f t="shared" si="16"/>
        <v>3982605.781824857</v>
      </c>
      <c r="AJ24" s="214">
        <f t="shared" si="16"/>
        <v>8688847.0783619843</v>
      </c>
      <c r="AK24" s="214">
        <f t="shared" si="16"/>
        <v>13599085.351426255</v>
      </c>
      <c r="AL24" s="214">
        <f t="shared" si="16"/>
        <v>18717400.564721506</v>
      </c>
      <c r="AM24" s="214">
        <f t="shared" si="16"/>
        <v>24047954.281709123</v>
      </c>
      <c r="AN24" s="214">
        <f t="shared" si="16"/>
        <v>29594991.297612846</v>
      </c>
      <c r="AO24" s="214">
        <f t="shared" si="16"/>
        <v>35362841.304063886</v>
      </c>
      <c r="AP24" s="214">
        <f t="shared" si="16"/>
        <v>41355920.587039165</v>
      </c>
      <c r="AQ24" s="214">
        <f t="shared" si="16"/>
        <v>47578733.758758411</v>
      </c>
      <c r="AR24" s="214">
        <f t="shared" si="16"/>
        <v>54035875.524219595</v>
      </c>
      <c r="AS24" s="214">
        <f t="shared" si="16"/>
        <v>60732032.483065046</v>
      </c>
      <c r="AT24" s="214">
        <f t="shared" si="16"/>
        <v>67671984.967485338</v>
      </c>
      <c r="AU24" s="214">
        <f t="shared" si="16"/>
        <v>74860608.916881278</v>
      </c>
      <c r="AV24" s="214">
        <f t="shared" si="16"/>
        <v>82302877.790019497</v>
      </c>
      <c r="AW24" s="214">
        <f t="shared" si="16"/>
        <v>90003864.5154313</v>
      </c>
      <c r="AX24" s="214">
        <f t="shared" si="16"/>
        <v>97968743.480819762</v>
      </c>
      <c r="AY24" s="214">
        <f t="shared" si="16"/>
        <v>106202792.56225511</v>
      </c>
      <c r="AZ24" s="214">
        <f t="shared" si="16"/>
        <v>114711395.19395447</v>
      </c>
      <c r="BA24" s="214">
        <f t="shared" si="16"/>
        <v>123500042.47945718</v>
      </c>
      <c r="BB24" s="214">
        <f t="shared" si="16"/>
        <v>132574335.34502409</v>
      </c>
      <c r="BC24" s="214">
        <f t="shared" si="16"/>
        <v>31939986.736104891</v>
      </c>
      <c r="BD24" s="214">
        <f t="shared" si="16"/>
        <v>47102823.857735299</v>
      </c>
      <c r="BE24" s="214">
        <f t="shared" si="16"/>
        <v>62568790.459742226</v>
      </c>
      <c r="BF24" s="214">
        <f t="shared" si="16"/>
        <v>78343949.167653471</v>
      </c>
      <c r="BG24" s="214">
        <f t="shared" si="16"/>
        <v>94434483.860225752</v>
      </c>
      <c r="BH24" s="214">
        <f t="shared" si="16"/>
        <v>110846702.09452373</v>
      </c>
      <c r="BI24" s="214">
        <f t="shared" si="16"/>
        <v>127587037.57950076</v>
      </c>
      <c r="BJ24" s="214">
        <f t="shared" si="16"/>
        <v>144662052.69905165</v>
      </c>
      <c r="BK24" s="214">
        <f t="shared" si="16"/>
        <v>162078441.08552673</v>
      </c>
      <c r="BL24" s="214">
        <f t="shared" si="16"/>
        <v>179843030.24471653</v>
      </c>
      <c r="BM24" s="214">
        <f t="shared" si="16"/>
        <v>197962784.23333642</v>
      </c>
      <c r="BN24" s="214">
        <f t="shared" si="16"/>
        <v>216444806.39006132</v>
      </c>
      <c r="BO24" s="214">
        <f t="shared" si="16"/>
        <v>235296342.12118128</v>
      </c>
      <c r="BP24" s="214">
        <f t="shared" si="16"/>
        <v>254524781.74197084</v>
      </c>
      <c r="BQ24" s="214">
        <f t="shared" si="16"/>
        <v>274137663.37488568</v>
      </c>
      <c r="BR24" s="214">
        <f t="shared" si="16"/>
        <v>294142675.90572381</v>
      </c>
      <c r="BS24" s="214">
        <f t="shared" si="16"/>
        <v>314547661.99891049</v>
      </c>
      <c r="BT24" s="214">
        <f t="shared" si="16"/>
        <v>335360621.17308861</v>
      </c>
      <c r="BU24" s="214">
        <f t="shared" si="16"/>
        <v>356589712.93822193</v>
      </c>
      <c r="BV24" s="214">
        <f t="shared" si="16"/>
        <v>378243259.99544036</v>
      </c>
      <c r="BW24" s="214">
        <f t="shared" si="16"/>
        <v>400329751.50088263</v>
      </c>
      <c r="BX24" s="214">
        <f t="shared" si="16"/>
        <v>422857846.39481616</v>
      </c>
      <c r="BY24" s="214">
        <f t="shared" si="16"/>
        <v>445836376.79733986</v>
      </c>
      <c r="BZ24" s="214">
        <f t="shared" si="16"/>
        <v>469274351.47200102</v>
      </c>
      <c r="CA24" s="214">
        <f t="shared" si="16"/>
        <v>493180959.35868555</v>
      </c>
      <c r="CB24" s="214">
        <f t="shared" si="16"/>
        <v>517565573.17716593</v>
      </c>
      <c r="CC24" s="214">
        <f t="shared" si="16"/>
        <v>542437753.10272062</v>
      </c>
      <c r="CD24" s="214">
        <f t="shared" si="16"/>
        <v>567807250.51526654</v>
      </c>
      <c r="CE24" s="214">
        <f t="shared" si="16"/>
        <v>593684011.82347465</v>
      </c>
      <c r="CF24" s="214">
        <f t="shared" si="16"/>
        <v>620078182.36536765</v>
      </c>
      <c r="CG24" s="214">
        <f t="shared" si="16"/>
        <v>647000110.38693106</v>
      </c>
      <c r="CH24" s="214">
        <f t="shared" si="16"/>
        <v>674460351.10029626</v>
      </c>
      <c r="CI24" s="214">
        <f t="shared" si="16"/>
        <v>702469670.82308805</v>
      </c>
      <c r="CJ24" s="214">
        <f t="shared" si="16"/>
        <v>731039051.20055962</v>
      </c>
      <c r="CK24" s="214">
        <f t="shared" si="16"/>
        <v>760179693.51217031</v>
      </c>
      <c r="CL24" s="214">
        <f t="shared" si="16"/>
        <v>789903023.06429613</v>
      </c>
      <c r="CM24" s="214">
        <f t="shared" si="16"/>
        <v>820220693.67079449</v>
      </c>
      <c r="CN24" s="214">
        <f t="shared" si="16"/>
        <v>851144592.22318065</v>
      </c>
      <c r="CO24" s="214">
        <f t="shared" si="16"/>
        <v>882686843.35220897</v>
      </c>
      <c r="CP24" s="214">
        <f t="shared" si="16"/>
        <v>914859814.18268549</v>
      </c>
      <c r="CQ24" s="214">
        <f t="shared" si="16"/>
        <v>947676119.18337798</v>
      </c>
      <c r="CR24" s="214">
        <f t="shared" si="16"/>
        <v>981148625.11392426</v>
      </c>
      <c r="CS24" s="214">
        <f t="shared" si="16"/>
        <v>1015290456.0706795</v>
      </c>
      <c r="CT24" s="214">
        <f t="shared" si="16"/>
        <v>1050114998.6334813</v>
      </c>
      <c r="CU24" s="214">
        <f t="shared" si="16"/>
        <v>1085635907.11535</v>
      </c>
      <c r="CV24" s="214">
        <f t="shared" si="16"/>
        <v>1121867108.9171846</v>
      </c>
      <c r="CW24" s="214">
        <f t="shared" si="16"/>
        <v>1158822809.9895525</v>
      </c>
      <c r="CX24" s="214">
        <f t="shared" si="16"/>
        <v>1196517500.4037156</v>
      </c>
      <c r="CY24" s="214">
        <f t="shared" si="16"/>
        <v>1234965960.0340781</v>
      </c>
      <c r="CZ24" s="219"/>
      <c r="DA24" s="219"/>
      <c r="DB24" s="219"/>
      <c r="DC24" s="219"/>
      <c r="DD24" s="219"/>
      <c r="DE24" s="219"/>
      <c r="DF24" s="219"/>
      <c r="DG24" s="219"/>
      <c r="DH24" s="219"/>
      <c r="DI24" s="219"/>
      <c r="DJ24" s="219"/>
      <c r="DK24" s="219"/>
      <c r="DL24" s="219"/>
      <c r="DM24" s="219"/>
      <c r="DN24" s="219"/>
      <c r="DO24" s="219"/>
      <c r="DP24" s="219"/>
      <c r="DQ24" s="219"/>
      <c r="DR24" s="219"/>
      <c r="DS24" s="219"/>
    </row>
    <row r="25" spans="1:123" ht="15.75" customHeight="1" x14ac:dyDescent="0.2">
      <c r="A25" s="206" t="s">
        <v>145</v>
      </c>
      <c r="B25" s="202">
        <f>B22-B23-B24</f>
        <v>78420657.854375064</v>
      </c>
      <c r="C25" s="202">
        <f t="shared" ref="C25:G25" si="17">C22-C7-C24-C23</f>
        <v>28013920.442847639</v>
      </c>
      <c r="D25" s="202">
        <f t="shared" si="17"/>
        <v>19129977.271627095</v>
      </c>
      <c r="E25" s="202">
        <f t="shared" si="17"/>
        <v>10188355.236982137</v>
      </c>
      <c r="F25" s="202">
        <f t="shared" si="17"/>
        <v>1187900.7616442814</v>
      </c>
      <c r="G25" s="202">
        <f t="shared" si="17"/>
        <v>7127437.1967996657</v>
      </c>
      <c r="H25" s="202"/>
      <c r="I25" s="213" t="s">
        <v>146</v>
      </c>
      <c r="J25" s="214">
        <f t="shared" ref="J25:CY25" si="18">J50</f>
        <v>8542537.3457316849</v>
      </c>
      <c r="K25" s="214">
        <f t="shared" si="18"/>
        <v>8756855.0732734688</v>
      </c>
      <c r="L25" s="214">
        <f t="shared" si="18"/>
        <v>8976551.088895401</v>
      </c>
      <c r="M25" s="214">
        <f t="shared" si="18"/>
        <v>9201760.4921062477</v>
      </c>
      <c r="N25" s="214">
        <f t="shared" si="18"/>
        <v>9432621.7929110471</v>
      </c>
      <c r="O25" s="214">
        <f t="shared" si="18"/>
        <v>9669277.0002047904</v>
      </c>
      <c r="P25" s="214">
        <f t="shared" si="18"/>
        <v>9911871.7127713952</v>
      </c>
      <c r="Q25" s="214">
        <f t="shared" si="18"/>
        <v>10160555.213006889</v>
      </c>
      <c r="R25" s="214">
        <f t="shared" si="18"/>
        <v>10415480.56349575</v>
      </c>
      <c r="S25" s="214">
        <f t="shared" si="18"/>
        <v>10676804.70658119</v>
      </c>
      <c r="T25" s="214">
        <f t="shared" si="18"/>
        <v>10944688.567083079</v>
      </c>
      <c r="U25" s="214">
        <f t="shared" si="18"/>
        <v>11219297.158331964</v>
      </c>
      <c r="V25" s="214">
        <f t="shared" si="18"/>
        <v>11500799.691704223</v>
      </c>
      <c r="W25" s="214">
        <f t="shared" si="18"/>
        <v>11789369.689861977</v>
      </c>
      <c r="X25" s="214">
        <f t="shared" si="18"/>
        <v>12085185.103922548</v>
      </c>
      <c r="Y25" s="214">
        <f t="shared" si="18"/>
        <v>12388428.434806053</v>
      </c>
      <c r="Z25" s="214">
        <f t="shared" si="18"/>
        <v>12699286.859036535</v>
      </c>
      <c r="AA25" s="214">
        <f t="shared" si="18"/>
        <v>13017952.35930264</v>
      </c>
      <c r="AB25" s="214">
        <f t="shared" si="18"/>
        <v>13344492.802049689</v>
      </c>
      <c r="AC25" s="214">
        <f t="shared" si="18"/>
        <v>13611254.652237723</v>
      </c>
      <c r="AD25" s="214">
        <f t="shared" si="18"/>
        <v>13883351.760473831</v>
      </c>
      <c r="AE25" s="214">
        <f t="shared" si="18"/>
        <v>14160890.832339857</v>
      </c>
      <c r="AF25" s="214">
        <f t="shared" si="18"/>
        <v>14443980.707537688</v>
      </c>
      <c r="AG25" s="214">
        <f t="shared" si="18"/>
        <v>14732732.402571879</v>
      </c>
      <c r="AH25" s="214">
        <f t="shared" si="18"/>
        <v>15027259.154285789</v>
      </c>
      <c r="AI25" s="214">
        <f t="shared" si="18"/>
        <v>15327676.464268595</v>
      </c>
      <c r="AJ25" s="214">
        <f t="shared" si="18"/>
        <v>15634102.144150369</v>
      </c>
      <c r="AK25" s="214">
        <f t="shared" si="18"/>
        <v>15946656.36180307</v>
      </c>
      <c r="AL25" s="214">
        <f t="shared" si="18"/>
        <v>16265461.68846559</v>
      </c>
      <c r="AM25" s="214">
        <f t="shared" si="18"/>
        <v>16590643.146811256</v>
      </c>
      <c r="AN25" s="214">
        <f t="shared" si="18"/>
        <v>16922328.259976733</v>
      </c>
      <c r="AO25" s="214">
        <f t="shared" si="18"/>
        <v>17260647.101571478</v>
      </c>
      <c r="AP25" s="214">
        <f t="shared" si="18"/>
        <v>17605732.346687373</v>
      </c>
      <c r="AQ25" s="214">
        <f t="shared" si="18"/>
        <v>17957719.323928665</v>
      </c>
      <c r="AR25" s="214">
        <f t="shared" si="18"/>
        <v>18316746.068482291</v>
      </c>
      <c r="AS25" s="214">
        <f t="shared" si="18"/>
        <v>18682953.376249857</v>
      </c>
      <c r="AT25" s="214">
        <f t="shared" si="18"/>
        <v>19056484.859062102</v>
      </c>
      <c r="AU25" s="214">
        <f t="shared" si="18"/>
        <v>19437487.000997711</v>
      </c>
      <c r="AV25" s="214">
        <f t="shared" si="18"/>
        <v>19826109.215828482</v>
      </c>
      <c r="AW25" s="214">
        <f t="shared" si="18"/>
        <v>20222503.90561346</v>
      </c>
      <c r="AX25" s="214">
        <f t="shared" si="18"/>
        <v>20626826.520464867</v>
      </c>
      <c r="AY25" s="214">
        <f t="shared" si="18"/>
        <v>21039235.619509459</v>
      </c>
      <c r="AZ25" s="214">
        <f t="shared" si="18"/>
        <v>21459892.933069013</v>
      </c>
      <c r="BA25" s="214">
        <f t="shared" si="18"/>
        <v>21888963.426084518</v>
      </c>
      <c r="BB25" s="214">
        <f t="shared" si="18"/>
        <v>22326615.362808775</v>
      </c>
      <c r="BC25" s="214">
        <f t="shared" si="18"/>
        <v>22773020.372792944</v>
      </c>
      <c r="BD25" s="214">
        <f t="shared" si="18"/>
        <v>23228353.51819272</v>
      </c>
      <c r="BE25" s="214">
        <f t="shared" si="18"/>
        <v>23692793.362420745</v>
      </c>
      <c r="BF25" s="214">
        <f t="shared" si="18"/>
        <v>24166522.040171973</v>
      </c>
      <c r="BG25" s="214">
        <f t="shared" si="18"/>
        <v>24649725.328849658</v>
      </c>
      <c r="BH25" s="214">
        <f t="shared" si="18"/>
        <v>25142592.721419752</v>
      </c>
      <c r="BI25" s="214">
        <f t="shared" si="18"/>
        <v>25645317.500722472</v>
      </c>
      <c r="BJ25" s="214">
        <f t="shared" si="18"/>
        <v>26158096.8152701</v>
      </c>
      <c r="BK25" s="214">
        <f t="shared" si="18"/>
        <v>26681131.756560728</v>
      </c>
      <c r="BL25" s="214">
        <f t="shared" si="18"/>
        <v>27214627.437938228</v>
      </c>
      <c r="BM25" s="214">
        <f t="shared" si="18"/>
        <v>27758793.075029571</v>
      </c>
      <c r="BN25" s="214">
        <f t="shared" si="18"/>
        <v>28313842.067790754</v>
      </c>
      <c r="BO25" s="214">
        <f t="shared" si="18"/>
        <v>28879992.084193755</v>
      </c>
      <c r="BP25" s="214">
        <f t="shared" si="18"/>
        <v>29457465.145587131</v>
      </c>
      <c r="BQ25" s="214">
        <f t="shared" si="18"/>
        <v>30046487.713763919</v>
      </c>
      <c r="BR25" s="214">
        <f t="shared" si="18"/>
        <v>30647290.779770926</v>
      </c>
      <c r="BS25" s="214">
        <f t="shared" si="18"/>
        <v>31260109.954494059</v>
      </c>
      <c r="BT25" s="214">
        <f t="shared" si="18"/>
        <v>31885185.561055597</v>
      </c>
      <c r="BU25" s="214">
        <f t="shared" si="18"/>
        <v>32522762.72905916</v>
      </c>
      <c r="BV25" s="214">
        <f t="shared" si="18"/>
        <v>33173091.490719803</v>
      </c>
      <c r="BW25" s="214">
        <f t="shared" si="18"/>
        <v>33836426.878916621</v>
      </c>
      <c r="BX25" s="214">
        <f t="shared" si="18"/>
        <v>34513029.027206391</v>
      </c>
      <c r="BY25" s="214">
        <f t="shared" si="18"/>
        <v>35203163.271837555</v>
      </c>
      <c r="BZ25" s="214">
        <f t="shared" si="18"/>
        <v>35907100.255804442</v>
      </c>
      <c r="CA25" s="214">
        <f t="shared" si="18"/>
        <v>36625116.034982666</v>
      </c>
      <c r="CB25" s="214">
        <f t="shared" si="18"/>
        <v>37357492.18638704</v>
      </c>
      <c r="CC25" s="214">
        <f t="shared" si="18"/>
        <v>38104515.918594979</v>
      </c>
      <c r="CD25" s="214">
        <f t="shared" si="18"/>
        <v>38866480.184378028</v>
      </c>
      <c r="CE25" s="214">
        <f t="shared" si="18"/>
        <v>39643683.795586355</v>
      </c>
      <c r="CF25" s="214">
        <f t="shared" si="18"/>
        <v>40436431.540330619</v>
      </c>
      <c r="CG25" s="214">
        <f t="shared" si="18"/>
        <v>41245034.30250778</v>
      </c>
      <c r="CH25" s="214">
        <f t="shared" si="18"/>
        <v>42069809.183717281</v>
      </c>
      <c r="CI25" s="214">
        <f t="shared" si="18"/>
        <v>42911079.627615511</v>
      </c>
      <c r="CJ25" s="214">
        <f t="shared" si="18"/>
        <v>43769175.546757564</v>
      </c>
      <c r="CK25" s="214">
        <f t="shared" si="18"/>
        <v>44644433.451975621</v>
      </c>
      <c r="CL25" s="214">
        <f t="shared" si="18"/>
        <v>45537196.58434505</v>
      </c>
      <c r="CM25" s="214">
        <f t="shared" si="18"/>
        <v>46447815.049789846</v>
      </c>
      <c r="CN25" s="214">
        <f t="shared" si="18"/>
        <v>47376645.956380077</v>
      </c>
      <c r="CO25" s="214">
        <f t="shared" si="18"/>
        <v>48324053.55437535</v>
      </c>
      <c r="CP25" s="214">
        <f t="shared" si="18"/>
        <v>49290409.379069254</v>
      </c>
      <c r="CQ25" s="214">
        <f t="shared" si="18"/>
        <v>50276092.396490544</v>
      </c>
      <c r="CR25" s="214">
        <f t="shared" si="18"/>
        <v>51281489.152018413</v>
      </c>
      <c r="CS25" s="214">
        <f t="shared" si="18"/>
        <v>52306993.921970181</v>
      </c>
      <c r="CT25" s="214">
        <f t="shared" si="18"/>
        <v>53353008.86822056</v>
      </c>
      <c r="CU25" s="214">
        <f t="shared" si="18"/>
        <v>54419944.195913546</v>
      </c>
      <c r="CV25" s="214">
        <f t="shared" si="18"/>
        <v>55508218.314328328</v>
      </c>
      <c r="CW25" s="214">
        <f t="shared" si="18"/>
        <v>56618258.000962704</v>
      </c>
      <c r="CX25" s="214">
        <f t="shared" si="18"/>
        <v>57750498.568898119</v>
      </c>
      <c r="CY25" s="214">
        <f t="shared" si="18"/>
        <v>58905384.0375119</v>
      </c>
      <c r="CZ25" s="219"/>
      <c r="DA25" s="219"/>
      <c r="DB25" s="219"/>
      <c r="DC25" s="219"/>
      <c r="DD25" s="219"/>
      <c r="DE25" s="219"/>
      <c r="DF25" s="219"/>
      <c r="DG25" s="219"/>
      <c r="DH25" s="219"/>
      <c r="DI25" s="219"/>
      <c r="DJ25" s="219"/>
      <c r="DK25" s="219"/>
      <c r="DL25" s="219"/>
      <c r="DM25" s="219"/>
      <c r="DN25" s="219"/>
      <c r="DO25" s="219"/>
      <c r="DP25" s="219"/>
      <c r="DQ25" s="219"/>
      <c r="DR25" s="219"/>
      <c r="DS25" s="219"/>
    </row>
    <row r="26" spans="1:123" ht="15.75" customHeight="1" x14ac:dyDescent="0.2">
      <c r="I26" s="213" t="s">
        <v>147</v>
      </c>
      <c r="J26" s="214">
        <f t="shared" ref="J26:CY26" si="19">J21</f>
        <v>9871672.8361415062</v>
      </c>
      <c r="K26" s="214">
        <f t="shared" si="19"/>
        <v>9934106.2928643357</v>
      </c>
      <c r="L26" s="214">
        <f t="shared" si="19"/>
        <v>9997788.4187216219</v>
      </c>
      <c r="M26" s="214">
        <f t="shared" si="19"/>
        <v>10062744.187096056</v>
      </c>
      <c r="N26" s="214">
        <f t="shared" si="19"/>
        <v>10128999.070837976</v>
      </c>
      <c r="O26" s="214">
        <f t="shared" si="19"/>
        <v>10196579.052254735</v>
      </c>
      <c r="P26" s="214">
        <f t="shared" si="19"/>
        <v>10265510.633299829</v>
      </c>
      <c r="Q26" s="214">
        <f t="shared" si="19"/>
        <v>10335820.845965827</v>
      </c>
      <c r="R26" s="214">
        <f t="shared" si="19"/>
        <v>10407537.262885142</v>
      </c>
      <c r="S26" s="214">
        <f t="shared" si="19"/>
        <v>10480688.008142846</v>
      </c>
      <c r="T26" s="214">
        <f t="shared" si="19"/>
        <v>10555301.768305702</v>
      </c>
      <c r="U26" s="214">
        <f t="shared" si="19"/>
        <v>10631407.803671816</v>
      </c>
      <c r="V26" s="214">
        <f t="shared" si="19"/>
        <v>10709035.959745253</v>
      </c>
      <c r="W26" s="214">
        <f t="shared" si="19"/>
        <v>10788216.678940158</v>
      </c>
      <c r="X26" s="214">
        <f t="shared" si="19"/>
        <v>10868981.012518961</v>
      </c>
      <c r="Y26" s="214">
        <f t="shared" si="19"/>
        <v>10951360.632769341</v>
      </c>
      <c r="Z26" s="214">
        <f t="shared" si="19"/>
        <v>11035387.845424727</v>
      </c>
      <c r="AA26" s="214">
        <f t="shared" si="19"/>
        <v>11121095.602333222</v>
      </c>
      <c r="AB26" s="214">
        <f t="shared" si="19"/>
        <v>11208517.514379885</v>
      </c>
      <c r="AC26" s="214">
        <f t="shared" si="19"/>
        <v>11297687.864667483</v>
      </c>
      <c r="AD26" s="214">
        <f t="shared" si="19"/>
        <v>11388641.621960834</v>
      </c>
      <c r="AE26" s="214">
        <f t="shared" si="19"/>
        <v>11481414.45440005</v>
      </c>
      <c r="AF26" s="214">
        <f t="shared" si="19"/>
        <v>11576042.743488051</v>
      </c>
      <c r="AG26" s="214">
        <f t="shared" si="19"/>
        <v>11672563.598357812</v>
      </c>
      <c r="AH26" s="214">
        <f t="shared" si="19"/>
        <v>146771014.87032497</v>
      </c>
      <c r="AI26" s="214">
        <f t="shared" si="19"/>
        <v>10621435.167731468</v>
      </c>
      <c r="AJ26" s="214">
        <f t="shared" si="19"/>
        <v>10723863.871086098</v>
      </c>
      <c r="AK26" s="214">
        <f t="shared" si="19"/>
        <v>10828341.148507819</v>
      </c>
      <c r="AL26" s="214">
        <f t="shared" si="19"/>
        <v>10934907.971477974</v>
      </c>
      <c r="AM26" s="214">
        <f t="shared" si="19"/>
        <v>11043606.130907536</v>
      </c>
      <c r="AN26" s="214">
        <f t="shared" si="19"/>
        <v>11154478.253525686</v>
      </c>
      <c r="AO26" s="214">
        <f t="shared" si="19"/>
        <v>11267567.818596199</v>
      </c>
      <c r="AP26" s="214">
        <f t="shared" si="19"/>
        <v>11382919.174968123</v>
      </c>
      <c r="AQ26" s="214">
        <f t="shared" si="19"/>
        <v>11500577.558467485</v>
      </c>
      <c r="AR26" s="214">
        <f t="shared" si="19"/>
        <v>11620589.109636836</v>
      </c>
      <c r="AS26" s="214">
        <f t="shared" si="19"/>
        <v>11743000.891829573</v>
      </c>
      <c r="AT26" s="214">
        <f t="shared" si="19"/>
        <v>11867860.909666162</v>
      </c>
      <c r="AU26" s="214">
        <f t="shared" si="19"/>
        <v>11995218.127859484</v>
      </c>
      <c r="AV26" s="214">
        <f t="shared" si="19"/>
        <v>12125122.490416676</v>
      </c>
      <c r="AW26" s="214">
        <f t="shared" si="19"/>
        <v>12257624.940225009</v>
      </c>
      <c r="AX26" s="214">
        <f t="shared" si="19"/>
        <v>12392777.439029511</v>
      </c>
      <c r="AY26" s="214">
        <f t="shared" si="19"/>
        <v>12530632.987810098</v>
      </c>
      <c r="AZ26" s="214">
        <f t="shared" si="19"/>
        <v>12671245.647566302</v>
      </c>
      <c r="BA26" s="214">
        <f t="shared" si="19"/>
        <v>12814670.560517628</v>
      </c>
      <c r="BB26" s="214">
        <f t="shared" si="19"/>
        <v>122960963.97172798</v>
      </c>
      <c r="BC26" s="214">
        <f t="shared" si="19"/>
        <v>7610183.2511625392</v>
      </c>
      <c r="BD26" s="214">
        <f t="shared" si="19"/>
        <v>7762386.9161857916</v>
      </c>
      <c r="BE26" s="214">
        <f t="shared" si="19"/>
        <v>7917634.6545095062</v>
      </c>
      <c r="BF26" s="214">
        <f t="shared" si="19"/>
        <v>8075987.3475996973</v>
      </c>
      <c r="BG26" s="214">
        <f t="shared" si="19"/>
        <v>8237507.094551689</v>
      </c>
      <c r="BH26" s="214">
        <f t="shared" si="19"/>
        <v>8402257.2364427224</v>
      </c>
      <c r="BI26" s="214">
        <f t="shared" si="19"/>
        <v>8570302.3811715767</v>
      </c>
      <c r="BJ26" s="214">
        <f t="shared" si="19"/>
        <v>8741708.4287950099</v>
      </c>
      <c r="BK26" s="214">
        <f t="shared" si="19"/>
        <v>8916542.5973709095</v>
      </c>
      <c r="BL26" s="214">
        <f t="shared" si="19"/>
        <v>9094873.4493183289</v>
      </c>
      <c r="BM26" s="214">
        <f t="shared" si="19"/>
        <v>9276770.9183046948</v>
      </c>
      <c r="BN26" s="214">
        <f t="shared" si="19"/>
        <v>9462306.336670788</v>
      </c>
      <c r="BO26" s="214">
        <f t="shared" si="19"/>
        <v>9651552.4634042028</v>
      </c>
      <c r="BP26" s="214">
        <f t="shared" si="19"/>
        <v>9844583.5126722883</v>
      </c>
      <c r="BQ26" s="214">
        <f t="shared" si="19"/>
        <v>10041475.182925735</v>
      </c>
      <c r="BR26" s="214">
        <f t="shared" si="19"/>
        <v>10242304.686584249</v>
      </c>
      <c r="BS26" s="214">
        <f t="shared" si="19"/>
        <v>10447150.780315934</v>
      </c>
      <c r="BT26" s="214">
        <f t="shared" si="19"/>
        <v>10656093.795922251</v>
      </c>
      <c r="BU26" s="214">
        <f t="shared" si="19"/>
        <v>10869215.671840698</v>
      </c>
      <c r="BV26" s="214">
        <f t="shared" si="19"/>
        <v>11086599.985277513</v>
      </c>
      <c r="BW26" s="214">
        <f t="shared" si="19"/>
        <v>11308331.984983061</v>
      </c>
      <c r="BX26" s="214">
        <f t="shared" si="19"/>
        <v>11534498.624682723</v>
      </c>
      <c r="BY26" s="214">
        <f t="shared" si="19"/>
        <v>11765188.597176377</v>
      </c>
      <c r="BZ26" s="214">
        <f t="shared" si="19"/>
        <v>12000492.369119905</v>
      </c>
      <c r="CA26" s="214">
        <f t="shared" si="19"/>
        <v>12240502.2165023</v>
      </c>
      <c r="CB26" s="214">
        <f t="shared" si="19"/>
        <v>12485312.260832349</v>
      </c>
      <c r="CC26" s="214">
        <f t="shared" si="19"/>
        <v>12735018.506048996</v>
      </c>
      <c r="CD26" s="214">
        <f t="shared" si="19"/>
        <v>12989718.876169976</v>
      </c>
      <c r="CE26" s="214">
        <f t="shared" si="19"/>
        <v>13249513.253693372</v>
      </c>
      <c r="CF26" s="214">
        <f t="shared" si="19"/>
        <v>13514503.518767241</v>
      </c>
      <c r="CG26" s="214">
        <f t="shared" si="19"/>
        <v>13784793.589142587</v>
      </c>
      <c r="CH26" s="214">
        <f t="shared" si="19"/>
        <v>14060489.460925438</v>
      </c>
      <c r="CI26" s="214">
        <f t="shared" si="19"/>
        <v>14341699.250143945</v>
      </c>
      <c r="CJ26" s="214">
        <f t="shared" si="19"/>
        <v>14628533.235146826</v>
      </c>
      <c r="CK26" s="214">
        <f t="shared" si="19"/>
        <v>14921103.899849763</v>
      </c>
      <c r="CL26" s="214">
        <f t="shared" si="19"/>
        <v>15219525.977846758</v>
      </c>
      <c r="CM26" s="214">
        <f t="shared" si="19"/>
        <v>15523916.497403689</v>
      </c>
      <c r="CN26" s="214">
        <f t="shared" si="19"/>
        <v>15834394.827351764</v>
      </c>
      <c r="CO26" s="214">
        <f t="shared" si="19"/>
        <v>16151082.723898802</v>
      </c>
      <c r="CP26" s="214">
        <f t="shared" si="19"/>
        <v>16474104.378376778</v>
      </c>
      <c r="CQ26" s="214">
        <f t="shared" si="19"/>
        <v>16803586.465944309</v>
      </c>
      <c r="CR26" s="214">
        <f t="shared" si="19"/>
        <v>17139658.1952632</v>
      </c>
      <c r="CS26" s="214">
        <f t="shared" si="19"/>
        <v>17482451.359168462</v>
      </c>
      <c r="CT26" s="214">
        <f t="shared" si="19"/>
        <v>17832100.386351831</v>
      </c>
      <c r="CU26" s="214">
        <f t="shared" si="19"/>
        <v>18188742.394078866</v>
      </c>
      <c r="CV26" s="214">
        <f t="shared" si="19"/>
        <v>18552517.241960444</v>
      </c>
      <c r="CW26" s="214">
        <f t="shared" si="19"/>
        <v>18923567.586799655</v>
      </c>
      <c r="CX26" s="214">
        <f t="shared" si="19"/>
        <v>19302038.938535646</v>
      </c>
      <c r="CY26" s="214">
        <f t="shared" si="19"/>
        <v>19688079.717306361</v>
      </c>
      <c r="CZ26" s="219"/>
      <c r="DA26" s="219"/>
      <c r="DB26" s="219"/>
      <c r="DC26" s="219"/>
      <c r="DD26" s="219"/>
      <c r="DE26" s="219"/>
      <c r="DF26" s="219"/>
      <c r="DG26" s="219"/>
      <c r="DH26" s="219"/>
      <c r="DI26" s="219"/>
      <c r="DJ26" s="219"/>
      <c r="DK26" s="219"/>
      <c r="DL26" s="219"/>
      <c r="DM26" s="219"/>
      <c r="DN26" s="219"/>
      <c r="DO26" s="219"/>
      <c r="DP26" s="219"/>
      <c r="DQ26" s="219"/>
      <c r="DR26" s="219"/>
      <c r="DS26" s="219"/>
    </row>
    <row r="27" spans="1:123" ht="15.75" customHeight="1" x14ac:dyDescent="0.2">
      <c r="I27" s="213" t="s">
        <v>148</v>
      </c>
      <c r="J27" s="214">
        <f t="shared" ref="J27:CY27" si="20">J24+J25-J26</f>
        <v>5798301.7063898444</v>
      </c>
      <c r="K27" s="214">
        <f t="shared" si="20"/>
        <v>4621050.4867989775</v>
      </c>
      <c r="L27" s="214">
        <f t="shared" si="20"/>
        <v>3599813.1569727566</v>
      </c>
      <c r="M27" s="214">
        <f t="shared" si="20"/>
        <v>2738829.4619829487</v>
      </c>
      <c r="N27" s="214">
        <f t="shared" si="20"/>
        <v>2042452.1840560194</v>
      </c>
      <c r="O27" s="214">
        <f t="shared" si="20"/>
        <v>1515150.1320060752</v>
      </c>
      <c r="P27" s="214">
        <f t="shared" si="20"/>
        <v>1161511.211477641</v>
      </c>
      <c r="Q27" s="214">
        <f t="shared" si="20"/>
        <v>986245.57851870358</v>
      </c>
      <c r="R27" s="214">
        <f t="shared" si="20"/>
        <v>994188.87912931107</v>
      </c>
      <c r="S27" s="214">
        <f t="shared" si="20"/>
        <v>1190305.5775676556</v>
      </c>
      <c r="T27" s="214">
        <f t="shared" si="20"/>
        <v>1579692.3763450328</v>
      </c>
      <c r="U27" s="214">
        <f t="shared" si="20"/>
        <v>2167581.7310051806</v>
      </c>
      <c r="V27" s="214">
        <f t="shared" si="20"/>
        <v>2959345.4629641511</v>
      </c>
      <c r="W27" s="214">
        <f t="shared" si="20"/>
        <v>3960498.4738859702</v>
      </c>
      <c r="X27" s="214">
        <f t="shared" si="20"/>
        <v>5176702.565289557</v>
      </c>
      <c r="Y27" s="214">
        <f t="shared" si="20"/>
        <v>6613770.3673262689</v>
      </c>
      <c r="Z27" s="214">
        <f t="shared" si="20"/>
        <v>8277669.3809380755</v>
      </c>
      <c r="AA27" s="214">
        <f t="shared" si="20"/>
        <v>10174526.137907494</v>
      </c>
      <c r="AB27" s="214">
        <f t="shared" si="20"/>
        <v>12310501.425577298</v>
      </c>
      <c r="AC27" s="214">
        <f t="shared" si="20"/>
        <v>14624068.213147536</v>
      </c>
      <c r="AD27" s="214">
        <f t="shared" si="20"/>
        <v>17118778.351660535</v>
      </c>
      <c r="AE27" s="214">
        <f t="shared" si="20"/>
        <v>19798254.72960034</v>
      </c>
      <c r="AF27" s="214">
        <f t="shared" si="20"/>
        <v>22666192.693649977</v>
      </c>
      <c r="AG27" s="214">
        <f t="shared" si="20"/>
        <v>25726361.497864045</v>
      </c>
      <c r="AH27" s="214">
        <f t="shared" si="20"/>
        <v>3982605.781824857</v>
      </c>
      <c r="AI27" s="214">
        <f t="shared" si="20"/>
        <v>8688847.0783619843</v>
      </c>
      <c r="AJ27" s="214">
        <f t="shared" si="20"/>
        <v>13599085.351426255</v>
      </c>
      <c r="AK27" s="214">
        <f t="shared" si="20"/>
        <v>18717400.564721506</v>
      </c>
      <c r="AL27" s="214">
        <f t="shared" si="20"/>
        <v>24047954.281709123</v>
      </c>
      <c r="AM27" s="214">
        <f t="shared" si="20"/>
        <v>29594991.297612846</v>
      </c>
      <c r="AN27" s="214">
        <f t="shared" si="20"/>
        <v>35362841.304063886</v>
      </c>
      <c r="AO27" s="214">
        <f t="shared" si="20"/>
        <v>41355920.587039165</v>
      </c>
      <c r="AP27" s="214">
        <f t="shared" si="20"/>
        <v>47578733.758758411</v>
      </c>
      <c r="AQ27" s="214">
        <f t="shared" si="20"/>
        <v>54035875.524219595</v>
      </c>
      <c r="AR27" s="214">
        <f t="shared" si="20"/>
        <v>60732032.483065046</v>
      </c>
      <c r="AS27" s="214">
        <f t="shared" si="20"/>
        <v>67671984.967485338</v>
      </c>
      <c r="AT27" s="214">
        <f t="shared" si="20"/>
        <v>74860608.916881278</v>
      </c>
      <c r="AU27" s="214">
        <f t="shared" si="20"/>
        <v>82302877.790019497</v>
      </c>
      <c r="AV27" s="214">
        <f t="shared" si="20"/>
        <v>90003864.5154313</v>
      </c>
      <c r="AW27" s="214">
        <f t="shared" si="20"/>
        <v>97968743.480819762</v>
      </c>
      <c r="AX27" s="214">
        <f t="shared" si="20"/>
        <v>106202792.56225511</v>
      </c>
      <c r="AY27" s="214">
        <f t="shared" si="20"/>
        <v>114711395.19395447</v>
      </c>
      <c r="AZ27" s="214">
        <f t="shared" si="20"/>
        <v>123500042.47945718</v>
      </c>
      <c r="BA27" s="214">
        <f t="shared" si="20"/>
        <v>132574335.34502409</v>
      </c>
      <c r="BB27" s="214">
        <f t="shared" si="20"/>
        <v>31939986.736104891</v>
      </c>
      <c r="BC27" s="214">
        <f t="shared" si="20"/>
        <v>47102823.857735299</v>
      </c>
      <c r="BD27" s="214">
        <f t="shared" si="20"/>
        <v>62568790.459742226</v>
      </c>
      <c r="BE27" s="214">
        <f t="shared" si="20"/>
        <v>78343949.167653471</v>
      </c>
      <c r="BF27" s="214">
        <f t="shared" si="20"/>
        <v>94434483.860225752</v>
      </c>
      <c r="BG27" s="214">
        <f t="shared" si="20"/>
        <v>110846702.09452373</v>
      </c>
      <c r="BH27" s="214">
        <f t="shared" si="20"/>
        <v>127587037.57950076</v>
      </c>
      <c r="BI27" s="214">
        <f t="shared" si="20"/>
        <v>144662052.69905165</v>
      </c>
      <c r="BJ27" s="214">
        <f t="shared" si="20"/>
        <v>162078441.08552673</v>
      </c>
      <c r="BK27" s="214">
        <f t="shared" si="20"/>
        <v>179843030.24471653</v>
      </c>
      <c r="BL27" s="214">
        <f t="shared" si="20"/>
        <v>197962784.23333642</v>
      </c>
      <c r="BM27" s="214">
        <f t="shared" si="20"/>
        <v>216444806.39006132</v>
      </c>
      <c r="BN27" s="214">
        <f t="shared" si="20"/>
        <v>235296342.12118128</v>
      </c>
      <c r="BO27" s="214">
        <f t="shared" si="20"/>
        <v>254524781.74197084</v>
      </c>
      <c r="BP27" s="214">
        <f t="shared" si="20"/>
        <v>274137663.37488568</v>
      </c>
      <c r="BQ27" s="214">
        <f t="shared" si="20"/>
        <v>294142675.90572381</v>
      </c>
      <c r="BR27" s="214">
        <f t="shared" si="20"/>
        <v>314547661.99891049</v>
      </c>
      <c r="BS27" s="214">
        <f t="shared" si="20"/>
        <v>335360621.17308861</v>
      </c>
      <c r="BT27" s="214">
        <f t="shared" si="20"/>
        <v>356589712.93822193</v>
      </c>
      <c r="BU27" s="214">
        <f t="shared" si="20"/>
        <v>378243259.99544036</v>
      </c>
      <c r="BV27" s="214">
        <f t="shared" si="20"/>
        <v>400329751.50088263</v>
      </c>
      <c r="BW27" s="214">
        <f t="shared" si="20"/>
        <v>422857846.39481616</v>
      </c>
      <c r="BX27" s="214">
        <f t="shared" si="20"/>
        <v>445836376.79733986</v>
      </c>
      <c r="BY27" s="214">
        <f t="shared" si="20"/>
        <v>469274351.47200102</v>
      </c>
      <c r="BZ27" s="214">
        <f t="shared" si="20"/>
        <v>493180959.35868555</v>
      </c>
      <c r="CA27" s="214">
        <f t="shared" si="20"/>
        <v>517565573.17716593</v>
      </c>
      <c r="CB27" s="214">
        <f t="shared" si="20"/>
        <v>542437753.10272062</v>
      </c>
      <c r="CC27" s="214">
        <f t="shared" si="20"/>
        <v>567807250.51526654</v>
      </c>
      <c r="CD27" s="214">
        <f t="shared" si="20"/>
        <v>593684011.82347465</v>
      </c>
      <c r="CE27" s="214">
        <f t="shared" si="20"/>
        <v>620078182.36536765</v>
      </c>
      <c r="CF27" s="214">
        <f t="shared" si="20"/>
        <v>647000110.38693106</v>
      </c>
      <c r="CG27" s="214">
        <f t="shared" si="20"/>
        <v>674460351.10029626</v>
      </c>
      <c r="CH27" s="214">
        <f t="shared" si="20"/>
        <v>702469670.82308805</v>
      </c>
      <c r="CI27" s="214">
        <f t="shared" si="20"/>
        <v>731039051.20055962</v>
      </c>
      <c r="CJ27" s="214">
        <f t="shared" si="20"/>
        <v>760179693.51217031</v>
      </c>
      <c r="CK27" s="214">
        <f t="shared" si="20"/>
        <v>789903023.06429613</v>
      </c>
      <c r="CL27" s="214">
        <f t="shared" si="20"/>
        <v>820220693.67079449</v>
      </c>
      <c r="CM27" s="214">
        <f t="shared" si="20"/>
        <v>851144592.22318065</v>
      </c>
      <c r="CN27" s="214">
        <f t="shared" si="20"/>
        <v>882686843.35220897</v>
      </c>
      <c r="CO27" s="214">
        <f t="shared" si="20"/>
        <v>914859814.18268549</v>
      </c>
      <c r="CP27" s="214">
        <f t="shared" si="20"/>
        <v>947676119.18337798</v>
      </c>
      <c r="CQ27" s="214">
        <f t="shared" si="20"/>
        <v>981148625.11392426</v>
      </c>
      <c r="CR27" s="214">
        <f t="shared" si="20"/>
        <v>1015290456.0706795</v>
      </c>
      <c r="CS27" s="214">
        <f t="shared" si="20"/>
        <v>1050114998.6334813</v>
      </c>
      <c r="CT27" s="214">
        <f t="shared" si="20"/>
        <v>1085635907.11535</v>
      </c>
      <c r="CU27" s="214">
        <f t="shared" si="20"/>
        <v>1121867108.9171846</v>
      </c>
      <c r="CV27" s="214">
        <f t="shared" si="20"/>
        <v>1158822809.9895525</v>
      </c>
      <c r="CW27" s="214">
        <f t="shared" si="20"/>
        <v>1196517500.4037156</v>
      </c>
      <c r="CX27" s="214">
        <f t="shared" si="20"/>
        <v>1234965960.0340781</v>
      </c>
      <c r="CY27" s="214">
        <f t="shared" si="20"/>
        <v>1274183264.3542836</v>
      </c>
      <c r="CZ27" s="219"/>
      <c r="DA27" s="219"/>
      <c r="DB27" s="219"/>
      <c r="DC27" s="219"/>
      <c r="DD27" s="219"/>
      <c r="DE27" s="219"/>
      <c r="DF27" s="219"/>
      <c r="DG27" s="219"/>
      <c r="DH27" s="219"/>
      <c r="DI27" s="219"/>
      <c r="DJ27" s="219"/>
      <c r="DK27" s="219"/>
      <c r="DL27" s="219"/>
      <c r="DM27" s="219"/>
      <c r="DN27" s="219"/>
      <c r="DO27" s="219"/>
      <c r="DP27" s="219"/>
      <c r="DQ27" s="219"/>
      <c r="DR27" s="219"/>
      <c r="DS27" s="219"/>
    </row>
    <row r="28" spans="1:123" ht="15.75" customHeight="1" x14ac:dyDescent="0.2">
      <c r="H28" s="4"/>
      <c r="I28" s="218" t="s">
        <v>149</v>
      </c>
      <c r="J28" s="218"/>
      <c r="K28" s="218"/>
      <c r="L28" s="218"/>
      <c r="M28" s="218"/>
      <c r="N28" s="218"/>
      <c r="O28" s="218"/>
      <c r="P28" s="218"/>
      <c r="Q28" s="218"/>
      <c r="R28" s="218"/>
      <c r="S28" s="218"/>
      <c r="T28" s="218"/>
      <c r="U28" s="218"/>
      <c r="V28" s="218"/>
      <c r="W28" s="218"/>
      <c r="X28" s="218"/>
      <c r="Y28" s="218"/>
      <c r="Z28" s="218"/>
      <c r="AA28" s="218"/>
      <c r="AB28" s="218"/>
      <c r="AC28" s="218"/>
      <c r="AD28" s="218"/>
      <c r="AE28" s="218"/>
      <c r="AF28" s="218"/>
      <c r="AG28" s="218"/>
      <c r="AH28" s="218"/>
      <c r="AI28" s="218"/>
      <c r="AJ28" s="218"/>
      <c r="AK28" s="218"/>
      <c r="AL28" s="218"/>
      <c r="AM28" s="218"/>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c r="BQ28" s="218"/>
      <c r="BR28" s="218"/>
      <c r="BS28" s="218"/>
      <c r="BT28" s="218"/>
      <c r="BU28" s="218"/>
      <c r="BV28" s="218"/>
      <c r="BW28" s="218"/>
      <c r="BX28" s="218"/>
      <c r="BY28" s="218"/>
      <c r="BZ28" s="218"/>
      <c r="CA28" s="218"/>
      <c r="CB28" s="218"/>
      <c r="CC28" s="218"/>
      <c r="CD28" s="218"/>
      <c r="CE28" s="218"/>
      <c r="CF28" s="218"/>
      <c r="CG28" s="218"/>
      <c r="CH28" s="218"/>
      <c r="CI28" s="218"/>
      <c r="CJ28" s="218"/>
      <c r="CK28" s="218"/>
      <c r="CL28" s="218"/>
      <c r="CM28" s="218"/>
      <c r="CN28" s="218"/>
      <c r="CO28" s="218"/>
      <c r="CP28" s="218"/>
      <c r="CQ28" s="218"/>
      <c r="CR28" s="218"/>
      <c r="CS28" s="218"/>
      <c r="CT28" s="218"/>
      <c r="CU28" s="218"/>
      <c r="CV28" s="218"/>
      <c r="CW28" s="218"/>
      <c r="CX28" s="218"/>
      <c r="CY28" s="218"/>
      <c r="CZ28" s="218"/>
      <c r="DA28" s="218"/>
      <c r="DB28" s="218"/>
      <c r="DC28" s="218"/>
      <c r="DD28" s="218"/>
      <c r="DE28" s="218"/>
      <c r="DF28" s="218"/>
      <c r="DG28" s="218"/>
      <c r="DH28" s="218"/>
      <c r="DI28" s="218"/>
      <c r="DJ28" s="218"/>
      <c r="DK28" s="218"/>
      <c r="DL28" s="218"/>
      <c r="DM28" s="218"/>
      <c r="DN28" s="218"/>
      <c r="DO28" s="218"/>
      <c r="DP28" s="218"/>
      <c r="DQ28" s="218"/>
      <c r="DR28" s="218"/>
      <c r="DS28" s="218"/>
    </row>
    <row r="29" spans="1:123" ht="15.75" customHeight="1" x14ac:dyDescent="0.2">
      <c r="A29" s="4"/>
      <c r="B29" s="4"/>
      <c r="C29" s="4"/>
      <c r="D29" s="4"/>
      <c r="E29" s="4"/>
      <c r="F29" s="4"/>
      <c r="G29" s="4"/>
      <c r="H29" s="4"/>
      <c r="I29" s="213" t="s">
        <v>150</v>
      </c>
      <c r="J29" s="214">
        <f t="shared" ref="J29:CY29" si="21">J50</f>
        <v>8542537.3457316849</v>
      </c>
      <c r="K29" s="214">
        <f t="shared" si="21"/>
        <v>8756855.0732734688</v>
      </c>
      <c r="L29" s="214">
        <f t="shared" si="21"/>
        <v>8976551.088895401</v>
      </c>
      <c r="M29" s="214">
        <f t="shared" si="21"/>
        <v>9201760.4921062477</v>
      </c>
      <c r="N29" s="214">
        <f t="shared" si="21"/>
        <v>9432621.7929110471</v>
      </c>
      <c r="O29" s="214">
        <f t="shared" si="21"/>
        <v>9669277.0002047904</v>
      </c>
      <c r="P29" s="214">
        <f t="shared" si="21"/>
        <v>9911871.7127713952</v>
      </c>
      <c r="Q29" s="214">
        <f t="shared" si="21"/>
        <v>10160555.213006889</v>
      </c>
      <c r="R29" s="214">
        <f t="shared" si="21"/>
        <v>10415480.56349575</v>
      </c>
      <c r="S29" s="214">
        <f t="shared" si="21"/>
        <v>10676804.70658119</v>
      </c>
      <c r="T29" s="214">
        <f t="shared" si="21"/>
        <v>10944688.567083079</v>
      </c>
      <c r="U29" s="214">
        <f t="shared" si="21"/>
        <v>11219297.158331964</v>
      </c>
      <c r="V29" s="214">
        <f t="shared" si="21"/>
        <v>11500799.691704223</v>
      </c>
      <c r="W29" s="214">
        <f t="shared" si="21"/>
        <v>11789369.689861977</v>
      </c>
      <c r="X29" s="214">
        <f t="shared" si="21"/>
        <v>12085185.103922548</v>
      </c>
      <c r="Y29" s="214">
        <f t="shared" si="21"/>
        <v>12388428.434806053</v>
      </c>
      <c r="Z29" s="214">
        <f t="shared" si="21"/>
        <v>12699286.859036535</v>
      </c>
      <c r="AA29" s="214">
        <f t="shared" si="21"/>
        <v>13017952.35930264</v>
      </c>
      <c r="AB29" s="214">
        <f t="shared" si="21"/>
        <v>13344492.802049689</v>
      </c>
      <c r="AC29" s="214">
        <f t="shared" si="21"/>
        <v>13611254.652237723</v>
      </c>
      <c r="AD29" s="214">
        <f t="shared" si="21"/>
        <v>13883351.760473831</v>
      </c>
      <c r="AE29" s="214">
        <f t="shared" si="21"/>
        <v>14160890.832339857</v>
      </c>
      <c r="AF29" s="214">
        <f t="shared" si="21"/>
        <v>14443980.707537688</v>
      </c>
      <c r="AG29" s="214">
        <f t="shared" si="21"/>
        <v>14732732.402571879</v>
      </c>
      <c r="AH29" s="214">
        <f t="shared" si="21"/>
        <v>15027259.154285789</v>
      </c>
      <c r="AI29" s="214">
        <f t="shared" si="21"/>
        <v>15327676.464268595</v>
      </c>
      <c r="AJ29" s="214">
        <f t="shared" si="21"/>
        <v>15634102.144150369</v>
      </c>
      <c r="AK29" s="214">
        <f t="shared" si="21"/>
        <v>15946656.36180307</v>
      </c>
      <c r="AL29" s="214">
        <f t="shared" si="21"/>
        <v>16265461.68846559</v>
      </c>
      <c r="AM29" s="214">
        <f t="shared" si="21"/>
        <v>16590643.146811256</v>
      </c>
      <c r="AN29" s="214">
        <f t="shared" si="21"/>
        <v>16922328.259976733</v>
      </c>
      <c r="AO29" s="214">
        <f t="shared" si="21"/>
        <v>17260647.101571478</v>
      </c>
      <c r="AP29" s="214">
        <f t="shared" si="21"/>
        <v>17605732.346687373</v>
      </c>
      <c r="AQ29" s="214">
        <f t="shared" si="21"/>
        <v>17957719.323928665</v>
      </c>
      <c r="AR29" s="214">
        <f t="shared" si="21"/>
        <v>18316746.068482291</v>
      </c>
      <c r="AS29" s="214">
        <f t="shared" si="21"/>
        <v>18682953.376249857</v>
      </c>
      <c r="AT29" s="214">
        <f t="shared" si="21"/>
        <v>19056484.859062102</v>
      </c>
      <c r="AU29" s="214">
        <f t="shared" si="21"/>
        <v>19437487.000997711</v>
      </c>
      <c r="AV29" s="214">
        <f t="shared" si="21"/>
        <v>19826109.215828482</v>
      </c>
      <c r="AW29" s="214">
        <f t="shared" si="21"/>
        <v>20222503.90561346</v>
      </c>
      <c r="AX29" s="214">
        <f t="shared" si="21"/>
        <v>20626826.520464867</v>
      </c>
      <c r="AY29" s="214">
        <f t="shared" si="21"/>
        <v>21039235.619509459</v>
      </c>
      <c r="AZ29" s="214">
        <f t="shared" si="21"/>
        <v>21459892.933069013</v>
      </c>
      <c r="BA29" s="214">
        <f t="shared" si="21"/>
        <v>21888963.426084518</v>
      </c>
      <c r="BB29" s="214">
        <f t="shared" si="21"/>
        <v>22326615.362808775</v>
      </c>
      <c r="BC29" s="214">
        <f t="shared" si="21"/>
        <v>22773020.372792944</v>
      </c>
      <c r="BD29" s="214">
        <f t="shared" si="21"/>
        <v>23228353.51819272</v>
      </c>
      <c r="BE29" s="214">
        <f t="shared" si="21"/>
        <v>23692793.362420745</v>
      </c>
      <c r="BF29" s="214">
        <f t="shared" si="21"/>
        <v>24166522.040171973</v>
      </c>
      <c r="BG29" s="214">
        <f t="shared" si="21"/>
        <v>24649725.328849658</v>
      </c>
      <c r="BH29" s="214">
        <f t="shared" si="21"/>
        <v>25142592.721419752</v>
      </c>
      <c r="BI29" s="214">
        <f t="shared" si="21"/>
        <v>25645317.500722472</v>
      </c>
      <c r="BJ29" s="214">
        <f t="shared" si="21"/>
        <v>26158096.8152701</v>
      </c>
      <c r="BK29" s="214">
        <f t="shared" si="21"/>
        <v>26681131.756560728</v>
      </c>
      <c r="BL29" s="214">
        <f t="shared" si="21"/>
        <v>27214627.437938228</v>
      </c>
      <c r="BM29" s="214">
        <f t="shared" si="21"/>
        <v>27758793.075029571</v>
      </c>
      <c r="BN29" s="214">
        <f t="shared" si="21"/>
        <v>28313842.067790754</v>
      </c>
      <c r="BO29" s="214">
        <f t="shared" si="21"/>
        <v>28879992.084193755</v>
      </c>
      <c r="BP29" s="214">
        <f t="shared" si="21"/>
        <v>29457465.145587131</v>
      </c>
      <c r="BQ29" s="214">
        <f t="shared" si="21"/>
        <v>30046487.713763919</v>
      </c>
      <c r="BR29" s="214">
        <f t="shared" si="21"/>
        <v>30647290.779770926</v>
      </c>
      <c r="BS29" s="214">
        <f t="shared" si="21"/>
        <v>31260109.954494059</v>
      </c>
      <c r="BT29" s="214">
        <f t="shared" si="21"/>
        <v>31885185.561055597</v>
      </c>
      <c r="BU29" s="214">
        <f t="shared" si="21"/>
        <v>32522762.72905916</v>
      </c>
      <c r="BV29" s="214">
        <f t="shared" si="21"/>
        <v>33173091.490719803</v>
      </c>
      <c r="BW29" s="214">
        <f t="shared" si="21"/>
        <v>33836426.878916621</v>
      </c>
      <c r="BX29" s="214">
        <f t="shared" si="21"/>
        <v>34513029.027206391</v>
      </c>
      <c r="BY29" s="214">
        <f t="shared" si="21"/>
        <v>35203163.271837555</v>
      </c>
      <c r="BZ29" s="214">
        <f t="shared" si="21"/>
        <v>35907100.255804442</v>
      </c>
      <c r="CA29" s="214">
        <f t="shared" si="21"/>
        <v>36625116.034982666</v>
      </c>
      <c r="CB29" s="214">
        <f t="shared" si="21"/>
        <v>37357492.18638704</v>
      </c>
      <c r="CC29" s="214">
        <f t="shared" si="21"/>
        <v>38104515.918594979</v>
      </c>
      <c r="CD29" s="214">
        <f t="shared" si="21"/>
        <v>38866480.184378028</v>
      </c>
      <c r="CE29" s="214">
        <f t="shared" si="21"/>
        <v>39643683.795586355</v>
      </c>
      <c r="CF29" s="214">
        <f t="shared" si="21"/>
        <v>40436431.540330619</v>
      </c>
      <c r="CG29" s="214">
        <f t="shared" si="21"/>
        <v>41245034.30250778</v>
      </c>
      <c r="CH29" s="214">
        <f t="shared" si="21"/>
        <v>42069809.183717281</v>
      </c>
      <c r="CI29" s="214">
        <f t="shared" si="21"/>
        <v>42911079.627615511</v>
      </c>
      <c r="CJ29" s="214">
        <f t="shared" si="21"/>
        <v>43769175.546757564</v>
      </c>
      <c r="CK29" s="214">
        <f t="shared" si="21"/>
        <v>44644433.451975621</v>
      </c>
      <c r="CL29" s="214">
        <f t="shared" si="21"/>
        <v>45537196.58434505</v>
      </c>
      <c r="CM29" s="214">
        <f t="shared" si="21"/>
        <v>46447815.049789846</v>
      </c>
      <c r="CN29" s="214">
        <f t="shared" si="21"/>
        <v>47376645.956380077</v>
      </c>
      <c r="CO29" s="214">
        <f t="shared" si="21"/>
        <v>48324053.55437535</v>
      </c>
      <c r="CP29" s="214">
        <f t="shared" si="21"/>
        <v>49290409.379069254</v>
      </c>
      <c r="CQ29" s="214">
        <f t="shared" si="21"/>
        <v>50276092.396490544</v>
      </c>
      <c r="CR29" s="214">
        <f t="shared" si="21"/>
        <v>51281489.152018413</v>
      </c>
      <c r="CS29" s="214">
        <f t="shared" si="21"/>
        <v>52306993.921970181</v>
      </c>
      <c r="CT29" s="214">
        <f t="shared" si="21"/>
        <v>53353008.86822056</v>
      </c>
      <c r="CU29" s="214">
        <f t="shared" si="21"/>
        <v>54419944.195913546</v>
      </c>
      <c r="CV29" s="214">
        <f t="shared" si="21"/>
        <v>55508218.314328328</v>
      </c>
      <c r="CW29" s="214">
        <f t="shared" si="21"/>
        <v>56618258.000962704</v>
      </c>
      <c r="CX29" s="214">
        <f t="shared" si="21"/>
        <v>57750498.568898119</v>
      </c>
      <c r="CY29" s="214">
        <f t="shared" si="21"/>
        <v>58905384.0375119</v>
      </c>
      <c r="CZ29" s="4"/>
      <c r="DA29" s="4"/>
      <c r="DB29" s="4"/>
      <c r="DC29" s="4"/>
      <c r="DD29" s="4"/>
      <c r="DE29" s="4"/>
      <c r="DF29" s="4"/>
      <c r="DG29" s="4"/>
      <c r="DH29" s="4"/>
      <c r="DI29" s="4"/>
      <c r="DJ29" s="4"/>
      <c r="DK29" s="4"/>
      <c r="DL29" s="4"/>
      <c r="DM29" s="4"/>
      <c r="DN29" s="4"/>
      <c r="DO29" s="4"/>
      <c r="DP29" s="4"/>
      <c r="DQ29" s="4"/>
      <c r="DR29" s="4"/>
      <c r="DS29" s="4"/>
    </row>
    <row r="30" spans="1:123" ht="15.75" customHeight="1" x14ac:dyDescent="0.2">
      <c r="A30" s="4"/>
      <c r="B30" s="4"/>
      <c r="C30" s="4"/>
      <c r="D30" s="4"/>
      <c r="E30" s="4"/>
      <c r="F30" s="4"/>
      <c r="G30" s="4"/>
      <c r="H30" s="4"/>
      <c r="I30" s="213" t="s">
        <v>92</v>
      </c>
      <c r="J30" s="214">
        <f t="shared" ref="J30:CY30" si="22">J21</f>
        <v>9871672.8361415062</v>
      </c>
      <c r="K30" s="214">
        <f t="shared" si="22"/>
        <v>9934106.2928643357</v>
      </c>
      <c r="L30" s="214">
        <f t="shared" si="22"/>
        <v>9997788.4187216219</v>
      </c>
      <c r="M30" s="214">
        <f t="shared" si="22"/>
        <v>10062744.187096056</v>
      </c>
      <c r="N30" s="214">
        <f t="shared" si="22"/>
        <v>10128999.070837976</v>
      </c>
      <c r="O30" s="214">
        <f t="shared" si="22"/>
        <v>10196579.052254735</v>
      </c>
      <c r="P30" s="214">
        <f t="shared" si="22"/>
        <v>10265510.633299829</v>
      </c>
      <c r="Q30" s="214">
        <f t="shared" si="22"/>
        <v>10335820.845965827</v>
      </c>
      <c r="R30" s="214">
        <f t="shared" si="22"/>
        <v>10407537.262885142</v>
      </c>
      <c r="S30" s="214">
        <f t="shared" si="22"/>
        <v>10480688.008142846</v>
      </c>
      <c r="T30" s="214">
        <f t="shared" si="22"/>
        <v>10555301.768305702</v>
      </c>
      <c r="U30" s="214">
        <f t="shared" si="22"/>
        <v>10631407.803671816</v>
      </c>
      <c r="V30" s="214">
        <f t="shared" si="22"/>
        <v>10709035.959745253</v>
      </c>
      <c r="W30" s="214">
        <f t="shared" si="22"/>
        <v>10788216.678940158</v>
      </c>
      <c r="X30" s="214">
        <f t="shared" si="22"/>
        <v>10868981.012518961</v>
      </c>
      <c r="Y30" s="214">
        <f t="shared" si="22"/>
        <v>10951360.632769341</v>
      </c>
      <c r="Z30" s="214">
        <f t="shared" si="22"/>
        <v>11035387.845424727</v>
      </c>
      <c r="AA30" s="214">
        <f t="shared" si="22"/>
        <v>11121095.602333222</v>
      </c>
      <c r="AB30" s="214">
        <f t="shared" si="22"/>
        <v>11208517.514379885</v>
      </c>
      <c r="AC30" s="214">
        <f t="shared" si="22"/>
        <v>11297687.864667483</v>
      </c>
      <c r="AD30" s="214">
        <f t="shared" si="22"/>
        <v>11388641.621960834</v>
      </c>
      <c r="AE30" s="214">
        <f t="shared" si="22"/>
        <v>11481414.45440005</v>
      </c>
      <c r="AF30" s="214">
        <f t="shared" si="22"/>
        <v>11576042.743488051</v>
      </c>
      <c r="AG30" s="214">
        <f t="shared" si="22"/>
        <v>11672563.598357812</v>
      </c>
      <c r="AH30" s="214">
        <f t="shared" si="22"/>
        <v>146771014.87032497</v>
      </c>
      <c r="AI30" s="214">
        <f t="shared" si="22"/>
        <v>10621435.167731468</v>
      </c>
      <c r="AJ30" s="214">
        <f t="shared" si="22"/>
        <v>10723863.871086098</v>
      </c>
      <c r="AK30" s="214">
        <f t="shared" si="22"/>
        <v>10828341.148507819</v>
      </c>
      <c r="AL30" s="214">
        <f t="shared" si="22"/>
        <v>10934907.971477974</v>
      </c>
      <c r="AM30" s="214">
        <f t="shared" si="22"/>
        <v>11043606.130907536</v>
      </c>
      <c r="AN30" s="214">
        <f t="shared" si="22"/>
        <v>11154478.253525686</v>
      </c>
      <c r="AO30" s="214">
        <f t="shared" si="22"/>
        <v>11267567.818596199</v>
      </c>
      <c r="AP30" s="214">
        <f t="shared" si="22"/>
        <v>11382919.174968123</v>
      </c>
      <c r="AQ30" s="214">
        <f t="shared" si="22"/>
        <v>11500577.558467485</v>
      </c>
      <c r="AR30" s="214">
        <f t="shared" si="22"/>
        <v>11620589.109636836</v>
      </c>
      <c r="AS30" s="214">
        <f t="shared" si="22"/>
        <v>11743000.891829573</v>
      </c>
      <c r="AT30" s="214">
        <f t="shared" si="22"/>
        <v>11867860.909666162</v>
      </c>
      <c r="AU30" s="214">
        <f t="shared" si="22"/>
        <v>11995218.127859484</v>
      </c>
      <c r="AV30" s="214">
        <f t="shared" si="22"/>
        <v>12125122.490416676</v>
      </c>
      <c r="AW30" s="214">
        <f t="shared" si="22"/>
        <v>12257624.940225009</v>
      </c>
      <c r="AX30" s="214">
        <f t="shared" si="22"/>
        <v>12392777.439029511</v>
      </c>
      <c r="AY30" s="214">
        <f t="shared" si="22"/>
        <v>12530632.987810098</v>
      </c>
      <c r="AZ30" s="214">
        <f t="shared" si="22"/>
        <v>12671245.647566302</v>
      </c>
      <c r="BA30" s="214">
        <f t="shared" si="22"/>
        <v>12814670.560517628</v>
      </c>
      <c r="BB30" s="214">
        <f t="shared" si="22"/>
        <v>122960963.97172798</v>
      </c>
      <c r="BC30" s="214">
        <f t="shared" si="22"/>
        <v>7610183.2511625392</v>
      </c>
      <c r="BD30" s="214">
        <f t="shared" si="22"/>
        <v>7762386.9161857916</v>
      </c>
      <c r="BE30" s="214">
        <f t="shared" si="22"/>
        <v>7917634.6545095062</v>
      </c>
      <c r="BF30" s="214">
        <f t="shared" si="22"/>
        <v>8075987.3475996973</v>
      </c>
      <c r="BG30" s="214">
        <f t="shared" si="22"/>
        <v>8237507.094551689</v>
      </c>
      <c r="BH30" s="214">
        <f t="shared" si="22"/>
        <v>8402257.2364427224</v>
      </c>
      <c r="BI30" s="214">
        <f t="shared" si="22"/>
        <v>8570302.3811715767</v>
      </c>
      <c r="BJ30" s="214">
        <f t="shared" si="22"/>
        <v>8741708.4287950099</v>
      </c>
      <c r="BK30" s="214">
        <f t="shared" si="22"/>
        <v>8916542.5973709095</v>
      </c>
      <c r="BL30" s="214">
        <f t="shared" si="22"/>
        <v>9094873.4493183289</v>
      </c>
      <c r="BM30" s="214">
        <f t="shared" si="22"/>
        <v>9276770.9183046948</v>
      </c>
      <c r="BN30" s="214">
        <f t="shared" si="22"/>
        <v>9462306.336670788</v>
      </c>
      <c r="BO30" s="214">
        <f t="shared" si="22"/>
        <v>9651552.4634042028</v>
      </c>
      <c r="BP30" s="214">
        <f t="shared" si="22"/>
        <v>9844583.5126722883</v>
      </c>
      <c r="BQ30" s="214">
        <f t="shared" si="22"/>
        <v>10041475.182925735</v>
      </c>
      <c r="BR30" s="214">
        <f t="shared" si="22"/>
        <v>10242304.686584249</v>
      </c>
      <c r="BS30" s="214">
        <f t="shared" si="22"/>
        <v>10447150.780315934</v>
      </c>
      <c r="BT30" s="214">
        <f t="shared" si="22"/>
        <v>10656093.795922251</v>
      </c>
      <c r="BU30" s="214">
        <f t="shared" si="22"/>
        <v>10869215.671840698</v>
      </c>
      <c r="BV30" s="214">
        <f t="shared" si="22"/>
        <v>11086599.985277513</v>
      </c>
      <c r="BW30" s="214">
        <f t="shared" si="22"/>
        <v>11308331.984983061</v>
      </c>
      <c r="BX30" s="214">
        <f t="shared" si="22"/>
        <v>11534498.624682723</v>
      </c>
      <c r="BY30" s="214">
        <f t="shared" si="22"/>
        <v>11765188.597176377</v>
      </c>
      <c r="BZ30" s="214">
        <f t="shared" si="22"/>
        <v>12000492.369119905</v>
      </c>
      <c r="CA30" s="214">
        <f t="shared" si="22"/>
        <v>12240502.2165023</v>
      </c>
      <c r="CB30" s="214">
        <f t="shared" si="22"/>
        <v>12485312.260832349</v>
      </c>
      <c r="CC30" s="214">
        <f t="shared" si="22"/>
        <v>12735018.506048996</v>
      </c>
      <c r="CD30" s="214">
        <f t="shared" si="22"/>
        <v>12989718.876169976</v>
      </c>
      <c r="CE30" s="214">
        <f t="shared" si="22"/>
        <v>13249513.253693372</v>
      </c>
      <c r="CF30" s="214">
        <f t="shared" si="22"/>
        <v>13514503.518767241</v>
      </c>
      <c r="CG30" s="214">
        <f t="shared" si="22"/>
        <v>13784793.589142587</v>
      </c>
      <c r="CH30" s="214">
        <f t="shared" si="22"/>
        <v>14060489.460925438</v>
      </c>
      <c r="CI30" s="214">
        <f t="shared" si="22"/>
        <v>14341699.250143945</v>
      </c>
      <c r="CJ30" s="214">
        <f t="shared" si="22"/>
        <v>14628533.235146826</v>
      </c>
      <c r="CK30" s="214">
        <f t="shared" si="22"/>
        <v>14921103.899849763</v>
      </c>
      <c r="CL30" s="214">
        <f t="shared" si="22"/>
        <v>15219525.977846758</v>
      </c>
      <c r="CM30" s="214">
        <f t="shared" si="22"/>
        <v>15523916.497403689</v>
      </c>
      <c r="CN30" s="214">
        <f t="shared" si="22"/>
        <v>15834394.827351764</v>
      </c>
      <c r="CO30" s="214">
        <f t="shared" si="22"/>
        <v>16151082.723898802</v>
      </c>
      <c r="CP30" s="214">
        <f t="shared" si="22"/>
        <v>16474104.378376778</v>
      </c>
      <c r="CQ30" s="214">
        <f t="shared" si="22"/>
        <v>16803586.465944309</v>
      </c>
      <c r="CR30" s="214">
        <f t="shared" si="22"/>
        <v>17139658.1952632</v>
      </c>
      <c r="CS30" s="214">
        <f t="shared" si="22"/>
        <v>17482451.359168462</v>
      </c>
      <c r="CT30" s="214">
        <f t="shared" si="22"/>
        <v>17832100.386351831</v>
      </c>
      <c r="CU30" s="214">
        <f t="shared" si="22"/>
        <v>18188742.394078866</v>
      </c>
      <c r="CV30" s="214">
        <f t="shared" si="22"/>
        <v>18552517.241960444</v>
      </c>
      <c r="CW30" s="214">
        <f t="shared" si="22"/>
        <v>18923567.586799655</v>
      </c>
      <c r="CX30" s="214">
        <f t="shared" si="22"/>
        <v>19302038.938535646</v>
      </c>
      <c r="CY30" s="214">
        <f t="shared" si="22"/>
        <v>19688079.717306361</v>
      </c>
      <c r="CZ30" s="4"/>
      <c r="DA30" s="4"/>
      <c r="DB30" s="4"/>
      <c r="DC30" s="4"/>
      <c r="DD30" s="4"/>
      <c r="DE30" s="4"/>
      <c r="DF30" s="4"/>
      <c r="DG30" s="4"/>
      <c r="DH30" s="4"/>
      <c r="DI30" s="4"/>
      <c r="DJ30" s="4"/>
      <c r="DK30" s="4"/>
      <c r="DL30" s="4"/>
      <c r="DM30" s="4"/>
      <c r="DN30" s="4"/>
      <c r="DO30" s="4"/>
      <c r="DP30" s="4"/>
      <c r="DQ30" s="4"/>
      <c r="DR30" s="4"/>
      <c r="DS30" s="4"/>
    </row>
    <row r="31" spans="1:123" ht="15.75" customHeight="1" x14ac:dyDescent="0.2">
      <c r="A31" s="4"/>
      <c r="B31" s="4"/>
      <c r="C31" s="4"/>
      <c r="D31" s="4"/>
      <c r="E31" s="4"/>
      <c r="F31" s="4"/>
      <c r="G31" s="4"/>
      <c r="H31" s="4"/>
      <c r="I31" s="213" t="s">
        <v>149</v>
      </c>
      <c r="J31" s="214">
        <f>J29-J30</f>
        <v>-1329135.4904098213</v>
      </c>
      <c r="K31" s="214">
        <f t="shared" ref="K31:CY31" si="23">K50-K21</f>
        <v>-1177251.2195908669</v>
      </c>
      <c r="L31" s="214">
        <f t="shared" si="23"/>
        <v>-1021237.3298262209</v>
      </c>
      <c r="M31" s="214">
        <f t="shared" si="23"/>
        <v>-860983.6949898079</v>
      </c>
      <c r="N31" s="214">
        <f t="shared" si="23"/>
        <v>-696377.2779269293</v>
      </c>
      <c r="O31" s="214">
        <f t="shared" si="23"/>
        <v>-527302.05204994418</v>
      </c>
      <c r="P31" s="214">
        <f t="shared" si="23"/>
        <v>-353638.92052843422</v>
      </c>
      <c r="Q31" s="214">
        <f t="shared" si="23"/>
        <v>-175265.63295893744</v>
      </c>
      <c r="R31" s="214">
        <f t="shared" si="23"/>
        <v>7943.3006106074899</v>
      </c>
      <c r="S31" s="214">
        <f t="shared" si="23"/>
        <v>196116.69843834452</v>
      </c>
      <c r="T31" s="214">
        <f t="shared" si="23"/>
        <v>389386.79877737723</v>
      </c>
      <c r="U31" s="214">
        <f t="shared" si="23"/>
        <v>587889.3546601478</v>
      </c>
      <c r="V31" s="214">
        <f t="shared" si="23"/>
        <v>791763.73195897043</v>
      </c>
      <c r="W31" s="214">
        <f t="shared" si="23"/>
        <v>1001153.0109218191</v>
      </c>
      <c r="X31" s="214">
        <f t="shared" si="23"/>
        <v>1216204.0914035868</v>
      </c>
      <c r="Y31" s="214">
        <f t="shared" si="23"/>
        <v>1437067.8020367119</v>
      </c>
      <c r="Z31" s="214">
        <f t="shared" si="23"/>
        <v>1663899.0136118084</v>
      </c>
      <c r="AA31" s="214">
        <f t="shared" si="23"/>
        <v>1896856.7569694184</v>
      </c>
      <c r="AB31" s="214">
        <f t="shared" si="23"/>
        <v>2135975.2876698039</v>
      </c>
      <c r="AC31" s="214">
        <f t="shared" si="23"/>
        <v>2313566.78757024</v>
      </c>
      <c r="AD31" s="214">
        <f t="shared" si="23"/>
        <v>2494710.138512997</v>
      </c>
      <c r="AE31" s="214">
        <f t="shared" si="23"/>
        <v>2679476.3779398073</v>
      </c>
      <c r="AF31" s="214">
        <f t="shared" si="23"/>
        <v>2867937.9640496373</v>
      </c>
      <c r="AG31" s="214">
        <f t="shared" si="23"/>
        <v>3060168.8042140678</v>
      </c>
      <c r="AH31" s="214">
        <f t="shared" si="23"/>
        <v>-131743755.71603918</v>
      </c>
      <c r="AI31" s="214">
        <f t="shared" si="23"/>
        <v>4706241.2965371273</v>
      </c>
      <c r="AJ31" s="214">
        <f t="shared" si="23"/>
        <v>4910238.2730642706</v>
      </c>
      <c r="AK31" s="214">
        <f t="shared" si="23"/>
        <v>5118315.2132952511</v>
      </c>
      <c r="AL31" s="214">
        <f t="shared" si="23"/>
        <v>5330553.7169876155</v>
      </c>
      <c r="AM31" s="214">
        <f t="shared" si="23"/>
        <v>5547037.0159037206</v>
      </c>
      <c r="AN31" s="214">
        <f t="shared" si="23"/>
        <v>5767850.006451048</v>
      </c>
      <c r="AO31" s="214">
        <f t="shared" si="23"/>
        <v>5993079.2829752788</v>
      </c>
      <c r="AP31" s="214">
        <f t="shared" si="23"/>
        <v>6222813.1717192493</v>
      </c>
      <c r="AQ31" s="214">
        <f t="shared" si="23"/>
        <v>6457141.7654611804</v>
      </c>
      <c r="AR31" s="214">
        <f t="shared" si="23"/>
        <v>6696156.9588454552</v>
      </c>
      <c r="AS31" s="214">
        <f t="shared" si="23"/>
        <v>6939952.4844202846</v>
      </c>
      <c r="AT31" s="214">
        <f t="shared" si="23"/>
        <v>7188623.9493959397</v>
      </c>
      <c r="AU31" s="214">
        <f t="shared" si="23"/>
        <v>7442268.8731382266</v>
      </c>
      <c r="AV31" s="214">
        <f t="shared" si="23"/>
        <v>7700986.7254118063</v>
      </c>
      <c r="AW31" s="214">
        <f t="shared" si="23"/>
        <v>7964878.9653884508</v>
      </c>
      <c r="AX31" s="214">
        <f t="shared" si="23"/>
        <v>8234049.0814353563</v>
      </c>
      <c r="AY31" s="214">
        <f t="shared" si="23"/>
        <v>8508602.6316993609</v>
      </c>
      <c r="AZ31" s="214">
        <f t="shared" si="23"/>
        <v>8788647.2855027113</v>
      </c>
      <c r="BA31" s="214">
        <f t="shared" si="23"/>
        <v>9074292.8655668907</v>
      </c>
      <c r="BB31" s="214">
        <f t="shared" si="23"/>
        <v>-100634348.6089192</v>
      </c>
      <c r="BC31" s="214">
        <f t="shared" si="23"/>
        <v>15162837.121630404</v>
      </c>
      <c r="BD31" s="214">
        <f t="shared" si="23"/>
        <v>15465966.602006927</v>
      </c>
      <c r="BE31" s="214">
        <f t="shared" si="23"/>
        <v>15775158.707911238</v>
      </c>
      <c r="BF31" s="214">
        <f t="shared" si="23"/>
        <v>16090534.692572277</v>
      </c>
      <c r="BG31" s="214">
        <f t="shared" si="23"/>
        <v>16412218.234297968</v>
      </c>
      <c r="BH31" s="214">
        <f t="shared" si="23"/>
        <v>16740335.484977029</v>
      </c>
      <c r="BI31" s="214">
        <f t="shared" si="23"/>
        <v>17075015.119550895</v>
      </c>
      <c r="BJ31" s="214">
        <f t="shared" si="23"/>
        <v>17416388.38647509</v>
      </c>
      <c r="BK31" s="214">
        <f t="shared" si="23"/>
        <v>17764589.15918982</v>
      </c>
      <c r="BL31" s="214">
        <f t="shared" si="23"/>
        <v>18119753.988619901</v>
      </c>
      <c r="BM31" s="214">
        <f t="shared" si="23"/>
        <v>18482022.156724878</v>
      </c>
      <c r="BN31" s="214">
        <f t="shared" si="23"/>
        <v>18851535.731119968</v>
      </c>
      <c r="BO31" s="214">
        <f t="shared" si="23"/>
        <v>19228439.62078955</v>
      </c>
      <c r="BP31" s="214">
        <f t="shared" si="23"/>
        <v>19612881.632914841</v>
      </c>
      <c r="BQ31" s="214">
        <f t="shared" si="23"/>
        <v>20005012.530838184</v>
      </c>
      <c r="BR31" s="214">
        <f t="shared" si="23"/>
        <v>20404986.093186677</v>
      </c>
      <c r="BS31" s="214">
        <f t="shared" si="23"/>
        <v>20812959.174178123</v>
      </c>
      <c r="BT31" s="214">
        <f t="shared" si="23"/>
        <v>21229091.765133344</v>
      </c>
      <c r="BU31" s="214">
        <f t="shared" si="23"/>
        <v>21653547.057218462</v>
      </c>
      <c r="BV31" s="214">
        <f t="shared" si="23"/>
        <v>22086491.505442291</v>
      </c>
      <c r="BW31" s="214">
        <f t="shared" si="23"/>
        <v>22528094.893933561</v>
      </c>
      <c r="BX31" s="214">
        <f t="shared" si="23"/>
        <v>22978530.402523667</v>
      </c>
      <c r="BY31" s="214">
        <f t="shared" si="23"/>
        <v>23437974.674661178</v>
      </c>
      <c r="BZ31" s="214">
        <f t="shared" si="23"/>
        <v>23906607.886684537</v>
      </c>
      <c r="CA31" s="214">
        <f t="shared" si="23"/>
        <v>24384613.818480365</v>
      </c>
      <c r="CB31" s="214">
        <f t="shared" si="23"/>
        <v>24872179.925554693</v>
      </c>
      <c r="CC31" s="214">
        <f t="shared" si="23"/>
        <v>25369497.412545983</v>
      </c>
      <c r="CD31" s="214">
        <f t="shared" si="23"/>
        <v>25876761.308208052</v>
      </c>
      <c r="CE31" s="214">
        <f t="shared" si="23"/>
        <v>26394170.541892983</v>
      </c>
      <c r="CF31" s="214">
        <f t="shared" si="23"/>
        <v>26921928.021563377</v>
      </c>
      <c r="CG31" s="214">
        <f t="shared" si="23"/>
        <v>27460240.713365193</v>
      </c>
      <c r="CH31" s="214">
        <f t="shared" si="23"/>
        <v>28009319.722791843</v>
      </c>
      <c r="CI31" s="214">
        <f t="shared" si="23"/>
        <v>28569380.377471566</v>
      </c>
      <c r="CJ31" s="214">
        <f t="shared" si="23"/>
        <v>29140642.311610736</v>
      </c>
      <c r="CK31" s="214">
        <f t="shared" si="23"/>
        <v>29723329.552125856</v>
      </c>
      <c r="CL31" s="214">
        <f t="shared" si="23"/>
        <v>30317670.606498294</v>
      </c>
      <c r="CM31" s="214">
        <f t="shared" si="23"/>
        <v>30923898.552386157</v>
      </c>
      <c r="CN31" s="214">
        <f t="shared" si="23"/>
        <v>31542251.129028313</v>
      </c>
      <c r="CO31" s="214">
        <f t="shared" si="23"/>
        <v>32172970.830476549</v>
      </c>
      <c r="CP31" s="214">
        <f t="shared" si="23"/>
        <v>32816305.000692476</v>
      </c>
      <c r="CQ31" s="214">
        <f t="shared" si="23"/>
        <v>33472505.930546235</v>
      </c>
      <c r="CR31" s="214">
        <f t="shared" si="23"/>
        <v>34141830.956755213</v>
      </c>
      <c r="CS31" s="214">
        <f t="shared" si="23"/>
        <v>34824542.562801719</v>
      </c>
      <c r="CT31" s="214">
        <f t="shared" si="23"/>
        <v>35520908.481868729</v>
      </c>
      <c r="CU31" s="214">
        <f t="shared" si="23"/>
        <v>36231201.80183468</v>
      </c>
      <c r="CV31" s="214">
        <f t="shared" si="23"/>
        <v>36955701.072367884</v>
      </c>
      <c r="CW31" s="214">
        <f t="shared" si="23"/>
        <v>37694690.414163053</v>
      </c>
      <c r="CX31" s="214">
        <f t="shared" si="23"/>
        <v>38448459.630362473</v>
      </c>
      <c r="CY31" s="214">
        <f t="shared" si="23"/>
        <v>39217304.320205539</v>
      </c>
      <c r="CZ31" s="4"/>
      <c r="DA31" s="4"/>
      <c r="DB31" s="4"/>
      <c r="DC31" s="4"/>
      <c r="DD31" s="4"/>
      <c r="DE31" s="4"/>
      <c r="DF31" s="4"/>
      <c r="DG31" s="4"/>
      <c r="DH31" s="4"/>
      <c r="DI31" s="4"/>
      <c r="DJ31" s="217"/>
      <c r="DK31" s="217"/>
      <c r="DL31" s="217"/>
      <c r="DM31" s="217"/>
      <c r="DN31" s="217"/>
      <c r="DO31" s="217"/>
      <c r="DP31" s="217"/>
      <c r="DQ31" s="217"/>
      <c r="DR31" s="217"/>
      <c r="DS31" s="217"/>
    </row>
    <row r="32" spans="1:123" ht="15.75" customHeight="1" x14ac:dyDescent="0.2">
      <c r="A32" s="4"/>
      <c r="B32" s="4"/>
      <c r="C32" s="4"/>
      <c r="D32" s="4"/>
      <c r="E32" s="4"/>
      <c r="F32" s="4"/>
      <c r="G32" s="4"/>
      <c r="H32" s="4"/>
      <c r="I32" s="213" t="s">
        <v>151</v>
      </c>
      <c r="J32" s="214">
        <f>J31</f>
        <v>-1329135.4904098213</v>
      </c>
      <c r="K32" s="214">
        <f t="shared" ref="K32:CY32" si="24">K31+J32</f>
        <v>-2506386.7100006882</v>
      </c>
      <c r="L32" s="214">
        <f t="shared" si="24"/>
        <v>-3527624.0398269091</v>
      </c>
      <c r="M32" s="214">
        <f t="shared" si="24"/>
        <v>-4388607.734816717</v>
      </c>
      <c r="N32" s="214">
        <f t="shared" si="24"/>
        <v>-5084985.0127436463</v>
      </c>
      <c r="O32" s="214">
        <f t="shared" si="24"/>
        <v>-5612287.0647935905</v>
      </c>
      <c r="P32" s="214">
        <f t="shared" si="24"/>
        <v>-5965925.9853220247</v>
      </c>
      <c r="Q32" s="214">
        <f t="shared" si="24"/>
        <v>-6141191.6182809621</v>
      </c>
      <c r="R32" s="214">
        <f t="shared" si="24"/>
        <v>-6133248.3176703546</v>
      </c>
      <c r="S32" s="214">
        <f t="shared" si="24"/>
        <v>-5937131.6192320101</v>
      </c>
      <c r="T32" s="214">
        <f t="shared" si="24"/>
        <v>-5547744.8204546329</v>
      </c>
      <c r="U32" s="214">
        <f t="shared" si="24"/>
        <v>-4959855.4657944851</v>
      </c>
      <c r="V32" s="214">
        <f t="shared" si="24"/>
        <v>-4168091.7338355146</v>
      </c>
      <c r="W32" s="214">
        <f t="shared" si="24"/>
        <v>-3166938.7229136955</v>
      </c>
      <c r="X32" s="214">
        <f t="shared" si="24"/>
        <v>-1950734.6315101087</v>
      </c>
      <c r="Y32" s="214">
        <f t="shared" si="24"/>
        <v>-513666.82947339676</v>
      </c>
      <c r="Z32" s="214">
        <f t="shared" si="24"/>
        <v>1150232.1841384117</v>
      </c>
      <c r="AA32" s="214">
        <f t="shared" si="24"/>
        <v>3047088.94110783</v>
      </c>
      <c r="AB32" s="214">
        <f t="shared" si="24"/>
        <v>5183064.228777634</v>
      </c>
      <c r="AC32" s="214">
        <f t="shared" si="24"/>
        <v>7496631.016347874</v>
      </c>
      <c r="AD32" s="214">
        <f t="shared" si="24"/>
        <v>9991341.1548608709</v>
      </c>
      <c r="AE32" s="214">
        <f t="shared" si="24"/>
        <v>12670817.532800678</v>
      </c>
      <c r="AF32" s="214">
        <f t="shared" si="24"/>
        <v>15538755.496850315</v>
      </c>
      <c r="AG32" s="214">
        <f t="shared" si="24"/>
        <v>18598924.301064383</v>
      </c>
      <c r="AH32" s="214">
        <f t="shared" si="24"/>
        <v>-113144831.41497479</v>
      </c>
      <c r="AI32" s="214">
        <f t="shared" si="24"/>
        <v>-108438590.11843766</v>
      </c>
      <c r="AJ32" s="214">
        <f t="shared" si="24"/>
        <v>-103528351.84537339</v>
      </c>
      <c r="AK32" s="214">
        <f t="shared" si="24"/>
        <v>-98410036.632078141</v>
      </c>
      <c r="AL32" s="214">
        <f t="shared" si="24"/>
        <v>-93079482.915090531</v>
      </c>
      <c r="AM32" s="214">
        <f t="shared" si="24"/>
        <v>-87532445.899186805</v>
      </c>
      <c r="AN32" s="214">
        <f t="shared" si="24"/>
        <v>-81764595.892735749</v>
      </c>
      <c r="AO32" s="214">
        <f t="shared" si="24"/>
        <v>-75771516.609760463</v>
      </c>
      <c r="AP32" s="214">
        <f t="shared" si="24"/>
        <v>-69548703.43804121</v>
      </c>
      <c r="AQ32" s="214">
        <f t="shared" si="24"/>
        <v>-63091561.672580034</v>
      </c>
      <c r="AR32" s="214">
        <f t="shared" si="24"/>
        <v>-56395404.713734582</v>
      </c>
      <c r="AS32" s="214">
        <f t="shared" si="24"/>
        <v>-49455452.229314297</v>
      </c>
      <c r="AT32" s="214">
        <f t="shared" si="24"/>
        <v>-42266828.279918358</v>
      </c>
      <c r="AU32" s="214">
        <f t="shared" si="24"/>
        <v>-34824559.406780131</v>
      </c>
      <c r="AV32" s="214">
        <f t="shared" si="24"/>
        <v>-27123572.681368325</v>
      </c>
      <c r="AW32" s="214">
        <f t="shared" si="24"/>
        <v>-19158693.715979874</v>
      </c>
      <c r="AX32" s="214">
        <f t="shared" si="24"/>
        <v>-10924644.634544518</v>
      </c>
      <c r="AY32" s="214">
        <f t="shared" si="24"/>
        <v>-2416042.0028451569</v>
      </c>
      <c r="AZ32" s="214">
        <f t="shared" si="24"/>
        <v>6372605.2826575544</v>
      </c>
      <c r="BA32" s="214">
        <f t="shared" si="24"/>
        <v>15446898.148224445</v>
      </c>
      <c r="BB32" s="214">
        <f t="shared" si="24"/>
        <v>-85187450.46069476</v>
      </c>
      <c r="BC32" s="214">
        <f t="shared" si="24"/>
        <v>-70024613.33906436</v>
      </c>
      <c r="BD32" s="214">
        <f t="shared" si="24"/>
        <v>-54558646.737057433</v>
      </c>
      <c r="BE32" s="214">
        <f t="shared" si="24"/>
        <v>-38783488.029146194</v>
      </c>
      <c r="BF32" s="214">
        <f t="shared" si="24"/>
        <v>-22692953.336573917</v>
      </c>
      <c r="BG32" s="214">
        <f t="shared" si="24"/>
        <v>-6280735.102275949</v>
      </c>
      <c r="BH32" s="214">
        <f t="shared" si="24"/>
        <v>10459600.38270108</v>
      </c>
      <c r="BI32" s="214">
        <f t="shared" si="24"/>
        <v>27534615.502251975</v>
      </c>
      <c r="BJ32" s="214">
        <f t="shared" si="24"/>
        <v>44951003.888727069</v>
      </c>
      <c r="BK32" s="214">
        <f t="shared" si="24"/>
        <v>62715593.047916889</v>
      </c>
      <c r="BL32" s="214">
        <f t="shared" si="24"/>
        <v>80835347.036536783</v>
      </c>
      <c r="BM32" s="214">
        <f t="shared" si="24"/>
        <v>99317369.193261653</v>
      </c>
      <c r="BN32" s="214">
        <f t="shared" si="24"/>
        <v>118168904.92438161</v>
      </c>
      <c r="BO32" s="214">
        <f t="shared" si="24"/>
        <v>137397344.54517117</v>
      </c>
      <c r="BP32" s="214">
        <f t="shared" si="24"/>
        <v>157010226.17808601</v>
      </c>
      <c r="BQ32" s="214">
        <f t="shared" si="24"/>
        <v>177015238.7089242</v>
      </c>
      <c r="BR32" s="214">
        <f t="shared" si="24"/>
        <v>197420224.80211088</v>
      </c>
      <c r="BS32" s="214">
        <f t="shared" si="24"/>
        <v>218233183.976289</v>
      </c>
      <c r="BT32" s="214">
        <f t="shared" si="24"/>
        <v>239462275.74142236</v>
      </c>
      <c r="BU32" s="214">
        <f t="shared" si="24"/>
        <v>261115822.79864082</v>
      </c>
      <c r="BV32" s="214">
        <f t="shared" si="24"/>
        <v>283202314.30408311</v>
      </c>
      <c r="BW32" s="214">
        <f t="shared" si="24"/>
        <v>305730409.19801664</v>
      </c>
      <c r="BX32" s="214">
        <f t="shared" si="24"/>
        <v>328708939.60054028</v>
      </c>
      <c r="BY32" s="214">
        <f t="shared" si="24"/>
        <v>352146914.27520144</v>
      </c>
      <c r="BZ32" s="214">
        <f t="shared" si="24"/>
        <v>376053522.16188598</v>
      </c>
      <c r="CA32" s="214">
        <f t="shared" si="24"/>
        <v>400438135.98036635</v>
      </c>
      <c r="CB32" s="214">
        <f t="shared" si="24"/>
        <v>425310315.90592104</v>
      </c>
      <c r="CC32" s="214">
        <f t="shared" si="24"/>
        <v>450679813.31846702</v>
      </c>
      <c r="CD32" s="214">
        <f t="shared" si="24"/>
        <v>476556574.62667507</v>
      </c>
      <c r="CE32" s="214">
        <f t="shared" si="24"/>
        <v>502950745.16856807</v>
      </c>
      <c r="CF32" s="214">
        <f t="shared" si="24"/>
        <v>529872673.19013143</v>
      </c>
      <c r="CG32" s="214">
        <f t="shared" si="24"/>
        <v>557332913.90349662</v>
      </c>
      <c r="CH32" s="214">
        <f t="shared" si="24"/>
        <v>585342233.62628841</v>
      </c>
      <c r="CI32" s="214">
        <f t="shared" si="24"/>
        <v>613911614.00375998</v>
      </c>
      <c r="CJ32" s="214">
        <f t="shared" si="24"/>
        <v>643052256.31537068</v>
      </c>
      <c r="CK32" s="214">
        <f t="shared" si="24"/>
        <v>672775585.86749649</v>
      </c>
      <c r="CL32" s="214">
        <f t="shared" si="24"/>
        <v>703093256.47399473</v>
      </c>
      <c r="CM32" s="214">
        <f t="shared" si="24"/>
        <v>734017155.0263809</v>
      </c>
      <c r="CN32" s="214">
        <f t="shared" si="24"/>
        <v>765559406.15540922</v>
      </c>
      <c r="CO32" s="214">
        <f t="shared" si="24"/>
        <v>797732376.98588574</v>
      </c>
      <c r="CP32" s="214">
        <f t="shared" si="24"/>
        <v>830548681.98657823</v>
      </c>
      <c r="CQ32" s="214">
        <f t="shared" si="24"/>
        <v>864021187.91712451</v>
      </c>
      <c r="CR32" s="214">
        <f t="shared" si="24"/>
        <v>898163018.87387967</v>
      </c>
      <c r="CS32" s="214">
        <f t="shared" si="24"/>
        <v>932987561.43668139</v>
      </c>
      <c r="CT32" s="214">
        <f t="shared" si="24"/>
        <v>968508469.91855013</v>
      </c>
      <c r="CU32" s="214">
        <f t="shared" si="24"/>
        <v>1004739671.7203848</v>
      </c>
      <c r="CV32" s="214">
        <f t="shared" si="24"/>
        <v>1041695372.7927527</v>
      </c>
      <c r="CW32" s="214">
        <f t="shared" si="24"/>
        <v>1079390063.2069159</v>
      </c>
      <c r="CX32" s="214">
        <f t="shared" si="24"/>
        <v>1117838522.8372784</v>
      </c>
      <c r="CY32" s="214">
        <f t="shared" si="24"/>
        <v>1157055827.1574838</v>
      </c>
      <c r="CZ32" s="4"/>
      <c r="DA32" s="4"/>
      <c r="DB32" s="4"/>
      <c r="DC32" s="4"/>
      <c r="DD32" s="4"/>
      <c r="DE32" s="4"/>
      <c r="DF32" s="4"/>
      <c r="DG32" s="4"/>
      <c r="DH32" s="4"/>
      <c r="DI32" s="4"/>
      <c r="DJ32" s="4"/>
      <c r="DK32" s="4"/>
      <c r="DL32" s="4"/>
      <c r="DM32" s="4"/>
      <c r="DN32" s="4"/>
      <c r="DO32" s="4"/>
      <c r="DP32" s="4"/>
      <c r="DQ32" s="4"/>
      <c r="DR32" s="4"/>
      <c r="DS32" s="4"/>
    </row>
    <row r="33" spans="1:123" ht="15.75" customHeight="1" x14ac:dyDescent="0.2">
      <c r="A33" s="4"/>
      <c r="B33" s="4"/>
      <c r="C33" s="4"/>
      <c r="D33" s="4"/>
      <c r="E33" s="4"/>
      <c r="F33" s="4"/>
      <c r="G33" s="4"/>
      <c r="H33" s="4"/>
      <c r="I33" s="4"/>
      <c r="J33" s="220"/>
      <c r="CZ33" s="4"/>
      <c r="DA33" s="4"/>
      <c r="DB33" s="4"/>
      <c r="DC33" s="4"/>
      <c r="DD33" s="4"/>
      <c r="DE33" s="4"/>
      <c r="DF33" s="4"/>
      <c r="DG33" s="4"/>
      <c r="DH33" s="4"/>
      <c r="DI33" s="4"/>
      <c r="DJ33" s="4"/>
      <c r="DK33" s="4"/>
      <c r="DL33" s="4"/>
      <c r="DM33" s="4"/>
      <c r="DN33" s="4"/>
      <c r="DO33" s="4"/>
      <c r="DP33" s="4"/>
      <c r="DQ33" s="4"/>
      <c r="DR33" s="4"/>
      <c r="DS33" s="4"/>
    </row>
    <row r="34" spans="1:123" ht="15.75" customHeight="1" x14ac:dyDescent="0.2">
      <c r="A34" s="4"/>
      <c r="B34" s="4"/>
      <c r="C34" s="4"/>
      <c r="D34" s="4"/>
      <c r="E34" s="4"/>
      <c r="F34" s="4"/>
      <c r="G34" s="4"/>
      <c r="H34" s="4"/>
      <c r="I34" s="218" t="s">
        <v>152</v>
      </c>
      <c r="J34" s="218"/>
      <c r="K34" s="218"/>
      <c r="L34" s="218"/>
      <c r="M34" s="218"/>
      <c r="N34" s="218"/>
      <c r="O34" s="218"/>
      <c r="P34" s="218"/>
      <c r="Q34" s="218"/>
      <c r="R34" s="218"/>
      <c r="S34" s="218"/>
      <c r="T34" s="218"/>
      <c r="U34" s="218"/>
      <c r="V34" s="218"/>
      <c r="W34" s="218"/>
      <c r="X34" s="218"/>
      <c r="Y34" s="218"/>
      <c r="Z34" s="218"/>
      <c r="AA34" s="218"/>
      <c r="AB34" s="218"/>
      <c r="AC34" s="218"/>
      <c r="AD34" s="218"/>
      <c r="AE34" s="218"/>
      <c r="AF34" s="218"/>
      <c r="AG34" s="218"/>
      <c r="AH34" s="218"/>
      <c r="AI34" s="218"/>
      <c r="AJ34" s="218"/>
      <c r="AK34" s="218"/>
      <c r="AL34" s="218"/>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c r="BJ34" s="218"/>
      <c r="BK34" s="218"/>
      <c r="BL34" s="218"/>
      <c r="BM34" s="218"/>
      <c r="BN34" s="218"/>
      <c r="BO34" s="218"/>
      <c r="BP34" s="218"/>
      <c r="BQ34" s="218"/>
      <c r="BR34" s="218"/>
      <c r="BS34" s="218"/>
      <c r="BT34" s="218"/>
      <c r="BU34" s="218"/>
      <c r="BV34" s="218"/>
      <c r="BW34" s="218"/>
      <c r="BX34" s="218"/>
      <c r="BY34" s="218"/>
      <c r="BZ34" s="218"/>
      <c r="CA34" s="218"/>
      <c r="CB34" s="218"/>
      <c r="CC34" s="218"/>
      <c r="CD34" s="218"/>
      <c r="CE34" s="218"/>
      <c r="CF34" s="218"/>
      <c r="CG34" s="218"/>
      <c r="CH34" s="218"/>
      <c r="CI34" s="218"/>
      <c r="CJ34" s="218"/>
      <c r="CK34" s="218"/>
      <c r="CL34" s="218"/>
      <c r="CM34" s="218"/>
      <c r="CN34" s="218"/>
      <c r="CO34" s="218"/>
      <c r="CP34" s="218"/>
      <c r="CQ34" s="218"/>
      <c r="CR34" s="218"/>
      <c r="CS34" s="218"/>
      <c r="CT34" s="218"/>
      <c r="CU34" s="218"/>
      <c r="CV34" s="218"/>
      <c r="CW34" s="218"/>
      <c r="CX34" s="218"/>
      <c r="CY34" s="218"/>
      <c r="CZ34" s="218"/>
      <c r="DA34" s="218"/>
      <c r="DB34" s="218"/>
      <c r="DC34" s="218"/>
      <c r="DD34" s="218"/>
      <c r="DE34" s="218"/>
      <c r="DF34" s="218"/>
      <c r="DG34" s="218"/>
      <c r="DH34" s="218"/>
      <c r="DI34" s="218"/>
      <c r="DJ34" s="218"/>
      <c r="DK34" s="218"/>
      <c r="DL34" s="218"/>
      <c r="DM34" s="218"/>
      <c r="DN34" s="218"/>
      <c r="DO34" s="218"/>
      <c r="DP34" s="218"/>
      <c r="DQ34" s="218"/>
      <c r="DR34" s="218"/>
      <c r="DS34" s="218"/>
    </row>
    <row r="35" spans="1:123" ht="15.75" customHeight="1" x14ac:dyDescent="0.2">
      <c r="A35" s="219"/>
      <c r="B35" s="219"/>
      <c r="C35" s="219"/>
      <c r="D35" s="219"/>
      <c r="E35" s="219"/>
      <c r="F35" s="219"/>
      <c r="G35" s="219"/>
      <c r="H35" s="219"/>
      <c r="I35" s="213" t="s">
        <v>153</v>
      </c>
      <c r="J35" s="214">
        <f t="shared" ref="J35:AC35" si="25">$AC$16+$AC$17</f>
        <v>6750000</v>
      </c>
      <c r="K35" s="214">
        <f t="shared" si="25"/>
        <v>6750000</v>
      </c>
      <c r="L35" s="214">
        <f t="shared" si="25"/>
        <v>6750000</v>
      </c>
      <c r="M35" s="214">
        <f t="shared" si="25"/>
        <v>6750000</v>
      </c>
      <c r="N35" s="214">
        <f t="shared" si="25"/>
        <v>6750000</v>
      </c>
      <c r="O35" s="214">
        <f t="shared" si="25"/>
        <v>6750000</v>
      </c>
      <c r="P35" s="214">
        <f t="shared" si="25"/>
        <v>6750000</v>
      </c>
      <c r="Q35" s="214">
        <f t="shared" si="25"/>
        <v>6750000</v>
      </c>
      <c r="R35" s="214">
        <f t="shared" si="25"/>
        <v>6750000</v>
      </c>
      <c r="S35" s="214">
        <f t="shared" si="25"/>
        <v>6750000</v>
      </c>
      <c r="T35" s="214">
        <f t="shared" si="25"/>
        <v>6750000</v>
      </c>
      <c r="U35" s="214">
        <f t="shared" si="25"/>
        <v>6750000</v>
      </c>
      <c r="V35" s="214">
        <f t="shared" si="25"/>
        <v>6750000</v>
      </c>
      <c r="W35" s="214">
        <f t="shared" si="25"/>
        <v>6750000</v>
      </c>
      <c r="X35" s="214">
        <f t="shared" si="25"/>
        <v>6750000</v>
      </c>
      <c r="Y35" s="214">
        <f t="shared" si="25"/>
        <v>6750000</v>
      </c>
      <c r="Z35" s="214">
        <f t="shared" si="25"/>
        <v>6750000</v>
      </c>
      <c r="AA35" s="214">
        <f t="shared" si="25"/>
        <v>6750000</v>
      </c>
      <c r="AB35" s="214">
        <f t="shared" si="25"/>
        <v>6750000</v>
      </c>
      <c r="AC35" s="214">
        <f t="shared" si="25"/>
        <v>6750000</v>
      </c>
      <c r="AD35" s="214">
        <f t="shared" ref="AD35:BB35" si="26">$BB$17+$BB$16</f>
        <v>115500000</v>
      </c>
      <c r="AE35" s="214">
        <f t="shared" si="26"/>
        <v>115500000</v>
      </c>
      <c r="AF35" s="214">
        <f t="shared" si="26"/>
        <v>115500000</v>
      </c>
      <c r="AG35" s="214">
        <f t="shared" si="26"/>
        <v>115500000</v>
      </c>
      <c r="AH35" s="214">
        <f t="shared" si="26"/>
        <v>115500000</v>
      </c>
      <c r="AI35" s="214">
        <f t="shared" si="26"/>
        <v>115500000</v>
      </c>
      <c r="AJ35" s="214">
        <f t="shared" si="26"/>
        <v>115500000</v>
      </c>
      <c r="AK35" s="214">
        <f t="shared" si="26"/>
        <v>115500000</v>
      </c>
      <c r="AL35" s="214">
        <f t="shared" si="26"/>
        <v>115500000</v>
      </c>
      <c r="AM35" s="214">
        <f t="shared" si="26"/>
        <v>115500000</v>
      </c>
      <c r="AN35" s="214">
        <f t="shared" si="26"/>
        <v>115500000</v>
      </c>
      <c r="AO35" s="214">
        <f t="shared" si="26"/>
        <v>115500000</v>
      </c>
      <c r="AP35" s="214">
        <f t="shared" si="26"/>
        <v>115500000</v>
      </c>
      <c r="AQ35" s="214">
        <f t="shared" si="26"/>
        <v>115500000</v>
      </c>
      <c r="AR35" s="214">
        <f t="shared" si="26"/>
        <v>115500000</v>
      </c>
      <c r="AS35" s="214">
        <f t="shared" si="26"/>
        <v>115500000</v>
      </c>
      <c r="AT35" s="214">
        <f t="shared" si="26"/>
        <v>115500000</v>
      </c>
      <c r="AU35" s="214">
        <f t="shared" si="26"/>
        <v>115500000</v>
      </c>
      <c r="AV35" s="214">
        <f t="shared" si="26"/>
        <v>115500000</v>
      </c>
      <c r="AW35" s="214">
        <f t="shared" si="26"/>
        <v>115500000</v>
      </c>
      <c r="AX35" s="214">
        <f t="shared" si="26"/>
        <v>115500000</v>
      </c>
      <c r="AY35" s="214">
        <f t="shared" si="26"/>
        <v>115500000</v>
      </c>
      <c r="AZ35" s="214">
        <f t="shared" si="26"/>
        <v>115500000</v>
      </c>
      <c r="BA35" s="214">
        <f t="shared" si="26"/>
        <v>115500000</v>
      </c>
      <c r="BB35" s="214">
        <f t="shared" si="26"/>
        <v>115500000</v>
      </c>
      <c r="BC35" s="219"/>
      <c r="BD35" s="219"/>
      <c r="BE35" s="219"/>
      <c r="BF35" s="219"/>
      <c r="BG35" s="219"/>
      <c r="BH35" s="219"/>
      <c r="BI35" s="219"/>
      <c r="BJ35" s="219"/>
      <c r="BK35" s="219"/>
      <c r="BL35" s="219"/>
      <c r="BM35" s="219"/>
      <c r="BN35" s="219"/>
      <c r="BO35" s="219"/>
      <c r="BP35" s="219"/>
      <c r="BQ35" s="219"/>
      <c r="BR35" s="219"/>
      <c r="BS35" s="219"/>
      <c r="BT35" s="219"/>
      <c r="BU35" s="219"/>
      <c r="BV35" s="219"/>
      <c r="BW35" s="219"/>
      <c r="BX35" s="219"/>
      <c r="BY35" s="219"/>
      <c r="BZ35" s="219"/>
      <c r="CA35" s="219"/>
      <c r="CB35" s="219"/>
      <c r="CC35" s="219"/>
      <c r="CD35" s="219"/>
      <c r="CE35" s="219"/>
      <c r="CF35" s="219"/>
      <c r="CG35" s="219"/>
      <c r="CH35" s="219"/>
      <c r="CI35" s="219"/>
      <c r="CJ35" s="219"/>
      <c r="CK35" s="219"/>
      <c r="CL35" s="219"/>
      <c r="CM35" s="219"/>
      <c r="CN35" s="219"/>
      <c r="CO35" s="219"/>
      <c r="CP35" s="219"/>
      <c r="CQ35" s="219"/>
      <c r="CR35" s="219"/>
      <c r="CS35" s="219"/>
      <c r="CT35" s="219"/>
      <c r="CU35" s="219"/>
      <c r="CV35" s="219"/>
      <c r="CW35" s="219"/>
      <c r="CX35" s="219"/>
      <c r="CY35" s="219"/>
      <c r="CZ35" s="219"/>
      <c r="DA35" s="219"/>
      <c r="DB35" s="219"/>
      <c r="DC35" s="219"/>
      <c r="DD35" s="219"/>
      <c r="DE35" s="219"/>
      <c r="DF35" s="219"/>
      <c r="DG35" s="219"/>
      <c r="DH35" s="219"/>
      <c r="DI35" s="219"/>
      <c r="DJ35" s="219"/>
      <c r="DK35" s="219"/>
      <c r="DL35" s="219"/>
      <c r="DM35" s="219"/>
      <c r="DN35" s="219"/>
      <c r="DO35" s="219"/>
      <c r="DP35" s="219"/>
      <c r="DQ35" s="219"/>
      <c r="DR35" s="219"/>
      <c r="DS35" s="219"/>
    </row>
    <row r="36" spans="1:123" ht="15.75" customHeight="1" x14ac:dyDescent="0.2">
      <c r="A36" s="4"/>
      <c r="B36" s="4"/>
      <c r="C36" s="4"/>
      <c r="D36" s="4"/>
      <c r="E36" s="4"/>
      <c r="F36" s="4"/>
      <c r="G36" s="4"/>
      <c r="H36" s="4"/>
      <c r="I36" s="213" t="s">
        <v>154</v>
      </c>
      <c r="J36" s="214">
        <v>0</v>
      </c>
      <c r="K36" s="214">
        <f t="shared" ref="K36:BB36" si="27">J39+J40</f>
        <v>9098374.033381978</v>
      </c>
      <c r="L36" s="214">
        <f t="shared" si="27"/>
        <v>17241601.429306198</v>
      </c>
      <c r="M36" s="214">
        <f t="shared" si="27"/>
        <v>24570987.065100588</v>
      </c>
      <c r="N36" s="214">
        <f t="shared" si="27"/>
        <v>31235011.928463183</v>
      </c>
      <c r="O36" s="214">
        <f t="shared" si="27"/>
        <v>37389592.447024323</v>
      </c>
      <c r="P36" s="214">
        <f t="shared" si="27"/>
        <v>43198348.063910834</v>
      </c>
      <c r="Q36" s="214">
        <f t="shared" si="27"/>
        <v>48832877.306862071</v>
      </c>
      <c r="R36" s="214">
        <f t="shared" si="27"/>
        <v>54473042.605973534</v>
      </c>
      <c r="S36" s="214">
        <f t="shared" si="27"/>
        <v>60307264.122947745</v>
      </c>
      <c r="T36" s="214">
        <f t="shared" si="27"/>
        <v>66532822.862831414</v>
      </c>
      <c r="U36" s="214">
        <f t="shared" si="27"/>
        <v>73356173.347631782</v>
      </c>
      <c r="V36" s="214">
        <f t="shared" si="27"/>
        <v>80993266.139954954</v>
      </c>
      <c r="W36" s="214">
        <f t="shared" si="27"/>
        <v>89669880.51391764</v>
      </c>
      <c r="X36" s="214">
        <f t="shared" si="27"/>
        <v>99621967.580078647</v>
      </c>
      <c r="Y36" s="214">
        <f t="shared" si="27"/>
        <v>111096004.18104491</v>
      </c>
      <c r="Z36" s="214">
        <f t="shared" si="27"/>
        <v>124349357.88476332</v>
      </c>
      <c r="AA36" s="214">
        <f t="shared" si="27"/>
        <v>139650663.41334864</v>
      </c>
      <c r="AB36" s="214">
        <f t="shared" si="27"/>
        <v>157280210.85666114</v>
      </c>
      <c r="AC36" s="214">
        <f t="shared" si="27"/>
        <v>177530214.39255068</v>
      </c>
      <c r="AD36" s="214">
        <f t="shared" si="27"/>
        <v>200636009.87977302</v>
      </c>
      <c r="AE36" s="214">
        <f t="shared" si="27"/>
        <v>226841298.45046228</v>
      </c>
      <c r="AF36" s="214">
        <f t="shared" si="27"/>
        <v>256398386.98715195</v>
      </c>
      <c r="AG36" s="214">
        <f t="shared" si="27"/>
        <v>289568434.87277579</v>
      </c>
      <c r="AH36" s="214">
        <f t="shared" si="27"/>
        <v>326621707.16837764</v>
      </c>
      <c r="AI36" s="214">
        <f t="shared" si="27"/>
        <v>342337834.37693799</v>
      </c>
      <c r="AJ36" s="214">
        <f t="shared" si="27"/>
        <v>363271078.95549208</v>
      </c>
      <c r="AK36" s="214">
        <f t="shared" si="27"/>
        <v>389735908.74156451</v>
      </c>
      <c r="AL36" s="214">
        <f t="shared" si="27"/>
        <v>422057283.46388966</v>
      </c>
      <c r="AM36" s="214">
        <f t="shared" si="27"/>
        <v>460570948.63141829</v>
      </c>
      <c r="AN36" s="214">
        <f t="shared" si="27"/>
        <v>505623736.98113745</v>
      </c>
      <c r="AO36" s="214">
        <f t="shared" si="27"/>
        <v>557573877.66950154</v>
      </c>
      <c r="AP36" s="214">
        <f t="shared" si="27"/>
        <v>616791313.39663959</v>
      </c>
      <c r="AQ36" s="214">
        <f t="shared" si="27"/>
        <v>683658025.65697348</v>
      </c>
      <c r="AR36" s="214">
        <f t="shared" si="27"/>
        <v>758568368.31445372</v>
      </c>
      <c r="AS36" s="214">
        <f t="shared" si="27"/>
        <v>841929409.70529878</v>
      </c>
      <c r="AT36" s="214">
        <f t="shared" si="27"/>
        <v>934161283.47590601</v>
      </c>
      <c r="AU36" s="214">
        <f t="shared" si="27"/>
        <v>1035697548.3685026</v>
      </c>
      <c r="AV36" s="214">
        <f t="shared" si="27"/>
        <v>1146985557.1721094</v>
      </c>
      <c r="AW36" s="214">
        <f t="shared" si="27"/>
        <v>1268486835.0615165</v>
      </c>
      <c r="AX36" s="214">
        <f t="shared" si="27"/>
        <v>1400677467.5522125</v>
      </c>
      <c r="AY36" s="214">
        <f t="shared" si="27"/>
        <v>1544048498.3045671</v>
      </c>
      <c r="AZ36" s="214">
        <f t="shared" si="27"/>
        <v>1699106337.0160584</v>
      </c>
      <c r="BA36" s="214">
        <f t="shared" si="27"/>
        <v>1866373177.6459436</v>
      </c>
      <c r="BB36" s="214">
        <f t="shared" si="27"/>
        <v>2046387427.2225151</v>
      </c>
      <c r="BC36" s="57"/>
      <c r="BD36" s="57"/>
      <c r="BE36" s="57"/>
      <c r="BF36" s="57"/>
      <c r="BG36" s="57"/>
      <c r="BH36" s="57"/>
      <c r="BI36" s="57"/>
      <c r="BJ36" s="57"/>
      <c r="BK36" s="57"/>
      <c r="BL36" s="57"/>
      <c r="BM36" s="57"/>
      <c r="BN36" s="57"/>
      <c r="BO36" s="57"/>
      <c r="BP36" s="57"/>
      <c r="BQ36" s="221"/>
      <c r="BR36" s="221"/>
      <c r="BS36" s="221"/>
      <c r="BT36" s="221"/>
      <c r="BU36" s="221"/>
      <c r="BV36" s="221"/>
      <c r="BW36" s="221"/>
      <c r="BX36" s="221"/>
      <c r="BY36" s="221"/>
      <c r="BZ36" s="221"/>
      <c r="CA36" s="221"/>
      <c r="CB36" s="221"/>
      <c r="CC36" s="221"/>
      <c r="CD36" s="221"/>
      <c r="CE36" s="221"/>
      <c r="CF36" s="221"/>
      <c r="CG36" s="221"/>
      <c r="CH36" s="221"/>
      <c r="CI36" s="221"/>
      <c r="CJ36" s="221"/>
      <c r="CK36" s="221"/>
      <c r="CL36" s="221"/>
      <c r="CM36" s="221"/>
      <c r="CN36" s="221"/>
      <c r="CO36" s="221"/>
      <c r="CP36" s="221"/>
      <c r="CQ36" s="221"/>
      <c r="CR36" s="221"/>
      <c r="CS36" s="221"/>
      <c r="CT36" s="221"/>
      <c r="CU36" s="221"/>
      <c r="CV36" s="221"/>
      <c r="CW36" s="221"/>
      <c r="CX36" s="221"/>
      <c r="CY36" s="221"/>
      <c r="CZ36" s="4"/>
      <c r="DA36" s="4"/>
      <c r="DB36" s="4"/>
      <c r="DC36" s="4"/>
      <c r="DD36" s="4"/>
      <c r="DE36" s="4"/>
      <c r="DF36" s="4"/>
      <c r="DG36" s="4"/>
      <c r="DH36" s="4"/>
      <c r="DI36" s="4"/>
      <c r="DJ36" s="4"/>
      <c r="DK36" s="4"/>
      <c r="DL36" s="4"/>
      <c r="DM36" s="4"/>
      <c r="DN36" s="4"/>
      <c r="DO36" s="4"/>
      <c r="DP36" s="4"/>
      <c r="DQ36" s="4"/>
      <c r="DR36" s="4"/>
      <c r="DS36" s="4"/>
    </row>
    <row r="37" spans="1:123" ht="15.75" customHeight="1" x14ac:dyDescent="0.2">
      <c r="A37" s="4"/>
      <c r="B37" s="4"/>
      <c r="C37" s="4"/>
      <c r="D37" s="4"/>
      <c r="E37" s="4"/>
      <c r="F37" s="4"/>
      <c r="G37" s="4"/>
      <c r="H37" s="4"/>
      <c r="I37" s="213" t="s">
        <v>155</v>
      </c>
      <c r="J37" s="214">
        <f t="shared" ref="J37:BB37" si="28">J24+J25</f>
        <v>15669974.542531351</v>
      </c>
      <c r="K37" s="214">
        <f t="shared" si="28"/>
        <v>14555156.779663313</v>
      </c>
      <c r="L37" s="214">
        <f t="shared" si="28"/>
        <v>13597601.575694378</v>
      </c>
      <c r="M37" s="214">
        <f t="shared" si="28"/>
        <v>12801573.649079004</v>
      </c>
      <c r="N37" s="214">
        <f t="shared" si="28"/>
        <v>12171451.254893996</v>
      </c>
      <c r="O37" s="214">
        <f t="shared" si="28"/>
        <v>11711729.18426081</v>
      </c>
      <c r="P37" s="214">
        <f t="shared" si="28"/>
        <v>11427021.84477747</v>
      </c>
      <c r="Q37" s="214">
        <f t="shared" si="28"/>
        <v>11322066.42448453</v>
      </c>
      <c r="R37" s="214">
        <f t="shared" si="28"/>
        <v>11401726.142014453</v>
      </c>
      <c r="S37" s="214">
        <f t="shared" si="28"/>
        <v>11670993.585710501</v>
      </c>
      <c r="T37" s="214">
        <f t="shared" si="28"/>
        <v>12134994.144650735</v>
      </c>
      <c r="U37" s="214">
        <f t="shared" si="28"/>
        <v>12798989.534676997</v>
      </c>
      <c r="V37" s="214">
        <f t="shared" si="28"/>
        <v>13668381.422709404</v>
      </c>
      <c r="W37" s="214">
        <f t="shared" si="28"/>
        <v>14748715.152826129</v>
      </c>
      <c r="X37" s="214">
        <f t="shared" si="28"/>
        <v>16045683.577808518</v>
      </c>
      <c r="Y37" s="214">
        <f t="shared" si="28"/>
        <v>17565131.00009561</v>
      </c>
      <c r="Z37" s="214">
        <f t="shared" si="28"/>
        <v>19313057.226362802</v>
      </c>
      <c r="AA37" s="214">
        <f t="shared" si="28"/>
        <v>21295621.740240715</v>
      </c>
      <c r="AB37" s="214">
        <f t="shared" si="28"/>
        <v>23519018.939957183</v>
      </c>
      <c r="AC37" s="214">
        <f t="shared" si="28"/>
        <v>25921756.077815019</v>
      </c>
      <c r="AD37" s="214">
        <f t="shared" si="28"/>
        <v>28507419.973621368</v>
      </c>
      <c r="AE37" s="214">
        <f t="shared" si="28"/>
        <v>31279669.184000392</v>
      </c>
      <c r="AF37" s="214">
        <f t="shared" si="28"/>
        <v>34242235.437138028</v>
      </c>
      <c r="AG37" s="214">
        <f t="shared" si="28"/>
        <v>37398925.096221857</v>
      </c>
      <c r="AH37" s="214">
        <f t="shared" si="28"/>
        <v>150753620.65214983</v>
      </c>
      <c r="AI37" s="214">
        <f t="shared" si="28"/>
        <v>19310282.246093452</v>
      </c>
      <c r="AJ37" s="214">
        <f t="shared" si="28"/>
        <v>24322949.222512353</v>
      </c>
      <c r="AK37" s="214">
        <f t="shared" si="28"/>
        <v>29545741.713229325</v>
      </c>
      <c r="AL37" s="214">
        <f t="shared" si="28"/>
        <v>34982862.253187098</v>
      </c>
      <c r="AM37" s="214">
        <f t="shared" si="28"/>
        <v>40638597.428520381</v>
      </c>
      <c r="AN37" s="214">
        <f t="shared" si="28"/>
        <v>46517319.557589576</v>
      </c>
      <c r="AO37" s="214">
        <f t="shared" si="28"/>
        <v>52623488.405635364</v>
      </c>
      <c r="AP37" s="214">
        <f t="shared" si="28"/>
        <v>58961652.933726534</v>
      </c>
      <c r="AQ37" s="214">
        <f t="shared" si="28"/>
        <v>65536453.08268708</v>
      </c>
      <c r="AR37" s="214">
        <f t="shared" si="28"/>
        <v>72352621.592701882</v>
      </c>
      <c r="AS37" s="214">
        <f t="shared" si="28"/>
        <v>79414985.859314904</v>
      </c>
      <c r="AT37" s="214">
        <f t="shared" si="28"/>
        <v>86728469.826547444</v>
      </c>
      <c r="AU37" s="214">
        <f t="shared" si="28"/>
        <v>94298095.917878985</v>
      </c>
      <c r="AV37" s="214">
        <f t="shared" si="28"/>
        <v>102128987.00584798</v>
      </c>
      <c r="AW37" s="214">
        <f t="shared" si="28"/>
        <v>110226368.42104477</v>
      </c>
      <c r="AX37" s="214">
        <f t="shared" si="28"/>
        <v>118595570.00128463</v>
      </c>
      <c r="AY37" s="214">
        <f t="shared" si="28"/>
        <v>127242028.18176457</v>
      </c>
      <c r="AZ37" s="214">
        <f t="shared" si="28"/>
        <v>136171288.12702349</v>
      </c>
      <c r="BA37" s="214">
        <f t="shared" si="28"/>
        <v>145389005.90554172</v>
      </c>
      <c r="BB37" s="214">
        <f t="shared" si="28"/>
        <v>154900950.70783287</v>
      </c>
      <c r="BC37" s="219"/>
      <c r="BD37" s="219"/>
      <c r="BE37" s="219"/>
      <c r="BF37" s="219"/>
      <c r="BG37" s="219"/>
      <c r="BH37" s="219"/>
      <c r="BI37" s="219"/>
      <c r="BJ37" s="219"/>
      <c r="BK37" s="219"/>
      <c r="BL37" s="219"/>
      <c r="BM37" s="219"/>
      <c r="BN37" s="219"/>
      <c r="BO37" s="219"/>
      <c r="BP37" s="219"/>
      <c r="BQ37" s="221"/>
      <c r="BR37" s="221"/>
      <c r="BS37" s="221"/>
      <c r="BT37" s="221"/>
      <c r="BU37" s="221"/>
      <c r="BV37" s="221"/>
      <c r="BW37" s="221"/>
      <c r="BX37" s="221"/>
      <c r="BY37" s="221"/>
      <c r="BZ37" s="221"/>
      <c r="CA37" s="221"/>
      <c r="CB37" s="221"/>
      <c r="CC37" s="221"/>
      <c r="CD37" s="221"/>
      <c r="CE37" s="221"/>
      <c r="CF37" s="221"/>
      <c r="CG37" s="221"/>
      <c r="CH37" s="221"/>
      <c r="CI37" s="221"/>
      <c r="CJ37" s="221"/>
      <c r="CK37" s="221"/>
      <c r="CL37" s="221"/>
      <c r="CM37" s="221"/>
      <c r="CN37" s="221"/>
      <c r="CO37" s="221"/>
      <c r="CP37" s="221"/>
      <c r="CQ37" s="221"/>
      <c r="CR37" s="221"/>
      <c r="CS37" s="221"/>
      <c r="CT37" s="221"/>
      <c r="CU37" s="221"/>
      <c r="CV37" s="221"/>
      <c r="CW37" s="221"/>
      <c r="CX37" s="221"/>
      <c r="CY37" s="221"/>
      <c r="CZ37" s="4"/>
      <c r="DA37" s="4"/>
      <c r="DB37" s="4"/>
      <c r="DC37" s="4"/>
      <c r="DD37" s="4"/>
      <c r="DE37" s="4"/>
      <c r="DF37" s="4"/>
      <c r="DG37" s="4"/>
      <c r="DH37" s="4"/>
      <c r="DI37" s="4"/>
      <c r="DJ37" s="4"/>
      <c r="DK37" s="4"/>
      <c r="DL37" s="4"/>
      <c r="DM37" s="4"/>
      <c r="DN37" s="4"/>
      <c r="DO37" s="4"/>
      <c r="DP37" s="4"/>
      <c r="DQ37" s="4"/>
      <c r="DR37" s="4"/>
      <c r="DS37" s="4"/>
    </row>
    <row r="38" spans="1:123" ht="15.75" customHeight="1" x14ac:dyDescent="0.2">
      <c r="A38" s="4"/>
      <c r="B38" s="4"/>
      <c r="C38" s="4"/>
      <c r="D38" s="4"/>
      <c r="E38" s="4"/>
      <c r="F38" s="4"/>
      <c r="G38" s="4"/>
      <c r="H38" s="4"/>
      <c r="I38" s="213" t="s">
        <v>156</v>
      </c>
      <c r="J38" s="214">
        <f t="shared" ref="J38:BB38" si="29">J16+J17</f>
        <v>6750000</v>
      </c>
      <c r="K38" s="214">
        <f t="shared" si="29"/>
        <v>6750000</v>
      </c>
      <c r="L38" s="214">
        <f t="shared" si="29"/>
        <v>6750000</v>
      </c>
      <c r="M38" s="214">
        <f t="shared" si="29"/>
        <v>6750000</v>
      </c>
      <c r="N38" s="214">
        <f t="shared" si="29"/>
        <v>6750000</v>
      </c>
      <c r="O38" s="214">
        <f t="shared" si="29"/>
        <v>6750000</v>
      </c>
      <c r="P38" s="214">
        <f t="shared" si="29"/>
        <v>6750000</v>
      </c>
      <c r="Q38" s="214">
        <f t="shared" si="29"/>
        <v>6750000</v>
      </c>
      <c r="R38" s="214">
        <f t="shared" si="29"/>
        <v>6750000</v>
      </c>
      <c r="S38" s="214">
        <f t="shared" si="29"/>
        <v>6750000</v>
      </c>
      <c r="T38" s="214">
        <f t="shared" si="29"/>
        <v>6750000</v>
      </c>
      <c r="U38" s="214">
        <f t="shared" si="29"/>
        <v>6750000</v>
      </c>
      <c r="V38" s="214">
        <f t="shared" si="29"/>
        <v>6750000</v>
      </c>
      <c r="W38" s="214">
        <f t="shared" si="29"/>
        <v>6750000</v>
      </c>
      <c r="X38" s="214">
        <f t="shared" si="29"/>
        <v>6750000</v>
      </c>
      <c r="Y38" s="214">
        <f t="shared" si="29"/>
        <v>6750000</v>
      </c>
      <c r="Z38" s="214">
        <f t="shared" si="29"/>
        <v>6750000</v>
      </c>
      <c r="AA38" s="214">
        <f t="shared" si="29"/>
        <v>6750000</v>
      </c>
      <c r="AB38" s="214">
        <f t="shared" si="29"/>
        <v>6750000</v>
      </c>
      <c r="AC38" s="214">
        <f t="shared" si="29"/>
        <v>6750000</v>
      </c>
      <c r="AD38" s="214">
        <f t="shared" si="29"/>
        <v>6750000</v>
      </c>
      <c r="AE38" s="214">
        <f t="shared" si="29"/>
        <v>6750000</v>
      </c>
      <c r="AF38" s="214">
        <f t="shared" si="29"/>
        <v>6750000</v>
      </c>
      <c r="AG38" s="214">
        <f t="shared" si="29"/>
        <v>6750000</v>
      </c>
      <c r="AH38" s="214">
        <f t="shared" si="29"/>
        <v>141750000</v>
      </c>
      <c r="AI38" s="214">
        <f t="shared" si="29"/>
        <v>5500000</v>
      </c>
      <c r="AJ38" s="214">
        <f t="shared" si="29"/>
        <v>5500000</v>
      </c>
      <c r="AK38" s="214">
        <f t="shared" si="29"/>
        <v>5500000</v>
      </c>
      <c r="AL38" s="214">
        <f t="shared" si="29"/>
        <v>5500000</v>
      </c>
      <c r="AM38" s="214">
        <f t="shared" si="29"/>
        <v>5500000</v>
      </c>
      <c r="AN38" s="214">
        <f t="shared" si="29"/>
        <v>5500000</v>
      </c>
      <c r="AO38" s="214">
        <f t="shared" si="29"/>
        <v>5500000</v>
      </c>
      <c r="AP38" s="214">
        <f t="shared" si="29"/>
        <v>5500000</v>
      </c>
      <c r="AQ38" s="214">
        <f t="shared" si="29"/>
        <v>5500000</v>
      </c>
      <c r="AR38" s="214">
        <f t="shared" si="29"/>
        <v>5500000</v>
      </c>
      <c r="AS38" s="214">
        <f t="shared" si="29"/>
        <v>5500000</v>
      </c>
      <c r="AT38" s="214">
        <f t="shared" si="29"/>
        <v>5500000</v>
      </c>
      <c r="AU38" s="214">
        <f t="shared" si="29"/>
        <v>5500000</v>
      </c>
      <c r="AV38" s="214">
        <f t="shared" si="29"/>
        <v>5500000</v>
      </c>
      <c r="AW38" s="214">
        <f t="shared" si="29"/>
        <v>5500000</v>
      </c>
      <c r="AX38" s="214">
        <f t="shared" si="29"/>
        <v>5500000</v>
      </c>
      <c r="AY38" s="214">
        <f t="shared" si="29"/>
        <v>5500000</v>
      </c>
      <c r="AZ38" s="214">
        <f t="shared" si="29"/>
        <v>5500000</v>
      </c>
      <c r="BA38" s="214">
        <f t="shared" si="29"/>
        <v>5500000</v>
      </c>
      <c r="BB38" s="214">
        <f t="shared" si="29"/>
        <v>115500000</v>
      </c>
      <c r="BC38" s="219"/>
      <c r="BD38" s="219"/>
      <c r="BE38" s="219"/>
      <c r="BF38" s="219"/>
      <c r="BG38" s="219"/>
      <c r="BH38" s="219"/>
      <c r="BI38" s="219"/>
      <c r="BJ38" s="219"/>
      <c r="BK38" s="219"/>
      <c r="BL38" s="219"/>
      <c r="BM38" s="219"/>
      <c r="BN38" s="219"/>
      <c r="BO38" s="219"/>
      <c r="BP38" s="219"/>
      <c r="BQ38" s="221"/>
      <c r="BR38" s="221"/>
      <c r="BS38" s="221"/>
      <c r="BT38" s="221"/>
      <c r="BU38" s="221"/>
      <c r="BV38" s="221"/>
      <c r="BW38" s="221"/>
      <c r="BX38" s="221"/>
      <c r="BY38" s="221"/>
      <c r="BZ38" s="221"/>
      <c r="CA38" s="221"/>
      <c r="CB38" s="221"/>
      <c r="CC38" s="221"/>
      <c r="CD38" s="221"/>
      <c r="CE38" s="221"/>
      <c r="CF38" s="221"/>
      <c r="CG38" s="221"/>
      <c r="CH38" s="221"/>
      <c r="CI38" s="221"/>
      <c r="CJ38" s="221"/>
      <c r="CK38" s="221"/>
      <c r="CL38" s="221"/>
      <c r="CM38" s="221"/>
      <c r="CN38" s="221"/>
      <c r="CO38" s="221"/>
      <c r="CP38" s="221"/>
      <c r="CQ38" s="221"/>
      <c r="CR38" s="221"/>
      <c r="CS38" s="221"/>
      <c r="CT38" s="221"/>
      <c r="CU38" s="221"/>
      <c r="CV38" s="221"/>
      <c r="CW38" s="221"/>
      <c r="CX38" s="221"/>
      <c r="CY38" s="221"/>
      <c r="CZ38" s="4"/>
      <c r="DA38" s="4"/>
      <c r="DB38" s="4"/>
      <c r="DC38" s="4"/>
      <c r="DD38" s="4"/>
      <c r="DE38" s="4"/>
      <c r="DF38" s="4"/>
      <c r="DG38" s="4"/>
      <c r="DH38" s="4"/>
      <c r="DI38" s="4"/>
      <c r="DJ38" s="4"/>
      <c r="DK38" s="4"/>
      <c r="DL38" s="4"/>
      <c r="DM38" s="4"/>
      <c r="DN38" s="4"/>
      <c r="DO38" s="4"/>
      <c r="DP38" s="4"/>
      <c r="DQ38" s="4"/>
      <c r="DR38" s="4"/>
      <c r="DS38" s="4"/>
    </row>
    <row r="39" spans="1:123" ht="15.75" customHeight="1" x14ac:dyDescent="0.2">
      <c r="A39" s="4"/>
      <c r="B39" s="4"/>
      <c r="C39" s="4"/>
      <c r="D39" s="4"/>
      <c r="E39" s="4"/>
      <c r="F39" s="4"/>
      <c r="G39" s="4"/>
      <c r="H39" s="4"/>
      <c r="I39" s="213" t="s">
        <v>157</v>
      </c>
      <c r="J39" s="214">
        <f t="shared" ref="J39:BB39" si="30">J36+J37-J38</f>
        <v>8919974.5425313506</v>
      </c>
      <c r="K39" s="214">
        <f t="shared" si="30"/>
        <v>16903530.813045293</v>
      </c>
      <c r="L39" s="214">
        <f t="shared" si="30"/>
        <v>24089203.005000576</v>
      </c>
      <c r="M39" s="214">
        <f t="shared" si="30"/>
        <v>30622560.71417959</v>
      </c>
      <c r="N39" s="214">
        <f t="shared" si="30"/>
        <v>36656463.183357179</v>
      </c>
      <c r="O39" s="214">
        <f t="shared" si="30"/>
        <v>42351321.631285131</v>
      </c>
      <c r="P39" s="214">
        <f t="shared" si="30"/>
        <v>47875369.908688307</v>
      </c>
      <c r="Q39" s="214">
        <f t="shared" si="30"/>
        <v>53404943.7313466</v>
      </c>
      <c r="R39" s="214">
        <f t="shared" si="30"/>
        <v>59124768.747987986</v>
      </c>
      <c r="S39" s="214">
        <f t="shared" si="30"/>
        <v>65228257.708658248</v>
      </c>
      <c r="T39" s="214">
        <f t="shared" si="30"/>
        <v>71917817.007482141</v>
      </c>
      <c r="U39" s="214">
        <f t="shared" si="30"/>
        <v>79405162.882308781</v>
      </c>
      <c r="V39" s="214">
        <f t="shared" si="30"/>
        <v>87911647.56266436</v>
      </c>
      <c r="W39" s="214">
        <f t="shared" si="30"/>
        <v>97668595.66674377</v>
      </c>
      <c r="X39" s="214">
        <f t="shared" si="30"/>
        <v>108917651.15788716</v>
      </c>
      <c r="Y39" s="214">
        <f t="shared" si="30"/>
        <v>121911135.18114051</v>
      </c>
      <c r="Z39" s="214">
        <f t="shared" si="30"/>
        <v>136912415.11112612</v>
      </c>
      <c r="AA39" s="214">
        <f t="shared" si="30"/>
        <v>154196285.15358937</v>
      </c>
      <c r="AB39" s="214">
        <f t="shared" si="30"/>
        <v>174049229.79661831</v>
      </c>
      <c r="AC39" s="214">
        <f t="shared" si="30"/>
        <v>196701970.4703657</v>
      </c>
      <c r="AD39" s="214">
        <f t="shared" si="30"/>
        <v>222393429.85339439</v>
      </c>
      <c r="AE39" s="214">
        <f t="shared" si="30"/>
        <v>251370967.63446268</v>
      </c>
      <c r="AF39" s="214">
        <f t="shared" si="30"/>
        <v>283890622.42429</v>
      </c>
      <c r="AG39" s="214">
        <f t="shared" si="30"/>
        <v>320217359.96899766</v>
      </c>
      <c r="AH39" s="214">
        <f t="shared" si="30"/>
        <v>335625327.82052743</v>
      </c>
      <c r="AI39" s="214">
        <f t="shared" si="30"/>
        <v>356148116.62303144</v>
      </c>
      <c r="AJ39" s="214">
        <f t="shared" si="30"/>
        <v>382094028.17800444</v>
      </c>
      <c r="AK39" s="214">
        <f t="shared" si="30"/>
        <v>413781650.45479381</v>
      </c>
      <c r="AL39" s="214">
        <f t="shared" si="30"/>
        <v>451540145.71707678</v>
      </c>
      <c r="AM39" s="214">
        <f t="shared" si="30"/>
        <v>495709546.05993867</v>
      </c>
      <c r="AN39" s="214">
        <f t="shared" si="30"/>
        <v>546641056.53872705</v>
      </c>
      <c r="AO39" s="214">
        <f t="shared" si="30"/>
        <v>604697366.0751369</v>
      </c>
      <c r="AP39" s="214">
        <f t="shared" si="30"/>
        <v>670252966.33036613</v>
      </c>
      <c r="AQ39" s="214">
        <f t="shared" si="30"/>
        <v>743694478.7396605</v>
      </c>
      <c r="AR39" s="214">
        <f t="shared" si="30"/>
        <v>825420989.90715563</v>
      </c>
      <c r="AS39" s="214">
        <f t="shared" si="30"/>
        <v>915844395.5646137</v>
      </c>
      <c r="AT39" s="214">
        <f t="shared" si="30"/>
        <v>1015389753.3024535</v>
      </c>
      <c r="AU39" s="214">
        <f t="shared" si="30"/>
        <v>1124495644.2863817</v>
      </c>
      <c r="AV39" s="214">
        <f t="shared" si="30"/>
        <v>1243614544.1779573</v>
      </c>
      <c r="AW39" s="214">
        <f t="shared" si="30"/>
        <v>1373213203.4825613</v>
      </c>
      <c r="AX39" s="214">
        <f t="shared" si="30"/>
        <v>1513773037.5534971</v>
      </c>
      <c r="AY39" s="214">
        <f t="shared" si="30"/>
        <v>1665790526.4863317</v>
      </c>
      <c r="AZ39" s="214">
        <f t="shared" si="30"/>
        <v>1829777625.1430819</v>
      </c>
      <c r="BA39" s="214">
        <f t="shared" si="30"/>
        <v>2006262183.5514853</v>
      </c>
      <c r="BB39" s="214">
        <f t="shared" si="30"/>
        <v>2085788377.9303479</v>
      </c>
      <c r="BC39" s="219"/>
      <c r="BD39" s="219"/>
      <c r="BE39" s="219"/>
      <c r="BF39" s="219"/>
      <c r="BG39" s="219"/>
      <c r="BH39" s="219"/>
      <c r="BI39" s="219"/>
      <c r="BJ39" s="219"/>
      <c r="BK39" s="219"/>
      <c r="BL39" s="219"/>
      <c r="BM39" s="219"/>
      <c r="BN39" s="219"/>
      <c r="BO39" s="219"/>
      <c r="BP39" s="219"/>
      <c r="BQ39" s="221"/>
      <c r="BR39" s="221"/>
      <c r="BS39" s="221"/>
      <c r="BT39" s="221"/>
      <c r="BU39" s="221"/>
      <c r="BV39" s="221"/>
      <c r="BW39" s="221"/>
      <c r="BX39" s="221"/>
      <c r="BY39" s="221"/>
      <c r="BZ39" s="221"/>
      <c r="CA39" s="221"/>
      <c r="CB39" s="221"/>
      <c r="CC39" s="221"/>
      <c r="CD39" s="221"/>
      <c r="CE39" s="221"/>
      <c r="CF39" s="221"/>
      <c r="CG39" s="221"/>
      <c r="CH39" s="221"/>
      <c r="CI39" s="221"/>
      <c r="CJ39" s="221"/>
      <c r="CK39" s="221"/>
      <c r="CL39" s="221"/>
      <c r="CM39" s="221"/>
      <c r="CN39" s="221"/>
      <c r="CO39" s="221"/>
      <c r="CP39" s="221"/>
      <c r="CQ39" s="221"/>
      <c r="CR39" s="221"/>
      <c r="CS39" s="221"/>
      <c r="CT39" s="221"/>
      <c r="CU39" s="221"/>
      <c r="CV39" s="221"/>
      <c r="CW39" s="221"/>
      <c r="CX39" s="221"/>
      <c r="CY39" s="221"/>
      <c r="CZ39" s="4"/>
      <c r="DA39" s="4"/>
      <c r="DB39" s="4"/>
      <c r="DC39" s="4"/>
      <c r="DD39" s="4"/>
      <c r="DE39" s="4"/>
      <c r="DF39" s="4"/>
      <c r="DG39" s="4"/>
      <c r="DH39" s="4"/>
      <c r="DI39" s="4"/>
      <c r="DJ39" s="4"/>
      <c r="DK39" s="4"/>
      <c r="DL39" s="4"/>
      <c r="DM39" s="4"/>
      <c r="DN39" s="4"/>
      <c r="DO39" s="4"/>
      <c r="DP39" s="4"/>
      <c r="DQ39" s="4"/>
      <c r="DR39" s="4"/>
      <c r="DS39" s="4"/>
    </row>
    <row r="40" spans="1:123" ht="15.75" customHeight="1" x14ac:dyDescent="0.2">
      <c r="A40" s="4"/>
      <c r="B40" s="4"/>
      <c r="C40" s="4"/>
      <c r="D40" s="4"/>
      <c r="E40" s="4"/>
      <c r="F40" s="4"/>
      <c r="G40" s="4"/>
      <c r="H40" s="4"/>
      <c r="I40" s="213" t="s">
        <v>158</v>
      </c>
      <c r="J40" s="214">
        <f t="shared" ref="J40:BB40" si="31">J39*2%</f>
        <v>178399.49085062701</v>
      </c>
      <c r="K40" s="214">
        <f t="shared" si="31"/>
        <v>338070.61626090587</v>
      </c>
      <c r="L40" s="214">
        <f t="shared" si="31"/>
        <v>481784.06010001153</v>
      </c>
      <c r="M40" s="214">
        <f t="shared" si="31"/>
        <v>612451.21428359183</v>
      </c>
      <c r="N40" s="214">
        <f t="shared" si="31"/>
        <v>733129.26366714365</v>
      </c>
      <c r="O40" s="214">
        <f t="shared" si="31"/>
        <v>847026.43262570258</v>
      </c>
      <c r="P40" s="214">
        <f t="shared" si="31"/>
        <v>957507.39817376621</v>
      </c>
      <c r="Q40" s="214">
        <f t="shared" si="31"/>
        <v>1068098.874626932</v>
      </c>
      <c r="R40" s="214">
        <f t="shared" si="31"/>
        <v>1182495.3749597596</v>
      </c>
      <c r="S40" s="214">
        <f t="shared" si="31"/>
        <v>1304565.1541731651</v>
      </c>
      <c r="T40" s="214">
        <f t="shared" si="31"/>
        <v>1438356.3401496429</v>
      </c>
      <c r="U40" s="214">
        <f t="shared" si="31"/>
        <v>1588103.2576461756</v>
      </c>
      <c r="V40" s="214">
        <f t="shared" si="31"/>
        <v>1758232.9512532873</v>
      </c>
      <c r="W40" s="214">
        <f t="shared" si="31"/>
        <v>1953371.9133348754</v>
      </c>
      <c r="X40" s="214">
        <f t="shared" si="31"/>
        <v>2178353.0231577433</v>
      </c>
      <c r="Y40" s="214">
        <f t="shared" si="31"/>
        <v>2438222.7036228101</v>
      </c>
      <c r="Z40" s="214">
        <f t="shared" si="31"/>
        <v>2738248.3022225224</v>
      </c>
      <c r="AA40" s="214">
        <f t="shared" si="31"/>
        <v>3083925.7030717875</v>
      </c>
      <c r="AB40" s="214">
        <f t="shared" si="31"/>
        <v>3480984.5959323663</v>
      </c>
      <c r="AC40" s="214">
        <f t="shared" si="31"/>
        <v>3934039.4094073139</v>
      </c>
      <c r="AD40" s="214">
        <f t="shared" si="31"/>
        <v>4447868.5970678879</v>
      </c>
      <c r="AE40" s="214">
        <f t="shared" si="31"/>
        <v>5027419.3526892541</v>
      </c>
      <c r="AF40" s="214">
        <f t="shared" si="31"/>
        <v>5677812.4484858001</v>
      </c>
      <c r="AG40" s="214">
        <f t="shared" si="31"/>
        <v>6404347.1993799536</v>
      </c>
      <c r="AH40" s="214">
        <f t="shared" si="31"/>
        <v>6712506.5564105492</v>
      </c>
      <c r="AI40" s="214">
        <f t="shared" si="31"/>
        <v>7122962.3324606288</v>
      </c>
      <c r="AJ40" s="214">
        <f t="shared" si="31"/>
        <v>7641880.5635600891</v>
      </c>
      <c r="AK40" s="214">
        <f t="shared" si="31"/>
        <v>8275633.0090958765</v>
      </c>
      <c r="AL40" s="214">
        <f t="shared" si="31"/>
        <v>9030802.9143415354</v>
      </c>
      <c r="AM40" s="214">
        <f t="shared" si="31"/>
        <v>9914190.9211987741</v>
      </c>
      <c r="AN40" s="214">
        <f t="shared" si="31"/>
        <v>10932821.130774541</v>
      </c>
      <c r="AO40" s="214">
        <f t="shared" si="31"/>
        <v>12093947.321502738</v>
      </c>
      <c r="AP40" s="214">
        <f t="shared" si="31"/>
        <v>13405059.326607322</v>
      </c>
      <c r="AQ40" s="214">
        <f t="shared" si="31"/>
        <v>14873889.57479321</v>
      </c>
      <c r="AR40" s="214">
        <f t="shared" si="31"/>
        <v>16508419.798143113</v>
      </c>
      <c r="AS40" s="214">
        <f t="shared" si="31"/>
        <v>18316887.911292274</v>
      </c>
      <c r="AT40" s="214">
        <f t="shared" si="31"/>
        <v>20307795.066049069</v>
      </c>
      <c r="AU40" s="214">
        <f t="shared" si="31"/>
        <v>22489912.885727637</v>
      </c>
      <c r="AV40" s="214">
        <f t="shared" si="31"/>
        <v>24872290.883559145</v>
      </c>
      <c r="AW40" s="214">
        <f t="shared" si="31"/>
        <v>27464264.069651227</v>
      </c>
      <c r="AX40" s="214">
        <f t="shared" si="31"/>
        <v>30275460.751069941</v>
      </c>
      <c r="AY40" s="214">
        <f t="shared" si="31"/>
        <v>33315810.529726636</v>
      </c>
      <c r="AZ40" s="214">
        <f t="shared" si="31"/>
        <v>36595552.502861641</v>
      </c>
      <c r="BA40" s="214">
        <f t="shared" si="31"/>
        <v>40125243.671029709</v>
      </c>
      <c r="BB40" s="214">
        <f t="shared" si="31"/>
        <v>41715767.55860696</v>
      </c>
      <c r="BC40" s="57"/>
      <c r="BD40" s="57"/>
      <c r="BE40" s="57"/>
      <c r="BF40" s="57"/>
      <c r="BG40" s="57"/>
      <c r="BH40" s="57"/>
      <c r="BI40" s="57"/>
      <c r="BJ40" s="57"/>
      <c r="BK40" s="57"/>
      <c r="BL40" s="57"/>
      <c r="BM40" s="57"/>
      <c r="BN40" s="57"/>
      <c r="BO40" s="57"/>
      <c r="BP40" s="57"/>
      <c r="BQ40" s="221"/>
      <c r="BR40" s="221"/>
      <c r="BS40" s="221"/>
      <c r="BT40" s="221"/>
      <c r="BU40" s="221"/>
      <c r="BV40" s="221"/>
      <c r="BW40" s="221"/>
      <c r="BX40" s="221"/>
      <c r="BY40" s="221"/>
      <c r="BZ40" s="221"/>
      <c r="CA40" s="221"/>
      <c r="CB40" s="221"/>
      <c r="CC40" s="221"/>
      <c r="CD40" s="221"/>
      <c r="CE40" s="221"/>
      <c r="CF40" s="221"/>
      <c r="CG40" s="221"/>
      <c r="CH40" s="221"/>
      <c r="CI40" s="221"/>
      <c r="CJ40" s="221"/>
      <c r="CK40" s="221"/>
      <c r="CL40" s="221"/>
      <c r="CM40" s="221"/>
      <c r="CN40" s="221"/>
      <c r="CO40" s="221"/>
      <c r="CP40" s="221"/>
      <c r="CQ40" s="221"/>
      <c r="CR40" s="221"/>
      <c r="CS40" s="221"/>
      <c r="CT40" s="221"/>
      <c r="CU40" s="221"/>
      <c r="CV40" s="221"/>
      <c r="CW40" s="221"/>
      <c r="CX40" s="221"/>
      <c r="CY40" s="221"/>
      <c r="CZ40" s="4"/>
      <c r="DA40" s="4"/>
      <c r="DB40" s="4"/>
      <c r="DC40" s="4"/>
      <c r="DD40" s="4"/>
      <c r="DE40" s="4"/>
      <c r="DF40" s="4"/>
      <c r="DG40" s="4"/>
      <c r="DH40" s="4"/>
      <c r="DI40" s="4"/>
      <c r="DJ40" s="4"/>
      <c r="DK40" s="4"/>
      <c r="DL40" s="4"/>
      <c r="DM40" s="4"/>
      <c r="DN40" s="4"/>
      <c r="DO40" s="4"/>
      <c r="DP40" s="4"/>
      <c r="DQ40" s="4"/>
      <c r="DR40" s="4"/>
      <c r="DS40" s="4"/>
    </row>
    <row r="41" spans="1:123" ht="15.75" customHeight="1" x14ac:dyDescent="0.2">
      <c r="A41" s="4"/>
      <c r="B41" s="4"/>
      <c r="C41" s="4"/>
      <c r="D41" s="4"/>
      <c r="E41" s="4"/>
      <c r="F41" s="4"/>
      <c r="G41" s="4"/>
      <c r="H41" s="4"/>
      <c r="I41" s="4"/>
      <c r="J41" s="220"/>
      <c r="K41" s="221"/>
      <c r="L41" s="221"/>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221"/>
      <c r="BL41" s="221"/>
      <c r="BM41" s="221"/>
      <c r="BN41" s="221"/>
      <c r="BO41" s="221"/>
      <c r="BP41" s="221"/>
      <c r="BQ41" s="221"/>
      <c r="BR41" s="221"/>
      <c r="BS41" s="221"/>
      <c r="BT41" s="221"/>
      <c r="BU41" s="221"/>
      <c r="BV41" s="221"/>
      <c r="BW41" s="221"/>
      <c r="BX41" s="221"/>
      <c r="BY41" s="221"/>
      <c r="BZ41" s="221"/>
      <c r="CA41" s="221"/>
      <c r="CB41" s="221"/>
      <c r="CC41" s="221"/>
      <c r="CD41" s="221"/>
      <c r="CE41" s="221"/>
      <c r="CF41" s="221"/>
      <c r="CG41" s="221"/>
      <c r="CH41" s="221"/>
      <c r="CI41" s="221"/>
      <c r="CJ41" s="221"/>
      <c r="CK41" s="221"/>
      <c r="CL41" s="221"/>
      <c r="CM41" s="221"/>
      <c r="CN41" s="221"/>
      <c r="CO41" s="221"/>
      <c r="CP41" s="221"/>
      <c r="CQ41" s="221"/>
      <c r="CR41" s="221"/>
      <c r="CS41" s="221"/>
      <c r="CT41" s="221"/>
      <c r="CU41" s="221"/>
      <c r="CV41" s="221"/>
      <c r="CW41" s="221"/>
      <c r="CX41" s="221"/>
      <c r="CY41" s="221"/>
      <c r="CZ41" s="4"/>
      <c r="DA41" s="4"/>
      <c r="DB41" s="4"/>
      <c r="DC41" s="4"/>
      <c r="DD41" s="4"/>
      <c r="DE41" s="4"/>
      <c r="DF41" s="4"/>
      <c r="DG41" s="4"/>
      <c r="DH41" s="4"/>
      <c r="DI41" s="4"/>
      <c r="DJ41" s="4"/>
      <c r="DK41" s="4"/>
      <c r="DL41" s="4"/>
      <c r="DM41" s="4"/>
      <c r="DN41" s="4"/>
      <c r="DO41" s="4"/>
      <c r="DP41" s="4"/>
      <c r="DQ41" s="4"/>
      <c r="DR41" s="4"/>
      <c r="DS41" s="4"/>
    </row>
    <row r="42" spans="1:123" ht="15.75" customHeight="1" x14ac:dyDescent="0.2">
      <c r="A42" s="4"/>
      <c r="B42" s="4"/>
      <c r="C42" s="4"/>
      <c r="D42" s="4"/>
      <c r="E42" s="4"/>
      <c r="F42" s="4"/>
      <c r="G42" s="4"/>
      <c r="H42" s="4"/>
      <c r="I42" s="4"/>
      <c r="J42" s="220"/>
      <c r="K42" s="221"/>
      <c r="L42" s="221"/>
      <c r="M42" s="221"/>
      <c r="N42" s="221"/>
      <c r="O42" s="221"/>
      <c r="P42" s="221"/>
      <c r="Q42" s="221"/>
      <c r="R42" s="221"/>
      <c r="S42" s="221"/>
      <c r="T42" s="221"/>
      <c r="U42" s="221"/>
      <c r="V42" s="221"/>
      <c r="W42" s="221"/>
      <c r="X42" s="221"/>
      <c r="Y42" s="221"/>
      <c r="Z42" s="221"/>
      <c r="AA42" s="221"/>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c r="BI42" s="221"/>
      <c r="BJ42" s="221"/>
      <c r="BK42" s="221"/>
      <c r="BL42" s="221"/>
      <c r="BM42" s="221"/>
      <c r="BN42" s="221"/>
      <c r="BO42" s="221"/>
      <c r="BP42" s="221"/>
      <c r="BQ42" s="221"/>
      <c r="BR42" s="221"/>
      <c r="BS42" s="221"/>
      <c r="BT42" s="221"/>
      <c r="BU42" s="221"/>
      <c r="BV42" s="221"/>
      <c r="BW42" s="221"/>
      <c r="BX42" s="221"/>
      <c r="BY42" s="221"/>
      <c r="BZ42" s="221"/>
      <c r="CA42" s="221"/>
      <c r="CB42" s="221"/>
      <c r="CC42" s="221"/>
      <c r="CD42" s="221"/>
      <c r="CE42" s="221"/>
      <c r="CF42" s="221"/>
      <c r="CG42" s="221"/>
      <c r="CH42" s="221"/>
      <c r="CI42" s="221"/>
      <c r="CJ42" s="221"/>
      <c r="CK42" s="221"/>
      <c r="CL42" s="221"/>
      <c r="CM42" s="221"/>
      <c r="CN42" s="221"/>
      <c r="CO42" s="221"/>
      <c r="CP42" s="221"/>
      <c r="CQ42" s="221"/>
      <c r="CR42" s="221"/>
      <c r="CS42" s="221"/>
      <c r="CT42" s="221"/>
      <c r="CU42" s="221"/>
      <c r="CV42" s="221"/>
      <c r="CW42" s="221"/>
      <c r="CX42" s="221"/>
      <c r="CY42" s="221"/>
      <c r="CZ42" s="4"/>
      <c r="DA42" s="4"/>
      <c r="DB42" s="4"/>
      <c r="DC42" s="4"/>
      <c r="DD42" s="4"/>
      <c r="DE42" s="4"/>
      <c r="DF42" s="4"/>
      <c r="DG42" s="4"/>
      <c r="DH42" s="4"/>
      <c r="DI42" s="4"/>
      <c r="DJ42" s="4"/>
      <c r="DK42" s="4"/>
      <c r="DL42" s="4"/>
      <c r="DM42" s="4"/>
      <c r="DN42" s="4"/>
      <c r="DO42" s="4"/>
      <c r="DP42" s="4"/>
      <c r="DQ42" s="4"/>
      <c r="DR42" s="4"/>
      <c r="DS42" s="4"/>
    </row>
    <row r="43" spans="1:123" ht="15.75" customHeight="1" x14ac:dyDescent="0.2">
      <c r="A43" s="4"/>
      <c r="B43" s="4"/>
      <c r="C43" s="4"/>
      <c r="D43" s="4"/>
      <c r="E43" s="4"/>
      <c r="F43" s="4"/>
      <c r="G43" s="4"/>
      <c r="H43" s="4"/>
      <c r="I43" s="218" t="s">
        <v>159</v>
      </c>
      <c r="J43" s="220"/>
      <c r="CZ43" s="4"/>
      <c r="DA43" s="4"/>
      <c r="DB43" s="4"/>
      <c r="DC43" s="4"/>
      <c r="DD43" s="4"/>
      <c r="DE43" s="4"/>
      <c r="DF43" s="4"/>
      <c r="DG43" s="4"/>
      <c r="DH43" s="4"/>
      <c r="DI43" s="4"/>
      <c r="DJ43" s="4"/>
      <c r="DK43" s="4"/>
      <c r="DL43" s="4"/>
      <c r="DM43" s="4"/>
      <c r="DN43" s="4"/>
      <c r="DO43" s="4"/>
      <c r="DP43" s="4"/>
      <c r="DQ43" s="4"/>
      <c r="DR43" s="4"/>
      <c r="DS43" s="4"/>
    </row>
    <row r="44" spans="1:123" ht="15.75" customHeight="1" x14ac:dyDescent="0.2">
      <c r="A44" s="4"/>
      <c r="B44" s="4"/>
      <c r="C44" s="4"/>
      <c r="D44" s="4"/>
      <c r="E44" s="4"/>
      <c r="F44" s="4"/>
      <c r="G44" s="4"/>
      <c r="H44" s="4"/>
      <c r="I44" s="47" t="s">
        <v>160</v>
      </c>
      <c r="J44" s="222">
        <f>'Summary of CBA'!D7</f>
        <v>0.8</v>
      </c>
      <c r="CZ44" s="4"/>
      <c r="DA44" s="4"/>
      <c r="DB44" s="4"/>
      <c r="DC44" s="4"/>
      <c r="DD44" s="4"/>
      <c r="DE44" s="4"/>
      <c r="DF44" s="4"/>
      <c r="DG44" s="4"/>
      <c r="DH44" s="4"/>
      <c r="DI44" s="4"/>
      <c r="DJ44" s="4"/>
      <c r="DK44" s="4"/>
      <c r="DL44" s="4"/>
      <c r="DM44" s="4"/>
      <c r="DN44" s="4"/>
      <c r="DO44" s="4"/>
      <c r="DP44" s="4"/>
      <c r="DQ44" s="4"/>
      <c r="DR44" s="4"/>
      <c r="DS44" s="4"/>
    </row>
    <row r="45" spans="1:123" ht="15.75" customHeight="1" x14ac:dyDescent="0.2">
      <c r="A45" s="4"/>
      <c r="B45" s="4"/>
      <c r="C45" s="4"/>
      <c r="D45" s="4"/>
      <c r="E45" s="4"/>
      <c r="F45" s="4"/>
      <c r="G45" s="4"/>
      <c r="H45" s="4"/>
      <c r="I45" s="218" t="s">
        <v>161</v>
      </c>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184"/>
      <c r="AR45" s="184"/>
      <c r="AS45" s="184"/>
      <c r="AT45" s="184"/>
      <c r="AU45" s="184"/>
      <c r="AV45" s="184"/>
      <c r="AW45" s="184"/>
      <c r="AX45" s="184"/>
      <c r="AY45" s="184"/>
      <c r="AZ45" s="184"/>
      <c r="BA45" s="184"/>
      <c r="BB45" s="184"/>
      <c r="BC45" s="184"/>
      <c r="BD45" s="184"/>
      <c r="BE45" s="184"/>
      <c r="BF45" s="184"/>
      <c r="BG45" s="184"/>
      <c r="BH45" s="184"/>
      <c r="BI45" s="184"/>
      <c r="BJ45" s="184"/>
      <c r="BK45" s="184"/>
      <c r="BL45" s="184"/>
      <c r="BM45" s="184"/>
      <c r="BN45" s="184"/>
      <c r="BO45" s="184"/>
      <c r="BP45" s="184"/>
      <c r="BQ45" s="184"/>
      <c r="BR45" s="184"/>
      <c r="BS45" s="184"/>
      <c r="BT45" s="184"/>
      <c r="BU45" s="184"/>
      <c r="BV45" s="184"/>
      <c r="BW45" s="184"/>
      <c r="BX45" s="184"/>
      <c r="BY45" s="184"/>
      <c r="BZ45" s="184"/>
      <c r="CA45" s="184"/>
      <c r="CB45" s="184"/>
      <c r="CC45" s="184"/>
      <c r="CD45" s="184"/>
      <c r="CE45" s="184"/>
      <c r="CF45" s="184"/>
      <c r="CG45" s="184"/>
      <c r="CH45" s="184"/>
      <c r="CI45" s="184"/>
      <c r="CJ45" s="184"/>
      <c r="CK45" s="184"/>
      <c r="CL45" s="184"/>
      <c r="CM45" s="184"/>
      <c r="CN45" s="184"/>
      <c r="CO45" s="184"/>
      <c r="CP45" s="184"/>
      <c r="CQ45" s="184"/>
      <c r="CR45" s="184"/>
      <c r="CS45" s="184"/>
      <c r="CT45" s="184"/>
      <c r="CU45" s="184"/>
      <c r="CV45" s="184"/>
      <c r="CW45" s="184"/>
      <c r="CX45" s="184"/>
      <c r="CY45" s="184"/>
      <c r="CZ45" s="4"/>
      <c r="DA45" s="4"/>
      <c r="DB45" s="4"/>
      <c r="DC45" s="4"/>
      <c r="DD45" s="4"/>
      <c r="DE45" s="4"/>
      <c r="DF45" s="4"/>
      <c r="DG45" s="4"/>
      <c r="DH45" s="4"/>
      <c r="DI45" s="4"/>
      <c r="DJ45" s="4"/>
      <c r="DK45" s="4"/>
      <c r="DL45" s="4"/>
      <c r="DM45" s="4"/>
      <c r="DN45" s="4"/>
      <c r="DO45" s="4"/>
      <c r="DP45" s="4"/>
      <c r="DQ45" s="4"/>
      <c r="DR45" s="4"/>
      <c r="DS45" s="4"/>
    </row>
    <row r="46" spans="1:123" ht="15.75" customHeight="1" x14ac:dyDescent="0.2">
      <c r="A46" s="4"/>
      <c r="B46" s="4"/>
      <c r="C46" s="4"/>
      <c r="D46" s="4"/>
      <c r="E46" s="4"/>
      <c r="F46" s="4"/>
      <c r="G46" s="4"/>
      <c r="H46" s="4"/>
      <c r="I46" s="47" t="s">
        <v>45</v>
      </c>
      <c r="J46" s="214">
        <f>'Cost (Counterfactual)'!P154</f>
        <v>10785189.408786723</v>
      </c>
      <c r="K46" s="214">
        <f>'Cost (Counterfactual)'!Q154</f>
        <v>11055055.566325039</v>
      </c>
      <c r="L46" s="214">
        <f>'Cost (Counterfactual)'!R154</f>
        <v>11331683.963925764</v>
      </c>
      <c r="M46" s="214">
        <f>'Cost (Counterfactual)'!S154</f>
        <v>11615244.263574094</v>
      </c>
      <c r="N46" s="214">
        <f>'Cost (Counterfactual)'!T154</f>
        <v>11905910.406127563</v>
      </c>
      <c r="O46" s="214">
        <f>'Cost (Counterfactual)'!U154</f>
        <v>12203860.722123161</v>
      </c>
      <c r="P46" s="214">
        <f>'Cost (Counterfactual)'!V154</f>
        <v>12509278.045847405</v>
      </c>
      <c r="Q46" s="214">
        <f>'Cost (Counterfactual)'!W154</f>
        <v>12822349.832818078</v>
      </c>
      <c r="R46" s="214">
        <f>'Cost (Counterfactual)'!X154</f>
        <v>13143268.280838987</v>
      </c>
      <c r="S46" s="214">
        <f>'Cost (Counterfactual)'!Y154</f>
        <v>13472230.454803815</v>
      </c>
      <c r="T46" s="214">
        <f>'Cost (Counterfactual)'!Z154</f>
        <v>13809438.415441368</v>
      </c>
      <c r="U46" s="214">
        <f>'Cost (Counterfactual)'!AA154</f>
        <v>14155099.352212869</v>
      </c>
      <c r="V46" s="214">
        <f>'Cost (Counterfactual)'!AB154</f>
        <v>14509425.720592795</v>
      </c>
      <c r="W46" s="214">
        <f>'Cost (Counterfactual)'!AC154</f>
        <v>14872635.383987881</v>
      </c>
      <c r="X46" s="214">
        <f>'Cost (Counterfactual)'!AD154</f>
        <v>15244951.760575445</v>
      </c>
      <c r="Y46" s="214">
        <f>'Cost (Counterfactual)'!AE154</f>
        <v>15626603.975371916</v>
      </c>
      <c r="Z46" s="214">
        <f>'Cost (Counterfactual)'!AF154</f>
        <v>16017827.017875949</v>
      </c>
      <c r="AA46" s="214">
        <f>'Cost (Counterfactual)'!AG154</f>
        <v>16418861.90566883</v>
      </c>
      <c r="AB46" s="214">
        <f>'Cost (Counterfactual)'!AH154</f>
        <v>16829794.531812094</v>
      </c>
      <c r="AC46" s="214">
        <f>'Cost (Counterfactual)'!AI154</f>
        <v>17166059.05871078</v>
      </c>
      <c r="AD46" s="214">
        <f>'Cost (Counterfactual)'!AJ154</f>
        <v>17509048.90245283</v>
      </c>
      <c r="AE46" s="214">
        <f>'Cost (Counterfactual)'!AK154</f>
        <v>17858898.569901217</v>
      </c>
      <c r="AF46" s="214">
        <f>'Cost (Counterfactual)'!AL154</f>
        <v>18215745.25806668</v>
      </c>
      <c r="AG46" s="214">
        <f>'Cost (Counterfactual)'!AM154</f>
        <v>18579728.90791095</v>
      </c>
      <c r="AH46" s="214">
        <f>'Cost (Counterfactual)'!AN154</f>
        <v>18950992.259225905</v>
      </c>
      <c r="AI46" s="214">
        <f>'Cost (Counterfactual)'!AO154</f>
        <v>19329680.906610433</v>
      </c>
      <c r="AJ46" s="214">
        <f>'Cost (Counterfactual)'!AP154</f>
        <v>19715943.356566783</v>
      </c>
      <c r="AK46" s="214">
        <f>'Cost (Counterfactual)'!AQ154</f>
        <v>20109931.085738882</v>
      </c>
      <c r="AL46" s="214">
        <f>'Cost (Counterfactual)'!AR154</f>
        <v>20511798.600315377</v>
      </c>
      <c r="AM46" s="214">
        <f>'Cost (Counterfactual)'!AS154</f>
        <v>20921703.496620771</v>
      </c>
      <c r="AN46" s="214">
        <f>'Cost (Counterfactual)'!AT154</f>
        <v>21339806.522918396</v>
      </c>
      <c r="AO46" s="214">
        <f>'Cost (Counterfactual)'!AU154</f>
        <v>21766271.642449416</v>
      </c>
      <c r="AP46" s="214">
        <f>'Cost (Counterfactual)'!AV154</f>
        <v>22201266.097732633</v>
      </c>
      <c r="AQ46" s="214">
        <f>'Cost (Counterfactual)'!AW154</f>
        <v>22644960.476150356</v>
      </c>
      <c r="AR46" s="214">
        <f>'Cost (Counterfactual)'!AX154</f>
        <v>23097528.776845824</v>
      </c>
      <c r="AS46" s="214">
        <f>'Cost (Counterfactual)'!AY154</f>
        <v>23559148.478958786</v>
      </c>
      <c r="AT46" s="214">
        <f>'Cost (Counterfactual)'!AZ154</f>
        <v>24030000.611225665</v>
      </c>
      <c r="AU46" s="214">
        <f>'Cost (Counterfactual)'!BA154</f>
        <v>24510269.82297178</v>
      </c>
      <c r="AV46" s="214">
        <f>'Cost (Counterfactual)'!BB154</f>
        <v>25000144.456523381</v>
      </c>
      <c r="AW46" s="214">
        <f>'Cost (Counterfactual)'!BC154</f>
        <v>25499816.621068001</v>
      </c>
      <c r="AX46" s="214">
        <f>'Cost (Counterfactual)'!BD154</f>
        <v>26009482.267991927</v>
      </c>
      <c r="AY46" s="214">
        <f>'Cost (Counterfactual)'!BE154</f>
        <v>26529341.267724525</v>
      </c>
      <c r="AZ46" s="214">
        <f>'Cost (Counterfactual)'!BF154</f>
        <v>27059597.488119368</v>
      </c>
      <c r="BA46" s="214">
        <f>'Cost (Counterfactual)'!BG154</f>
        <v>27600458.874403052</v>
      </c>
      <c r="BB46" s="214">
        <f>'Cost (Counterfactual)'!BH154</f>
        <v>28152137.530722968</v>
      </c>
      <c r="BC46" s="214">
        <f>'Cost (Counterfactual)'!BI154</f>
        <v>28714849.803326067</v>
      </c>
      <c r="BD46" s="214">
        <f>'Cost (Counterfactual)'!BJ154</f>
        <v>29288816.365401123</v>
      </c>
      <c r="BE46" s="214">
        <f>'Cost (Counterfactual)'!BK154</f>
        <v>29874262.303618003</v>
      </c>
      <c r="BF46" s="214">
        <f>'Cost (Counterfactual)'!BL154</f>
        <v>30471417.206397522</v>
      </c>
      <c r="BG46" s="214">
        <f>'Cost (Counterfactual)'!BM154</f>
        <v>31080515.253946923</v>
      </c>
      <c r="BH46" s="214">
        <f>'Cost (Counterfactual)'!BN154</f>
        <v>31701795.31009588</v>
      </c>
      <c r="BI46" s="214">
        <f>'Cost (Counterfactual)'!BO154</f>
        <v>32335501.015969351</v>
      </c>
      <c r="BJ46" s="214">
        <f>'Cost (Counterfactual)'!BP154</f>
        <v>32981880.885533854</v>
      </c>
      <c r="BK46" s="214">
        <f>'Cost (Counterfactual)'!BQ154</f>
        <v>33641188.403054707</v>
      </c>
      <c r="BL46" s="214">
        <f>'Cost (Counterfactual)'!BR154</f>
        <v>34313682.122502297</v>
      </c>
      <c r="BM46" s="214">
        <f>'Cost (Counterfactual)'!BS154</f>
        <v>34999625.768946715</v>
      </c>
      <c r="BN46" s="214">
        <f>'Cost (Counterfactual)'!BT154</f>
        <v>35699288.341980033</v>
      </c>
      <c r="BO46" s="214">
        <f>'Cost (Counterfactual)'!BU154</f>
        <v>36412944.221207261</v>
      </c>
      <c r="BP46" s="214">
        <f>'Cost (Counterfactual)'!BV154</f>
        <v>37140873.273846924</v>
      </c>
      <c r="BQ46" s="214">
        <f>'Cost (Counterfactual)'!BW154</f>
        <v>37883360.964483812</v>
      </c>
      <c r="BR46" s="214">
        <f>'Cost (Counterfactual)'!BX154</f>
        <v>38640698.467016794</v>
      </c>
      <c r="BS46" s="214">
        <f>'Cost (Counterfactual)'!BY154</f>
        <v>39413182.778845415</v>
      </c>
      <c r="BT46" s="214">
        <f>'Cost (Counterfactual)'!BZ154</f>
        <v>40201116.837340534</v>
      </c>
      <c r="BU46" s="214">
        <f>'Cost (Counterfactual)'!CA154</f>
        <v>41004809.638644055</v>
      </c>
      <c r="BV46" s="214">
        <f>'Cost (Counterfactual)'!CB154</f>
        <v>41824576.358844906</v>
      </c>
      <c r="BW46" s="214">
        <f>'Cost (Counterfactual)'!CC154</f>
        <v>42660738.477578476</v>
      </c>
      <c r="BX46" s="214">
        <f>'Cost (Counterfactual)'!CD154</f>
        <v>43513623.904097989</v>
      </c>
      <c r="BY46" s="214">
        <f>'Cost (Counterfactual)'!CE154</f>
        <v>44383567.105867386</v>
      </c>
      <c r="BZ46" s="214">
        <f>'Cost (Counterfactual)'!CF154</f>
        <v>45270909.239726044</v>
      </c>
      <c r="CA46" s="214">
        <f>'Cost (Counterfactual)'!CG154</f>
        <v>46175998.285676874</v>
      </c>
      <c r="CB46" s="214">
        <f>'Cost (Counterfactual)'!CH154</f>
        <v>47099189.18334996</v>
      </c>
      <c r="CC46" s="214">
        <f>'Cost (Counterfactual)'!CI154</f>
        <v>48040843.971195847</v>
      </c>
      <c r="CD46" s="214">
        <f>'Cost (Counterfactual)'!CJ154</f>
        <v>49001331.928462349</v>
      </c>
      <c r="CE46" s="214">
        <f>'Cost (Counterfactual)'!CK154</f>
        <v>49981029.720011197</v>
      </c>
      <c r="CF46" s="214">
        <f>'Cost (Counterfactual)'!CL154</f>
        <v>50980321.544030733</v>
      </c>
      <c r="CG46" s="214">
        <f>'Cost (Counterfactual)'!CM154</f>
        <v>51999599.282703176</v>
      </c>
      <c r="CH46" s="214">
        <f>'Cost (Counterfactual)'!CN154</f>
        <v>53039262.655885063</v>
      </c>
      <c r="CI46" s="214">
        <f>'Cost (Counterfactual)'!CO154</f>
        <v>54099719.377861269</v>
      </c>
      <c r="CJ46" s="214">
        <f>'Cost (Counterfactual)'!CP154</f>
        <v>55181385.317234315</v>
      </c>
      <c r="CK46" s="214">
        <f>'Cost (Counterfactual)'!CQ154</f>
        <v>56284684.660011277</v>
      </c>
      <c r="CL46" s="214">
        <f>'Cost (Counterfactual)'!CR154</f>
        <v>57410050.075952545</v>
      </c>
      <c r="CM46" s="214">
        <f>'Cost (Counterfactual)'!CS154</f>
        <v>58557922.888247609</v>
      </c>
      <c r="CN46" s="214">
        <f>'Cost (Counterfactual)'!CT154</f>
        <v>59728753.246584244</v>
      </c>
      <c r="CO46" s="214">
        <f>'Cost (Counterfactual)'!CU154</f>
        <v>60923000.303679168</v>
      </c>
      <c r="CP46" s="214">
        <f>'Cost (Counterfactual)'!CV154</f>
        <v>62141132.395339385</v>
      </c>
      <c r="CQ46" s="214">
        <f>'Cost (Counterfactual)'!CW154</f>
        <v>63383627.2241247</v>
      </c>
      <c r="CR46" s="214">
        <f>'Cost (Counterfactual)'!CX154</f>
        <v>64650972.046683408</v>
      </c>
      <c r="CS46" s="214">
        <f>'Cost (Counterfactual)'!CY154</f>
        <v>65943663.864834964</v>
      </c>
      <c r="CT46" s="214">
        <f>'Cost (Counterfactual)'!CZ154</f>
        <v>67262209.620474026</v>
      </c>
      <c r="CU46" s="214">
        <f>'Cost (Counterfactual)'!DA154</f>
        <v>68607126.394372866</v>
      </c>
      <c r="CV46" s="214">
        <f>'Cost (Counterfactual)'!DB154</f>
        <v>69978941.608959615</v>
      </c>
      <c r="CW46" s="214">
        <f>'Cost (Counterfactual)'!DC154</f>
        <v>71378193.235152215</v>
      </c>
      <c r="CX46" s="214">
        <f>'Cost (Counterfactual)'!DD154</f>
        <v>72805430.003329098</v>
      </c>
      <c r="CY46" s="214">
        <f>'Cost (Counterfactual)'!DE154</f>
        <v>74261211.618519098</v>
      </c>
      <c r="CZ46" s="4"/>
      <c r="DA46" s="4"/>
      <c r="DB46" s="4"/>
      <c r="DC46" s="4"/>
      <c r="DD46" s="4"/>
      <c r="DE46" s="4"/>
      <c r="DF46" s="4"/>
      <c r="DG46" s="4"/>
      <c r="DH46" s="4"/>
      <c r="DI46" s="4"/>
      <c r="DJ46" s="4"/>
      <c r="DK46" s="4"/>
      <c r="DL46" s="4"/>
      <c r="DM46" s="4"/>
      <c r="DN46" s="4"/>
      <c r="DO46" s="4"/>
      <c r="DP46" s="4"/>
      <c r="DQ46" s="4"/>
      <c r="DR46" s="4"/>
      <c r="DS46" s="4"/>
    </row>
    <row r="47" spans="1:123" ht="15.75" customHeight="1" x14ac:dyDescent="0.2">
      <c r="A47" s="4"/>
      <c r="B47" s="4"/>
      <c r="C47" s="4"/>
      <c r="D47" s="4"/>
      <c r="E47" s="4"/>
      <c r="F47" s="4"/>
      <c r="G47" s="4"/>
      <c r="H47" s="4"/>
      <c r="I47" s="47" t="s">
        <v>47</v>
      </c>
      <c r="J47" s="214">
        <f>'Cost (Model)'!P145</f>
        <v>107017.72662211831</v>
      </c>
      <c r="K47" s="214">
        <f>'Cost (Model)'!Q145</f>
        <v>108986.72473320429</v>
      </c>
      <c r="L47" s="214">
        <f>'Cost (Model)'!R145</f>
        <v>110995.10280651193</v>
      </c>
      <c r="M47" s="214">
        <f>'Cost (Model)'!S145</f>
        <v>113043.64844128575</v>
      </c>
      <c r="N47" s="214">
        <f>'Cost (Model)'!T145</f>
        <v>115133.16498875504</v>
      </c>
      <c r="O47" s="214">
        <f>'Cost (Model)'!U145</f>
        <v>117264.47186717374</v>
      </c>
      <c r="P47" s="214">
        <f>'Cost (Model)'!V145</f>
        <v>119438.40488316077</v>
      </c>
      <c r="Q47" s="214">
        <f>'Cost (Model)'!W145</f>
        <v>121655.81655946758</v>
      </c>
      <c r="R47" s="214">
        <f>'Cost (Model)'!X145</f>
        <v>123917.57646930047</v>
      </c>
      <c r="S47" s="214">
        <f>'Cost (Model)'!Y145</f>
        <v>126224.57157733008</v>
      </c>
      <c r="T47" s="214">
        <f>'Cost (Model)'!Z145</f>
        <v>128577.70658752028</v>
      </c>
      <c r="U47" s="214">
        <f>'Cost (Model)'!AA145</f>
        <v>130977.90429791425</v>
      </c>
      <c r="V47" s="214">
        <f>'Cost (Model)'!AB145</f>
        <v>133426.1059625161</v>
      </c>
      <c r="W47" s="214">
        <f>'Cost (Model)'!AC145</f>
        <v>135923.27166041004</v>
      </c>
      <c r="X47" s="214">
        <f>'Cost (Model)'!AD145</f>
        <v>138470.38067226182</v>
      </c>
      <c r="Y47" s="214">
        <f>'Cost (Model)'!AE145</f>
        <v>141068.4318643506</v>
      </c>
      <c r="Z47" s="214">
        <f>'Cost (Model)'!AF145</f>
        <v>143718.44408028119</v>
      </c>
      <c r="AA47" s="214">
        <f>'Cost (Model)'!AG145</f>
        <v>146421.45654053037</v>
      </c>
      <c r="AB47" s="214">
        <f>'Cost (Model)'!AH145</f>
        <v>149178.52924998457</v>
      </c>
      <c r="AC47" s="214">
        <f>'Cost (Model)'!AI145</f>
        <v>151990.74341362785</v>
      </c>
      <c r="AD47" s="214">
        <f>'Cost (Model)'!AJ145</f>
        <v>154859.20186054395</v>
      </c>
      <c r="AE47" s="214">
        <f>'Cost (Model)'!AK145</f>
        <v>157785.02947639846</v>
      </c>
      <c r="AF47" s="214">
        <f>'Cost (Model)'!AL145</f>
        <v>160769.37364457001</v>
      </c>
      <c r="AG47" s="214">
        <f>'Cost (Model)'!AM145</f>
        <v>163813.40469610496</v>
      </c>
      <c r="AH47" s="214">
        <f>'Cost (Model)'!AN145</f>
        <v>166918.31636867064</v>
      </c>
      <c r="AI47" s="214">
        <f>'Cost (Model)'!AO145</f>
        <v>170085.32627468766</v>
      </c>
      <c r="AJ47" s="214">
        <f>'Cost (Model)'!AP145</f>
        <v>173315.67637882495</v>
      </c>
      <c r="AK47" s="214">
        <f>'Cost (Model)'!AQ145</f>
        <v>176610.63348504502</v>
      </c>
      <c r="AL47" s="214">
        <f>'Cost (Model)'!AR145</f>
        <v>179971.48973338952</v>
      </c>
      <c r="AM47" s="214">
        <f>'Cost (Model)'!AS145</f>
        <v>183399.56310670087</v>
      </c>
      <c r="AN47" s="214">
        <f>'Cost (Model)'!AT145</f>
        <v>186896.19794747847</v>
      </c>
      <c r="AO47" s="214">
        <f>'Cost (Model)'!AU145</f>
        <v>190462.76548507164</v>
      </c>
      <c r="AP47" s="214">
        <f>'Cost (Model)'!AV145</f>
        <v>194100.6643734166</v>
      </c>
      <c r="AQ47" s="214">
        <f>'Cost (Model)'!AW145</f>
        <v>197811.32123952854</v>
      </c>
      <c r="AR47" s="214">
        <f>'Cost (Model)'!AX145</f>
        <v>201596.1912429627</v>
      </c>
      <c r="AS47" s="214">
        <f>'Cost (Model)'!AY145</f>
        <v>205456.75864646555</v>
      </c>
      <c r="AT47" s="214">
        <f>'Cost (Model)'!AZ145</f>
        <v>209394.5373980384</v>
      </c>
      <c r="AU47" s="214">
        <f>'Cost (Model)'!BA145</f>
        <v>213411.0717246428</v>
      </c>
      <c r="AV47" s="214">
        <f>'Cost (Model)'!BB145</f>
        <v>217507.93673777918</v>
      </c>
      <c r="AW47" s="214">
        <f>'Cost (Model)'!BC145</f>
        <v>221686.73905117839</v>
      </c>
      <c r="AX47" s="214">
        <f>'Cost (Model)'!BD145</f>
        <v>225949.11741084547</v>
      </c>
      <c r="AY47" s="214">
        <f>'Cost (Model)'!BE145</f>
        <v>230296.74333770599</v>
      </c>
      <c r="AZ47" s="214">
        <f>'Cost (Model)'!BF145</f>
        <v>234731.32178310369</v>
      </c>
      <c r="BA47" s="214">
        <f>'Cost (Model)'!BG145</f>
        <v>239254.59179740938</v>
      </c>
      <c r="BB47" s="214">
        <f>'Cost (Model)'!BH145</f>
        <v>243868.32721200108</v>
      </c>
      <c r="BC47" s="214">
        <f>'Cost (Model)'!BI145</f>
        <v>248574.33733488474</v>
      </c>
      <c r="BD47" s="214">
        <f>'Cost (Model)'!BJ145</f>
        <v>253374.46766022599</v>
      </c>
      <c r="BE47" s="214">
        <f>'Cost (Model)'!BK145</f>
        <v>258270.60059207407</v>
      </c>
      <c r="BF47" s="214">
        <f>'Cost (Model)'!BL145</f>
        <v>263264.65618255909</v>
      </c>
      <c r="BG47" s="214">
        <f>'Cost (Model)'!BM145</f>
        <v>268358.59288485389</v>
      </c>
      <c r="BH47" s="214">
        <f>'Cost (Model)'!BN145</f>
        <v>273554.40832119447</v>
      </c>
      <c r="BI47" s="214">
        <f>'Cost (Model)'!BO145</f>
        <v>278854.14006626204</v>
      </c>
      <c r="BJ47" s="214">
        <f>'Cost (Model)'!BP145</f>
        <v>284259.86644623079</v>
      </c>
      <c r="BK47" s="214">
        <f>'Cost (Model)'!BQ145</f>
        <v>289773.70735379914</v>
      </c>
      <c r="BL47" s="214">
        <f>'Cost (Model)'!BR145</f>
        <v>295397.82507951854</v>
      </c>
      <c r="BM47" s="214">
        <f>'Cost (Model)'!BS145</f>
        <v>301134.4251597526</v>
      </c>
      <c r="BN47" s="214">
        <f>'Cost (Model)'!BT145</f>
        <v>306985.75724159105</v>
      </c>
      <c r="BO47" s="214">
        <f>'Cost (Model)'!BU145</f>
        <v>312954.11596506659</v>
      </c>
      <c r="BP47" s="214">
        <f>'Cost (Model)'!BV145</f>
        <v>319041.84186301153</v>
      </c>
      <c r="BQ47" s="214">
        <f>'Cost (Model)'!BW145</f>
        <v>325251.32227891526</v>
      </c>
      <c r="BR47" s="214">
        <f>'Cost (Model)'!BX145</f>
        <v>331584.99230313714</v>
      </c>
      <c r="BS47" s="214">
        <f>'Cost (Model)'!BY145</f>
        <v>338045.33572784357</v>
      </c>
      <c r="BT47" s="214">
        <f>'Cost (Model)'!BZ145</f>
        <v>344634.88602104393</v>
      </c>
      <c r="BU47" s="214">
        <f>'Cost (Model)'!CA145</f>
        <v>351356.22732010839</v>
      </c>
      <c r="BV47" s="214">
        <f>'Cost (Model)'!CB145</f>
        <v>358211.99544515408</v>
      </c>
      <c r="BW47" s="214">
        <f>'Cost (Model)'!CC145</f>
        <v>365204.87893270084</v>
      </c>
      <c r="BX47" s="214">
        <f>'Cost (Model)'!CD145</f>
        <v>372337.62008999835</v>
      </c>
      <c r="BY47" s="214">
        <f>'Cost (Model)'!CE145</f>
        <v>379613.01607044198</v>
      </c>
      <c r="BZ47" s="214">
        <f>'Cost (Model)'!CF145</f>
        <v>387033.91997049429</v>
      </c>
      <c r="CA47" s="214">
        <f>'Cost (Model)'!CG145</f>
        <v>394603.24194854777</v>
      </c>
      <c r="CB47" s="214">
        <f>'Cost (Model)'!CH145</f>
        <v>402323.95036616235</v>
      </c>
      <c r="CC47" s="214">
        <f>'Cost (Model)'!CI145</f>
        <v>410199.07295212924</v>
      </c>
      <c r="CD47" s="214">
        <f>'Cost (Model)'!CJ145</f>
        <v>418231.69798981526</v>
      </c>
      <c r="CE47" s="214">
        <f>'Cost (Model)'!CK145</f>
        <v>426424.97552825522</v>
      </c>
      <c r="CF47" s="214">
        <f>'Cost (Model)'!CL145</f>
        <v>434782.11861746392</v>
      </c>
      <c r="CG47" s="214">
        <f>'Cost (Model)'!CM145</f>
        <v>443306.40456845664</v>
      </c>
      <c r="CH47" s="214">
        <f>'Cost (Model)'!CN145</f>
        <v>452001.17623846949</v>
      </c>
      <c r="CI47" s="214">
        <f>'Cost (Model)'!CO145</f>
        <v>460869.8433418824</v>
      </c>
      <c r="CJ47" s="214">
        <f>'Cost (Model)'!CP145</f>
        <v>469915.88378736365</v>
      </c>
      <c r="CK47" s="214">
        <f>'Cost (Model)'!CQ145</f>
        <v>479142.84504175454</v>
      </c>
      <c r="CL47" s="214">
        <f>'Cost (Model)'!CR145</f>
        <v>488554.34552123304</v>
      </c>
      <c r="CM47" s="214">
        <f>'Cost (Model)'!CS145</f>
        <v>498154.0760103013</v>
      </c>
      <c r="CN47" s="214">
        <f>'Cost (Model)'!CT145</f>
        <v>507945.80110915098</v>
      </c>
      <c r="CO47" s="214">
        <f>'Cost (Model)'!CU145</f>
        <v>517933.36070997757</v>
      </c>
      <c r="CP47" s="214">
        <f>'Cost (Model)'!CV145</f>
        <v>528120.67150282068</v>
      </c>
      <c r="CQ47" s="214">
        <f>'Cost (Model)'!CW145</f>
        <v>538511.72851152078</v>
      </c>
      <c r="CR47" s="214">
        <f>'Cost (Model)'!CX145</f>
        <v>549110.6066603947</v>
      </c>
      <c r="CS47" s="214">
        <f>'Cost (Model)'!CY145</f>
        <v>559921.4623722462</v>
      </c>
      <c r="CT47" s="214">
        <f>'Cost (Model)'!CZ145</f>
        <v>570948.53519833449</v>
      </c>
      <c r="CU47" s="214">
        <f>'Cost (Model)'!DA145</f>
        <v>582196.14948094485</v>
      </c>
      <c r="CV47" s="214">
        <f>'Cost (Model)'!DB145</f>
        <v>593668.71604920749</v>
      </c>
      <c r="CW47" s="214">
        <f>'Cost (Model)'!DC145</f>
        <v>605370.73394883506</v>
      </c>
      <c r="CX47" s="214">
        <f>'Cost (Model)'!DD145</f>
        <v>617306.79220645537</v>
      </c>
      <c r="CY47" s="214">
        <f>'Cost (Model)'!DE145</f>
        <v>629481.57162922807</v>
      </c>
      <c r="CZ47" s="4"/>
      <c r="DA47" s="4"/>
      <c r="DB47" s="4"/>
      <c r="DC47" s="4"/>
      <c r="DD47" s="4"/>
      <c r="DE47" s="4"/>
      <c r="DF47" s="4"/>
      <c r="DG47" s="4"/>
      <c r="DH47" s="4"/>
      <c r="DI47" s="4"/>
      <c r="DJ47" s="4"/>
      <c r="DK47" s="4"/>
      <c r="DL47" s="4"/>
      <c r="DM47" s="4"/>
      <c r="DN47" s="4"/>
      <c r="DO47" s="4"/>
      <c r="DP47" s="4"/>
      <c r="DQ47" s="4"/>
      <c r="DR47" s="4"/>
      <c r="DS47" s="4"/>
    </row>
    <row r="48" spans="1:123" ht="15.75" customHeight="1" x14ac:dyDescent="0.2">
      <c r="A48" s="4"/>
      <c r="B48" s="4"/>
      <c r="C48" s="4"/>
      <c r="D48" s="4"/>
      <c r="E48" s="4"/>
      <c r="F48" s="4"/>
      <c r="G48" s="4"/>
      <c r="H48" s="4"/>
      <c r="I48" s="223" t="s">
        <v>162</v>
      </c>
      <c r="J48" s="214">
        <f t="shared" ref="J48:CY48" si="32">J46-J47</f>
        <v>10678171.682164606</v>
      </c>
      <c r="K48" s="214">
        <f t="shared" si="32"/>
        <v>10946068.841591835</v>
      </c>
      <c r="L48" s="214">
        <f t="shared" si="32"/>
        <v>11220688.861119252</v>
      </c>
      <c r="M48" s="214">
        <f t="shared" si="32"/>
        <v>11502200.615132809</v>
      </c>
      <c r="N48" s="214">
        <f t="shared" si="32"/>
        <v>11790777.241138808</v>
      </c>
      <c r="O48" s="214">
        <f t="shared" si="32"/>
        <v>12086596.250255987</v>
      </c>
      <c r="P48" s="214">
        <f t="shared" si="32"/>
        <v>12389839.640964244</v>
      </c>
      <c r="Q48" s="214">
        <f t="shared" si="32"/>
        <v>12700694.01625861</v>
      </c>
      <c r="R48" s="214">
        <f t="shared" si="32"/>
        <v>13019350.704369687</v>
      </c>
      <c r="S48" s="214">
        <f t="shared" si="32"/>
        <v>13346005.883226486</v>
      </c>
      <c r="T48" s="214">
        <f t="shared" si="32"/>
        <v>13680860.708853848</v>
      </c>
      <c r="U48" s="214">
        <f t="shared" si="32"/>
        <v>14024121.447914954</v>
      </c>
      <c r="V48" s="214">
        <f t="shared" si="32"/>
        <v>14375999.614630278</v>
      </c>
      <c r="W48" s="214">
        <f t="shared" si="32"/>
        <v>14736712.112327471</v>
      </c>
      <c r="X48" s="214">
        <f t="shared" si="32"/>
        <v>15106481.379903184</v>
      </c>
      <c r="Y48" s="214">
        <f t="shared" si="32"/>
        <v>15485535.543507565</v>
      </c>
      <c r="Z48" s="214">
        <f t="shared" si="32"/>
        <v>15874108.573795667</v>
      </c>
      <c r="AA48" s="214">
        <f t="shared" si="32"/>
        <v>16272440.4491283</v>
      </c>
      <c r="AB48" s="214">
        <f t="shared" si="32"/>
        <v>16680616.002562109</v>
      </c>
      <c r="AC48" s="214">
        <f t="shared" si="32"/>
        <v>17014068.315297153</v>
      </c>
      <c r="AD48" s="214">
        <f t="shared" si="32"/>
        <v>17354189.700592287</v>
      </c>
      <c r="AE48" s="214">
        <f t="shared" si="32"/>
        <v>17701113.54042482</v>
      </c>
      <c r="AF48" s="214">
        <f t="shared" si="32"/>
        <v>18054975.884422109</v>
      </c>
      <c r="AG48" s="214">
        <f t="shared" si="32"/>
        <v>18415915.503214847</v>
      </c>
      <c r="AH48" s="214">
        <f t="shared" si="32"/>
        <v>18784073.942857236</v>
      </c>
      <c r="AI48" s="214">
        <f t="shared" si="32"/>
        <v>19159595.580335744</v>
      </c>
      <c r="AJ48" s="214">
        <f t="shared" si="32"/>
        <v>19542627.680187959</v>
      </c>
      <c r="AK48" s="214">
        <f t="shared" si="32"/>
        <v>19933320.452253837</v>
      </c>
      <c r="AL48" s="214">
        <f t="shared" si="32"/>
        <v>20331827.110581987</v>
      </c>
      <c r="AM48" s="214">
        <f t="shared" si="32"/>
        <v>20738303.93351407</v>
      </c>
      <c r="AN48" s="214">
        <f t="shared" si="32"/>
        <v>21152910.324970916</v>
      </c>
      <c r="AO48" s="214">
        <f t="shared" si="32"/>
        <v>21575808.876964346</v>
      </c>
      <c r="AP48" s="214">
        <f t="shared" si="32"/>
        <v>22007165.433359217</v>
      </c>
      <c r="AQ48" s="214">
        <f t="shared" si="32"/>
        <v>22447149.154910829</v>
      </c>
      <c r="AR48" s="214">
        <f t="shared" si="32"/>
        <v>22895932.585602861</v>
      </c>
      <c r="AS48" s="214">
        <f t="shared" si="32"/>
        <v>23353691.72031232</v>
      </c>
      <c r="AT48" s="214">
        <f t="shared" si="32"/>
        <v>23820606.073827628</v>
      </c>
      <c r="AU48" s="214">
        <f t="shared" si="32"/>
        <v>24296858.751247138</v>
      </c>
      <c r="AV48" s="214">
        <f t="shared" si="32"/>
        <v>24782636.519785602</v>
      </c>
      <c r="AW48" s="214">
        <f t="shared" si="32"/>
        <v>25278129.882016823</v>
      </c>
      <c r="AX48" s="214">
        <f t="shared" si="32"/>
        <v>25783533.15058108</v>
      </c>
      <c r="AY48" s="214">
        <f t="shared" si="32"/>
        <v>26299044.524386819</v>
      </c>
      <c r="AZ48" s="214">
        <f t="shared" si="32"/>
        <v>26824866.166336264</v>
      </c>
      <c r="BA48" s="214">
        <f t="shared" si="32"/>
        <v>27361204.282605644</v>
      </c>
      <c r="BB48" s="214">
        <f t="shared" si="32"/>
        <v>27908269.203510966</v>
      </c>
      <c r="BC48" s="214">
        <f t="shared" si="32"/>
        <v>28466275.46599118</v>
      </c>
      <c r="BD48" s="214">
        <f t="shared" si="32"/>
        <v>29035441.897740897</v>
      </c>
      <c r="BE48" s="214">
        <f t="shared" si="32"/>
        <v>29615991.70302593</v>
      </c>
      <c r="BF48" s="214">
        <f t="shared" si="32"/>
        <v>30208152.550214965</v>
      </c>
      <c r="BG48" s="214">
        <f t="shared" si="32"/>
        <v>30812156.661062069</v>
      </c>
      <c r="BH48" s="214">
        <f t="shared" si="32"/>
        <v>31428240.901774686</v>
      </c>
      <c r="BI48" s="214">
        <f t="shared" si="32"/>
        <v>32056646.875903089</v>
      </c>
      <c r="BJ48" s="214">
        <f t="shared" si="32"/>
        <v>32697621.019087624</v>
      </c>
      <c r="BK48" s="214">
        <f t="shared" si="32"/>
        <v>33351414.695700906</v>
      </c>
      <c r="BL48" s="214">
        <f t="shared" si="32"/>
        <v>34018284.297422782</v>
      </c>
      <c r="BM48" s="214">
        <f t="shared" si="32"/>
        <v>34698491.343786962</v>
      </c>
      <c r="BN48" s="214">
        <f t="shared" si="32"/>
        <v>35392302.584738441</v>
      </c>
      <c r="BO48" s="214">
        <f t="shared" si="32"/>
        <v>36099990.105242193</v>
      </c>
      <c r="BP48" s="214">
        <f t="shared" si="32"/>
        <v>36821831.431983911</v>
      </c>
      <c r="BQ48" s="214">
        <f t="shared" si="32"/>
        <v>37558109.642204896</v>
      </c>
      <c r="BR48" s="214">
        <f t="shared" si="32"/>
        <v>38309113.474713653</v>
      </c>
      <c r="BS48" s="214">
        <f t="shared" si="32"/>
        <v>39075137.443117574</v>
      </c>
      <c r="BT48" s="214">
        <f t="shared" si="32"/>
        <v>39856481.951319493</v>
      </c>
      <c r="BU48" s="214">
        <f t="shared" si="32"/>
        <v>40653453.41132395</v>
      </c>
      <c r="BV48" s="214">
        <f t="shared" si="32"/>
        <v>41466364.363399751</v>
      </c>
      <c r="BW48" s="214">
        <f t="shared" si="32"/>
        <v>42295533.598645777</v>
      </c>
      <c r="BX48" s="214">
        <f t="shared" si="32"/>
        <v>43141286.284007989</v>
      </c>
      <c r="BY48" s="214">
        <f t="shared" si="32"/>
        <v>44003954.089796945</v>
      </c>
      <c r="BZ48" s="214">
        <f t="shared" si="32"/>
        <v>44883875.319755547</v>
      </c>
      <c r="CA48" s="214">
        <f t="shared" si="32"/>
        <v>45781395.043728329</v>
      </c>
      <c r="CB48" s="214">
        <f t="shared" si="32"/>
        <v>46696865.232983798</v>
      </c>
      <c r="CC48" s="214">
        <f t="shared" si="32"/>
        <v>47630644.898243718</v>
      </c>
      <c r="CD48" s="214">
        <f t="shared" si="32"/>
        <v>48583100.230472535</v>
      </c>
      <c r="CE48" s="214">
        <f t="shared" si="32"/>
        <v>49554604.744482942</v>
      </c>
      <c r="CF48" s="214">
        <f t="shared" si="32"/>
        <v>50545539.425413266</v>
      </c>
      <c r="CG48" s="214">
        <f t="shared" si="32"/>
        <v>51556292.87813472</v>
      </c>
      <c r="CH48" s="214">
        <f t="shared" si="32"/>
        <v>52587261.479646593</v>
      </c>
      <c r="CI48" s="214">
        <f t="shared" si="32"/>
        <v>53638849.534519389</v>
      </c>
      <c r="CJ48" s="214">
        <f t="shared" si="32"/>
        <v>54711469.433446951</v>
      </c>
      <c r="CK48" s="214">
        <f t="shared" si="32"/>
        <v>55805541.814969525</v>
      </c>
      <c r="CL48" s="214">
        <f t="shared" si="32"/>
        <v>56921495.730431311</v>
      </c>
      <c r="CM48" s="214">
        <f t="shared" si="32"/>
        <v>58059768.812237307</v>
      </c>
      <c r="CN48" s="214">
        <f t="shared" si="32"/>
        <v>59220807.445475094</v>
      </c>
      <c r="CO48" s="214">
        <f t="shared" si="32"/>
        <v>60405066.942969188</v>
      </c>
      <c r="CP48" s="214">
        <f t="shared" si="32"/>
        <v>61613011.723836564</v>
      </c>
      <c r="CQ48" s="214">
        <f t="shared" si="32"/>
        <v>62845115.49561318</v>
      </c>
      <c r="CR48" s="214">
        <f t="shared" si="32"/>
        <v>64101861.440023012</v>
      </c>
      <c r="CS48" s="214">
        <f t="shared" si="32"/>
        <v>65383742.402462721</v>
      </c>
      <c r="CT48" s="214">
        <f t="shared" si="32"/>
        <v>66691261.085275695</v>
      </c>
      <c r="CU48" s="214">
        <f t="shared" si="32"/>
        <v>68024930.244891927</v>
      </c>
      <c r="CV48" s="214">
        <f t="shared" si="32"/>
        <v>69385272.892910406</v>
      </c>
      <c r="CW48" s="214">
        <f t="shared" si="32"/>
        <v>70772822.501203373</v>
      </c>
      <c r="CX48" s="214">
        <f t="shared" si="32"/>
        <v>72188123.211122647</v>
      </c>
      <c r="CY48" s="214">
        <f t="shared" si="32"/>
        <v>73631730.046889871</v>
      </c>
      <c r="CZ48" s="4"/>
      <c r="DA48" s="4"/>
      <c r="DB48" s="4"/>
      <c r="DC48" s="4"/>
      <c r="DD48" s="4"/>
      <c r="DE48" s="4"/>
      <c r="DF48" s="4"/>
      <c r="DG48" s="4"/>
      <c r="DH48" s="4"/>
      <c r="DI48" s="4"/>
      <c r="DJ48" s="4"/>
      <c r="DK48" s="4"/>
      <c r="DL48" s="4"/>
      <c r="DM48" s="4"/>
      <c r="DN48" s="4"/>
      <c r="DO48" s="4"/>
      <c r="DP48" s="4"/>
      <c r="DQ48" s="4"/>
      <c r="DR48" s="4"/>
      <c r="DS48" s="4"/>
    </row>
    <row r="49" spans="1:123" ht="15.75" customHeight="1" x14ac:dyDescent="0.2">
      <c r="A49" s="4"/>
      <c r="B49" s="4"/>
      <c r="C49" s="4"/>
      <c r="D49" s="4"/>
      <c r="E49" s="4"/>
      <c r="F49" s="4"/>
      <c r="G49" s="4"/>
      <c r="H49" s="4"/>
      <c r="I49" s="218" t="s">
        <v>163</v>
      </c>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184"/>
      <c r="AX49" s="184"/>
      <c r="AY49" s="184"/>
      <c r="AZ49" s="184"/>
      <c r="BA49" s="184"/>
      <c r="BB49" s="184"/>
      <c r="BC49" s="184"/>
      <c r="BD49" s="184"/>
      <c r="BE49" s="184"/>
      <c r="BF49" s="184"/>
      <c r="BG49" s="184"/>
      <c r="BH49" s="184"/>
      <c r="BI49" s="184"/>
      <c r="BJ49" s="184"/>
      <c r="BK49" s="184"/>
      <c r="BL49" s="184"/>
      <c r="BM49" s="184"/>
      <c r="BN49" s="184"/>
      <c r="BO49" s="184"/>
      <c r="BP49" s="184"/>
      <c r="BQ49" s="184"/>
      <c r="BR49" s="184"/>
      <c r="BS49" s="184"/>
      <c r="BT49" s="184"/>
      <c r="BU49" s="184"/>
      <c r="BV49" s="184"/>
      <c r="BW49" s="184"/>
      <c r="BX49" s="184"/>
      <c r="BY49" s="184"/>
      <c r="BZ49" s="184"/>
      <c r="CA49" s="184"/>
      <c r="CB49" s="184"/>
      <c r="CC49" s="184"/>
      <c r="CD49" s="184"/>
      <c r="CE49" s="184"/>
      <c r="CF49" s="184"/>
      <c r="CG49" s="184"/>
      <c r="CH49" s="184"/>
      <c r="CI49" s="184"/>
      <c r="CJ49" s="184"/>
      <c r="CK49" s="184"/>
      <c r="CL49" s="184"/>
      <c r="CM49" s="184"/>
      <c r="CN49" s="184"/>
      <c r="CO49" s="184"/>
      <c r="CP49" s="184"/>
      <c r="CQ49" s="184"/>
      <c r="CR49" s="184"/>
      <c r="CS49" s="184"/>
      <c r="CT49" s="184"/>
      <c r="CU49" s="184"/>
      <c r="CV49" s="184"/>
      <c r="CW49" s="184"/>
      <c r="CX49" s="184"/>
      <c r="CY49" s="184"/>
      <c r="CZ49" s="4"/>
      <c r="DA49" s="4"/>
      <c r="DB49" s="4"/>
      <c r="DC49" s="4"/>
      <c r="DD49" s="4"/>
      <c r="DE49" s="4"/>
      <c r="DF49" s="4"/>
      <c r="DG49" s="4"/>
      <c r="DH49" s="4"/>
      <c r="DI49" s="4"/>
      <c r="DJ49" s="4"/>
      <c r="DK49" s="4"/>
      <c r="DL49" s="4"/>
      <c r="DM49" s="4"/>
      <c r="DN49" s="4"/>
      <c r="DO49" s="4"/>
      <c r="DP49" s="4"/>
      <c r="DQ49" s="4"/>
      <c r="DR49" s="4"/>
      <c r="DS49" s="4"/>
    </row>
    <row r="50" spans="1:123" ht="15.75" customHeight="1" x14ac:dyDescent="0.2">
      <c r="A50" s="4"/>
      <c r="B50" s="4"/>
      <c r="C50" s="4"/>
      <c r="D50" s="4"/>
      <c r="E50" s="4"/>
      <c r="F50" s="4"/>
      <c r="G50" s="4"/>
      <c r="H50" s="4"/>
      <c r="I50" s="224" t="s">
        <v>164</v>
      </c>
      <c r="J50" s="225">
        <f t="shared" ref="J50:CY50" si="33">J48*$J$44</f>
        <v>8542537.3457316849</v>
      </c>
      <c r="K50" s="225">
        <f t="shared" si="33"/>
        <v>8756855.0732734688</v>
      </c>
      <c r="L50" s="225">
        <f t="shared" si="33"/>
        <v>8976551.088895401</v>
      </c>
      <c r="M50" s="225">
        <f t="shared" si="33"/>
        <v>9201760.4921062477</v>
      </c>
      <c r="N50" s="225">
        <f t="shared" si="33"/>
        <v>9432621.7929110471</v>
      </c>
      <c r="O50" s="225">
        <f t="shared" si="33"/>
        <v>9669277.0002047904</v>
      </c>
      <c r="P50" s="225">
        <f t="shared" si="33"/>
        <v>9911871.7127713952</v>
      </c>
      <c r="Q50" s="225">
        <f t="shared" si="33"/>
        <v>10160555.213006889</v>
      </c>
      <c r="R50" s="225">
        <f t="shared" si="33"/>
        <v>10415480.56349575</v>
      </c>
      <c r="S50" s="225">
        <f t="shared" si="33"/>
        <v>10676804.70658119</v>
      </c>
      <c r="T50" s="225">
        <f t="shared" si="33"/>
        <v>10944688.567083079</v>
      </c>
      <c r="U50" s="225">
        <f t="shared" si="33"/>
        <v>11219297.158331964</v>
      </c>
      <c r="V50" s="225">
        <f t="shared" si="33"/>
        <v>11500799.691704223</v>
      </c>
      <c r="W50" s="225">
        <f t="shared" si="33"/>
        <v>11789369.689861977</v>
      </c>
      <c r="X50" s="225">
        <f t="shared" si="33"/>
        <v>12085185.103922548</v>
      </c>
      <c r="Y50" s="225">
        <f t="shared" si="33"/>
        <v>12388428.434806053</v>
      </c>
      <c r="Z50" s="225">
        <f t="shared" si="33"/>
        <v>12699286.859036535</v>
      </c>
      <c r="AA50" s="225">
        <f t="shared" si="33"/>
        <v>13017952.35930264</v>
      </c>
      <c r="AB50" s="225">
        <f t="shared" si="33"/>
        <v>13344492.802049689</v>
      </c>
      <c r="AC50" s="225">
        <f t="shared" si="33"/>
        <v>13611254.652237723</v>
      </c>
      <c r="AD50" s="225">
        <f t="shared" si="33"/>
        <v>13883351.760473831</v>
      </c>
      <c r="AE50" s="225">
        <f t="shared" si="33"/>
        <v>14160890.832339857</v>
      </c>
      <c r="AF50" s="225">
        <f t="shared" si="33"/>
        <v>14443980.707537688</v>
      </c>
      <c r="AG50" s="225">
        <f t="shared" si="33"/>
        <v>14732732.402571879</v>
      </c>
      <c r="AH50" s="225">
        <f t="shared" si="33"/>
        <v>15027259.154285789</v>
      </c>
      <c r="AI50" s="225">
        <f t="shared" si="33"/>
        <v>15327676.464268595</v>
      </c>
      <c r="AJ50" s="225">
        <f t="shared" si="33"/>
        <v>15634102.144150369</v>
      </c>
      <c r="AK50" s="225">
        <f t="shared" si="33"/>
        <v>15946656.36180307</v>
      </c>
      <c r="AL50" s="225">
        <f t="shared" si="33"/>
        <v>16265461.68846559</v>
      </c>
      <c r="AM50" s="225">
        <f t="shared" si="33"/>
        <v>16590643.146811256</v>
      </c>
      <c r="AN50" s="225">
        <f t="shared" si="33"/>
        <v>16922328.259976733</v>
      </c>
      <c r="AO50" s="225">
        <f t="shared" si="33"/>
        <v>17260647.101571478</v>
      </c>
      <c r="AP50" s="225">
        <f t="shared" si="33"/>
        <v>17605732.346687373</v>
      </c>
      <c r="AQ50" s="225">
        <f t="shared" si="33"/>
        <v>17957719.323928665</v>
      </c>
      <c r="AR50" s="225">
        <f t="shared" si="33"/>
        <v>18316746.068482291</v>
      </c>
      <c r="AS50" s="225">
        <f t="shared" si="33"/>
        <v>18682953.376249857</v>
      </c>
      <c r="AT50" s="225">
        <f t="shared" si="33"/>
        <v>19056484.859062102</v>
      </c>
      <c r="AU50" s="225">
        <f t="shared" si="33"/>
        <v>19437487.000997711</v>
      </c>
      <c r="AV50" s="225">
        <f t="shared" si="33"/>
        <v>19826109.215828482</v>
      </c>
      <c r="AW50" s="225">
        <f t="shared" si="33"/>
        <v>20222503.90561346</v>
      </c>
      <c r="AX50" s="225">
        <f t="shared" si="33"/>
        <v>20626826.520464867</v>
      </c>
      <c r="AY50" s="225">
        <f t="shared" si="33"/>
        <v>21039235.619509459</v>
      </c>
      <c r="AZ50" s="225">
        <f t="shared" si="33"/>
        <v>21459892.933069013</v>
      </c>
      <c r="BA50" s="225">
        <f t="shared" si="33"/>
        <v>21888963.426084518</v>
      </c>
      <c r="BB50" s="225">
        <f t="shared" si="33"/>
        <v>22326615.362808775</v>
      </c>
      <c r="BC50" s="225">
        <f t="shared" si="33"/>
        <v>22773020.372792944</v>
      </c>
      <c r="BD50" s="225">
        <f t="shared" si="33"/>
        <v>23228353.51819272</v>
      </c>
      <c r="BE50" s="225">
        <f t="shared" si="33"/>
        <v>23692793.362420745</v>
      </c>
      <c r="BF50" s="225">
        <f t="shared" si="33"/>
        <v>24166522.040171973</v>
      </c>
      <c r="BG50" s="225">
        <f t="shared" si="33"/>
        <v>24649725.328849658</v>
      </c>
      <c r="BH50" s="225">
        <f t="shared" si="33"/>
        <v>25142592.721419752</v>
      </c>
      <c r="BI50" s="225">
        <f t="shared" si="33"/>
        <v>25645317.500722472</v>
      </c>
      <c r="BJ50" s="225">
        <f t="shared" si="33"/>
        <v>26158096.8152701</v>
      </c>
      <c r="BK50" s="225">
        <f t="shared" si="33"/>
        <v>26681131.756560728</v>
      </c>
      <c r="BL50" s="225">
        <f t="shared" si="33"/>
        <v>27214627.437938228</v>
      </c>
      <c r="BM50" s="225">
        <f t="shared" si="33"/>
        <v>27758793.075029571</v>
      </c>
      <c r="BN50" s="225">
        <f t="shared" si="33"/>
        <v>28313842.067790754</v>
      </c>
      <c r="BO50" s="225">
        <f t="shared" si="33"/>
        <v>28879992.084193755</v>
      </c>
      <c r="BP50" s="225">
        <f t="shared" si="33"/>
        <v>29457465.145587131</v>
      </c>
      <c r="BQ50" s="225">
        <f t="shared" si="33"/>
        <v>30046487.713763919</v>
      </c>
      <c r="BR50" s="225">
        <f t="shared" si="33"/>
        <v>30647290.779770926</v>
      </c>
      <c r="BS50" s="225">
        <f t="shared" si="33"/>
        <v>31260109.954494059</v>
      </c>
      <c r="BT50" s="225">
        <f t="shared" si="33"/>
        <v>31885185.561055597</v>
      </c>
      <c r="BU50" s="225">
        <f t="shared" si="33"/>
        <v>32522762.72905916</v>
      </c>
      <c r="BV50" s="225">
        <f t="shared" si="33"/>
        <v>33173091.490719803</v>
      </c>
      <c r="BW50" s="225">
        <f t="shared" si="33"/>
        <v>33836426.878916621</v>
      </c>
      <c r="BX50" s="225">
        <f t="shared" si="33"/>
        <v>34513029.027206391</v>
      </c>
      <c r="BY50" s="225">
        <f t="shared" si="33"/>
        <v>35203163.271837555</v>
      </c>
      <c r="BZ50" s="225">
        <f t="shared" si="33"/>
        <v>35907100.255804442</v>
      </c>
      <c r="CA50" s="225">
        <f t="shared" si="33"/>
        <v>36625116.034982666</v>
      </c>
      <c r="CB50" s="225">
        <f t="shared" si="33"/>
        <v>37357492.18638704</v>
      </c>
      <c r="CC50" s="225">
        <f t="shared" si="33"/>
        <v>38104515.918594979</v>
      </c>
      <c r="CD50" s="225">
        <f t="shared" si="33"/>
        <v>38866480.184378028</v>
      </c>
      <c r="CE50" s="225">
        <f t="shared" si="33"/>
        <v>39643683.795586355</v>
      </c>
      <c r="CF50" s="225">
        <f t="shared" si="33"/>
        <v>40436431.540330619</v>
      </c>
      <c r="CG50" s="225">
        <f t="shared" si="33"/>
        <v>41245034.30250778</v>
      </c>
      <c r="CH50" s="225">
        <f t="shared" si="33"/>
        <v>42069809.183717281</v>
      </c>
      <c r="CI50" s="225">
        <f t="shared" si="33"/>
        <v>42911079.627615511</v>
      </c>
      <c r="CJ50" s="225">
        <f t="shared" si="33"/>
        <v>43769175.546757564</v>
      </c>
      <c r="CK50" s="225">
        <f t="shared" si="33"/>
        <v>44644433.451975621</v>
      </c>
      <c r="CL50" s="225">
        <f t="shared" si="33"/>
        <v>45537196.58434505</v>
      </c>
      <c r="CM50" s="225">
        <f t="shared" si="33"/>
        <v>46447815.049789846</v>
      </c>
      <c r="CN50" s="225">
        <f t="shared" si="33"/>
        <v>47376645.956380077</v>
      </c>
      <c r="CO50" s="225">
        <f t="shared" si="33"/>
        <v>48324053.55437535</v>
      </c>
      <c r="CP50" s="225">
        <f t="shared" si="33"/>
        <v>49290409.379069254</v>
      </c>
      <c r="CQ50" s="225">
        <f t="shared" si="33"/>
        <v>50276092.396490544</v>
      </c>
      <c r="CR50" s="225">
        <f t="shared" si="33"/>
        <v>51281489.152018413</v>
      </c>
      <c r="CS50" s="225">
        <f t="shared" si="33"/>
        <v>52306993.921970181</v>
      </c>
      <c r="CT50" s="225">
        <f t="shared" si="33"/>
        <v>53353008.86822056</v>
      </c>
      <c r="CU50" s="225">
        <f t="shared" si="33"/>
        <v>54419944.195913546</v>
      </c>
      <c r="CV50" s="225">
        <f t="shared" si="33"/>
        <v>55508218.314328328</v>
      </c>
      <c r="CW50" s="225">
        <f t="shared" si="33"/>
        <v>56618258.000962704</v>
      </c>
      <c r="CX50" s="225">
        <f t="shared" si="33"/>
        <v>57750498.568898119</v>
      </c>
      <c r="CY50" s="225">
        <f t="shared" si="33"/>
        <v>58905384.0375119</v>
      </c>
      <c r="CZ50" s="4"/>
      <c r="DA50" s="4"/>
      <c r="DB50" s="4"/>
      <c r="DC50" s="4"/>
      <c r="DD50" s="4"/>
      <c r="DE50" s="4"/>
      <c r="DF50" s="4"/>
      <c r="DG50" s="4"/>
      <c r="DH50" s="4"/>
      <c r="DI50" s="4"/>
      <c r="DJ50" s="4"/>
      <c r="DK50" s="4"/>
      <c r="DL50" s="4"/>
      <c r="DM50" s="4"/>
      <c r="DN50" s="4"/>
      <c r="DO50" s="4"/>
      <c r="DP50" s="4"/>
      <c r="DQ50" s="4"/>
      <c r="DR50" s="4"/>
      <c r="DS50" s="4"/>
    </row>
    <row r="51" spans="1:123" ht="15.75" customHeight="1" x14ac:dyDescent="0.2">
      <c r="A51" s="4"/>
      <c r="B51" s="4"/>
      <c r="C51" s="4"/>
      <c r="D51" s="4"/>
      <c r="E51" s="4"/>
      <c r="F51" s="4"/>
      <c r="G51" s="4"/>
      <c r="H51" s="4"/>
      <c r="CZ51" s="4"/>
      <c r="DA51" s="4"/>
      <c r="DB51" s="4"/>
      <c r="DC51" s="4"/>
      <c r="DD51" s="4"/>
      <c r="DE51" s="4"/>
      <c r="DF51" s="4"/>
      <c r="DG51" s="4"/>
      <c r="DH51" s="4"/>
      <c r="DI51" s="4"/>
      <c r="DJ51" s="4"/>
      <c r="DK51" s="4"/>
      <c r="DL51" s="4"/>
      <c r="DM51" s="4"/>
      <c r="DN51" s="4"/>
      <c r="DO51" s="4"/>
      <c r="DP51" s="4"/>
      <c r="DQ51" s="4"/>
      <c r="DR51" s="4"/>
      <c r="DS51" s="4"/>
    </row>
    <row r="52" spans="1:123" ht="15.75" customHeight="1" x14ac:dyDescent="0.2">
      <c r="A52" s="4"/>
      <c r="B52" s="4"/>
      <c r="C52" s="4"/>
      <c r="D52" s="4"/>
      <c r="E52" s="4"/>
      <c r="F52" s="4"/>
      <c r="G52" s="4"/>
      <c r="H52" s="4"/>
      <c r="I52" s="218" t="s">
        <v>165</v>
      </c>
      <c r="J52" s="226">
        <v>5</v>
      </c>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row>
    <row r="53" spans="1:123" ht="15.75" customHeight="1" x14ac:dyDescent="0.2">
      <c r="A53" s="4"/>
      <c r="B53" s="4"/>
      <c r="C53" s="4"/>
      <c r="D53" s="4"/>
      <c r="E53" s="4"/>
      <c r="F53" s="4"/>
      <c r="G53" s="4"/>
      <c r="H53" s="4"/>
      <c r="I53" s="47" t="s">
        <v>166</v>
      </c>
      <c r="J53" s="227">
        <f>'Unit Costs and Indicators'!D18</f>
        <v>0.28409090909090912</v>
      </c>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row>
    <row r="54" spans="1:123" ht="15.75" customHeight="1" x14ac:dyDescent="0.2">
      <c r="A54" s="4"/>
      <c r="B54" s="4"/>
      <c r="C54" s="4"/>
      <c r="D54" s="4"/>
      <c r="E54" s="4"/>
      <c r="F54" s="4"/>
      <c r="G54" s="4"/>
      <c r="H54" s="4"/>
      <c r="I54" s="47" t="s">
        <v>167</v>
      </c>
      <c r="J54" s="228">
        <v>5280</v>
      </c>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c r="BI54" s="221"/>
      <c r="BJ54" s="221"/>
      <c r="BK54" s="221"/>
      <c r="BL54" s="221"/>
      <c r="BM54" s="221"/>
      <c r="BN54" s="221"/>
      <c r="BO54" s="221"/>
      <c r="BP54" s="221"/>
      <c r="BQ54" s="221"/>
      <c r="BR54" s="221"/>
      <c r="BS54" s="221"/>
      <c r="BT54" s="221"/>
      <c r="BU54" s="221"/>
      <c r="BV54" s="221"/>
      <c r="BW54" s="221"/>
      <c r="BX54" s="221"/>
      <c r="BY54" s="221"/>
      <c r="BZ54" s="221"/>
      <c r="CA54" s="221"/>
      <c r="CB54" s="221"/>
      <c r="CC54" s="221"/>
      <c r="CD54" s="221"/>
      <c r="CE54" s="221"/>
      <c r="CF54" s="221"/>
      <c r="CG54" s="221"/>
      <c r="CH54" s="221"/>
      <c r="CI54" s="221"/>
      <c r="CJ54" s="221"/>
      <c r="CK54" s="221"/>
      <c r="CL54" s="221"/>
      <c r="CM54" s="221"/>
      <c r="CN54" s="221"/>
      <c r="CO54" s="221"/>
      <c r="CP54" s="221"/>
      <c r="CQ54" s="221"/>
      <c r="CR54" s="221"/>
      <c r="CS54" s="221"/>
      <c r="CT54" s="221"/>
      <c r="CU54" s="221"/>
      <c r="CV54" s="221"/>
      <c r="CW54" s="221"/>
      <c r="CX54" s="221"/>
      <c r="CY54" s="221"/>
      <c r="CZ54" s="4"/>
      <c r="DA54" s="4"/>
      <c r="DB54" s="4"/>
      <c r="DC54" s="4"/>
      <c r="DD54" s="4"/>
      <c r="DE54" s="4"/>
      <c r="DF54" s="4"/>
      <c r="DG54" s="4"/>
      <c r="DH54" s="4"/>
      <c r="DI54" s="4"/>
      <c r="DJ54" s="4"/>
      <c r="DK54" s="4"/>
      <c r="DL54" s="4"/>
      <c r="DM54" s="4"/>
      <c r="DN54" s="4"/>
      <c r="DO54" s="4"/>
      <c r="DP54" s="4"/>
      <c r="DQ54" s="4"/>
      <c r="DR54" s="4"/>
      <c r="DS54" s="4"/>
    </row>
    <row r="55" spans="1:123" ht="15.75" customHeight="1" x14ac:dyDescent="0.2">
      <c r="A55" s="4"/>
      <c r="B55" s="4"/>
      <c r="C55" s="4"/>
      <c r="D55" s="4"/>
      <c r="E55" s="4"/>
      <c r="F55" s="4"/>
      <c r="G55" s="4"/>
      <c r="H55" s="4"/>
      <c r="I55" s="47" t="s">
        <v>168</v>
      </c>
      <c r="J55" s="229">
        <v>1609.34</v>
      </c>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row>
    <row r="56" spans="1:123" ht="15.75" customHeight="1" x14ac:dyDescent="0.2">
      <c r="A56" s="4"/>
      <c r="B56" s="4"/>
      <c r="C56" s="4"/>
      <c r="D56" s="4"/>
      <c r="E56" s="4"/>
      <c r="F56" s="4"/>
      <c r="G56" s="4"/>
      <c r="H56" s="4"/>
      <c r="I56" s="218" t="s">
        <v>169</v>
      </c>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184"/>
      <c r="AR56" s="184"/>
      <c r="AS56" s="184"/>
      <c r="AT56" s="184"/>
      <c r="AU56" s="184"/>
      <c r="AV56" s="184"/>
      <c r="AW56" s="184"/>
      <c r="AX56" s="184"/>
      <c r="AY56" s="184"/>
      <c r="AZ56" s="184"/>
      <c r="BA56" s="184"/>
      <c r="BB56" s="184"/>
      <c r="BC56" s="184"/>
      <c r="BD56" s="184"/>
      <c r="BE56" s="184"/>
      <c r="BF56" s="184"/>
      <c r="BG56" s="184"/>
      <c r="BH56" s="184"/>
      <c r="BI56" s="184"/>
      <c r="BJ56" s="184"/>
      <c r="BK56" s="184"/>
      <c r="BL56" s="184"/>
      <c r="BM56" s="184"/>
      <c r="BN56" s="184"/>
      <c r="BO56" s="184"/>
      <c r="BP56" s="184"/>
      <c r="BQ56" s="184"/>
      <c r="BR56" s="184"/>
      <c r="BS56" s="184"/>
      <c r="BT56" s="184"/>
      <c r="BU56" s="184"/>
      <c r="BV56" s="184"/>
      <c r="BW56" s="184"/>
      <c r="BX56" s="184"/>
      <c r="BY56" s="184"/>
      <c r="BZ56" s="184"/>
      <c r="CA56" s="184"/>
      <c r="CB56" s="184"/>
      <c r="CC56" s="184"/>
      <c r="CD56" s="184"/>
      <c r="CE56" s="184"/>
      <c r="CF56" s="184"/>
      <c r="CG56" s="184"/>
      <c r="CH56" s="184"/>
      <c r="CI56" s="184"/>
      <c r="CJ56" s="184"/>
      <c r="CK56" s="184"/>
      <c r="CL56" s="184"/>
      <c r="CM56" s="184"/>
      <c r="CN56" s="184"/>
      <c r="CO56" s="184"/>
      <c r="CP56" s="184"/>
      <c r="CQ56" s="184"/>
      <c r="CR56" s="184"/>
      <c r="CS56" s="184"/>
      <c r="CT56" s="184"/>
      <c r="CU56" s="184"/>
      <c r="CV56" s="184"/>
      <c r="CW56" s="184"/>
      <c r="CX56" s="184"/>
      <c r="CY56" s="184"/>
      <c r="CZ56" s="4"/>
      <c r="DA56" s="4"/>
      <c r="DB56" s="4"/>
      <c r="DC56" s="4"/>
      <c r="DD56" s="4"/>
      <c r="DE56" s="4"/>
      <c r="DF56" s="4"/>
      <c r="DG56" s="4"/>
      <c r="DH56" s="4"/>
      <c r="DI56" s="4"/>
      <c r="DJ56" s="4"/>
      <c r="DK56" s="4"/>
      <c r="DL56" s="4"/>
      <c r="DM56" s="4"/>
      <c r="DN56" s="4"/>
      <c r="DO56" s="4"/>
      <c r="DP56" s="4"/>
      <c r="DQ56" s="4"/>
      <c r="DR56" s="4"/>
      <c r="DS56" s="4"/>
    </row>
    <row r="57" spans="1:123" ht="15.75" customHeight="1" x14ac:dyDescent="0.2">
      <c r="A57" s="4"/>
      <c r="B57" s="4"/>
      <c r="C57" s="4"/>
      <c r="D57" s="4"/>
      <c r="E57" s="4"/>
      <c r="F57" s="4"/>
      <c r="G57" s="4"/>
      <c r="H57" s="4"/>
      <c r="I57" s="230" t="s">
        <v>164</v>
      </c>
      <c r="J57" s="203">
        <f t="shared" ref="J57:CY57" si="34">J50</f>
        <v>8542537.3457316849</v>
      </c>
      <c r="K57" s="203">
        <f t="shared" si="34"/>
        <v>8756855.0732734688</v>
      </c>
      <c r="L57" s="203">
        <f t="shared" si="34"/>
        <v>8976551.088895401</v>
      </c>
      <c r="M57" s="203">
        <f t="shared" si="34"/>
        <v>9201760.4921062477</v>
      </c>
      <c r="N57" s="203">
        <f t="shared" si="34"/>
        <v>9432621.7929110471</v>
      </c>
      <c r="O57" s="203">
        <f t="shared" si="34"/>
        <v>9669277.0002047904</v>
      </c>
      <c r="P57" s="203">
        <f t="shared" si="34"/>
        <v>9911871.7127713952</v>
      </c>
      <c r="Q57" s="203">
        <f t="shared" si="34"/>
        <v>10160555.213006889</v>
      </c>
      <c r="R57" s="203">
        <f t="shared" si="34"/>
        <v>10415480.56349575</v>
      </c>
      <c r="S57" s="203">
        <f t="shared" si="34"/>
        <v>10676804.70658119</v>
      </c>
      <c r="T57" s="203">
        <f t="shared" si="34"/>
        <v>10944688.567083079</v>
      </c>
      <c r="U57" s="203">
        <f t="shared" si="34"/>
        <v>11219297.158331964</v>
      </c>
      <c r="V57" s="203">
        <f t="shared" si="34"/>
        <v>11500799.691704223</v>
      </c>
      <c r="W57" s="203">
        <f t="shared" si="34"/>
        <v>11789369.689861977</v>
      </c>
      <c r="X57" s="203">
        <f t="shared" si="34"/>
        <v>12085185.103922548</v>
      </c>
      <c r="Y57" s="203">
        <f t="shared" si="34"/>
        <v>12388428.434806053</v>
      </c>
      <c r="Z57" s="203">
        <f t="shared" si="34"/>
        <v>12699286.859036535</v>
      </c>
      <c r="AA57" s="203">
        <f t="shared" si="34"/>
        <v>13017952.35930264</v>
      </c>
      <c r="AB57" s="203">
        <f t="shared" si="34"/>
        <v>13344492.802049689</v>
      </c>
      <c r="AC57" s="203">
        <f t="shared" si="34"/>
        <v>13611254.652237723</v>
      </c>
      <c r="AD57" s="203">
        <f t="shared" si="34"/>
        <v>13883351.760473831</v>
      </c>
      <c r="AE57" s="203">
        <f t="shared" si="34"/>
        <v>14160890.832339857</v>
      </c>
      <c r="AF57" s="203">
        <f t="shared" si="34"/>
        <v>14443980.707537688</v>
      </c>
      <c r="AG57" s="203">
        <f t="shared" si="34"/>
        <v>14732732.402571879</v>
      </c>
      <c r="AH57" s="203">
        <f t="shared" si="34"/>
        <v>15027259.154285789</v>
      </c>
      <c r="AI57" s="203">
        <f t="shared" si="34"/>
        <v>15327676.464268595</v>
      </c>
      <c r="AJ57" s="203">
        <f t="shared" si="34"/>
        <v>15634102.144150369</v>
      </c>
      <c r="AK57" s="203">
        <f t="shared" si="34"/>
        <v>15946656.36180307</v>
      </c>
      <c r="AL57" s="203">
        <f t="shared" si="34"/>
        <v>16265461.68846559</v>
      </c>
      <c r="AM57" s="203">
        <f t="shared" si="34"/>
        <v>16590643.146811256</v>
      </c>
      <c r="AN57" s="203">
        <f t="shared" si="34"/>
        <v>16922328.259976733</v>
      </c>
      <c r="AO57" s="203">
        <f t="shared" si="34"/>
        <v>17260647.101571478</v>
      </c>
      <c r="AP57" s="203">
        <f t="shared" si="34"/>
        <v>17605732.346687373</v>
      </c>
      <c r="AQ57" s="203">
        <f t="shared" si="34"/>
        <v>17957719.323928665</v>
      </c>
      <c r="AR57" s="203">
        <f t="shared" si="34"/>
        <v>18316746.068482291</v>
      </c>
      <c r="AS57" s="203">
        <f t="shared" si="34"/>
        <v>18682953.376249857</v>
      </c>
      <c r="AT57" s="203">
        <f t="shared" si="34"/>
        <v>19056484.859062102</v>
      </c>
      <c r="AU57" s="203">
        <f t="shared" si="34"/>
        <v>19437487.000997711</v>
      </c>
      <c r="AV57" s="203">
        <f t="shared" si="34"/>
        <v>19826109.215828482</v>
      </c>
      <c r="AW57" s="203">
        <f t="shared" si="34"/>
        <v>20222503.90561346</v>
      </c>
      <c r="AX57" s="203">
        <f t="shared" si="34"/>
        <v>20626826.520464867</v>
      </c>
      <c r="AY57" s="203">
        <f t="shared" si="34"/>
        <v>21039235.619509459</v>
      </c>
      <c r="AZ57" s="203">
        <f t="shared" si="34"/>
        <v>21459892.933069013</v>
      </c>
      <c r="BA57" s="203">
        <f t="shared" si="34"/>
        <v>21888963.426084518</v>
      </c>
      <c r="BB57" s="203">
        <f t="shared" si="34"/>
        <v>22326615.362808775</v>
      </c>
      <c r="BC57" s="203">
        <f t="shared" si="34"/>
        <v>22773020.372792944</v>
      </c>
      <c r="BD57" s="203">
        <f t="shared" si="34"/>
        <v>23228353.51819272</v>
      </c>
      <c r="BE57" s="203">
        <f t="shared" si="34"/>
        <v>23692793.362420745</v>
      </c>
      <c r="BF57" s="203">
        <f t="shared" si="34"/>
        <v>24166522.040171973</v>
      </c>
      <c r="BG57" s="203">
        <f t="shared" si="34"/>
        <v>24649725.328849658</v>
      </c>
      <c r="BH57" s="203">
        <f t="shared" si="34"/>
        <v>25142592.721419752</v>
      </c>
      <c r="BI57" s="203">
        <f t="shared" si="34"/>
        <v>25645317.500722472</v>
      </c>
      <c r="BJ57" s="203">
        <f t="shared" si="34"/>
        <v>26158096.8152701</v>
      </c>
      <c r="BK57" s="203">
        <f t="shared" si="34"/>
        <v>26681131.756560728</v>
      </c>
      <c r="BL57" s="203">
        <f t="shared" si="34"/>
        <v>27214627.437938228</v>
      </c>
      <c r="BM57" s="203">
        <f t="shared" si="34"/>
        <v>27758793.075029571</v>
      </c>
      <c r="BN57" s="203">
        <f t="shared" si="34"/>
        <v>28313842.067790754</v>
      </c>
      <c r="BO57" s="203">
        <f t="shared" si="34"/>
        <v>28879992.084193755</v>
      </c>
      <c r="BP57" s="203">
        <f t="shared" si="34"/>
        <v>29457465.145587131</v>
      </c>
      <c r="BQ57" s="203">
        <f t="shared" si="34"/>
        <v>30046487.713763919</v>
      </c>
      <c r="BR57" s="203">
        <f t="shared" si="34"/>
        <v>30647290.779770926</v>
      </c>
      <c r="BS57" s="203">
        <f t="shared" si="34"/>
        <v>31260109.954494059</v>
      </c>
      <c r="BT57" s="203">
        <f t="shared" si="34"/>
        <v>31885185.561055597</v>
      </c>
      <c r="BU57" s="203">
        <f t="shared" si="34"/>
        <v>32522762.72905916</v>
      </c>
      <c r="BV57" s="203">
        <f t="shared" si="34"/>
        <v>33173091.490719803</v>
      </c>
      <c r="BW57" s="203">
        <f t="shared" si="34"/>
        <v>33836426.878916621</v>
      </c>
      <c r="BX57" s="203">
        <f t="shared" si="34"/>
        <v>34513029.027206391</v>
      </c>
      <c r="BY57" s="203">
        <f t="shared" si="34"/>
        <v>35203163.271837555</v>
      </c>
      <c r="BZ57" s="203">
        <f t="shared" si="34"/>
        <v>35907100.255804442</v>
      </c>
      <c r="CA57" s="203">
        <f t="shared" si="34"/>
        <v>36625116.034982666</v>
      </c>
      <c r="CB57" s="203">
        <f t="shared" si="34"/>
        <v>37357492.18638704</v>
      </c>
      <c r="CC57" s="203">
        <f t="shared" si="34"/>
        <v>38104515.918594979</v>
      </c>
      <c r="CD57" s="203">
        <f t="shared" si="34"/>
        <v>38866480.184378028</v>
      </c>
      <c r="CE57" s="203">
        <f t="shared" si="34"/>
        <v>39643683.795586355</v>
      </c>
      <c r="CF57" s="203">
        <f t="shared" si="34"/>
        <v>40436431.540330619</v>
      </c>
      <c r="CG57" s="203">
        <f t="shared" si="34"/>
        <v>41245034.30250778</v>
      </c>
      <c r="CH57" s="203">
        <f t="shared" si="34"/>
        <v>42069809.183717281</v>
      </c>
      <c r="CI57" s="203">
        <f t="shared" si="34"/>
        <v>42911079.627615511</v>
      </c>
      <c r="CJ57" s="203">
        <f t="shared" si="34"/>
        <v>43769175.546757564</v>
      </c>
      <c r="CK57" s="203">
        <f t="shared" si="34"/>
        <v>44644433.451975621</v>
      </c>
      <c r="CL57" s="203">
        <f t="shared" si="34"/>
        <v>45537196.58434505</v>
      </c>
      <c r="CM57" s="203">
        <f t="shared" si="34"/>
        <v>46447815.049789846</v>
      </c>
      <c r="CN57" s="203">
        <f t="shared" si="34"/>
        <v>47376645.956380077</v>
      </c>
      <c r="CO57" s="203">
        <f t="shared" si="34"/>
        <v>48324053.55437535</v>
      </c>
      <c r="CP57" s="203">
        <f t="shared" si="34"/>
        <v>49290409.379069254</v>
      </c>
      <c r="CQ57" s="203">
        <f t="shared" si="34"/>
        <v>50276092.396490544</v>
      </c>
      <c r="CR57" s="203">
        <f t="shared" si="34"/>
        <v>51281489.152018413</v>
      </c>
      <c r="CS57" s="203">
        <f t="shared" si="34"/>
        <v>52306993.921970181</v>
      </c>
      <c r="CT57" s="203">
        <f t="shared" si="34"/>
        <v>53353008.86822056</v>
      </c>
      <c r="CU57" s="203">
        <f t="shared" si="34"/>
        <v>54419944.195913546</v>
      </c>
      <c r="CV57" s="203">
        <f t="shared" si="34"/>
        <v>55508218.314328328</v>
      </c>
      <c r="CW57" s="203">
        <f t="shared" si="34"/>
        <v>56618258.000962704</v>
      </c>
      <c r="CX57" s="203">
        <f t="shared" si="34"/>
        <v>57750498.568898119</v>
      </c>
      <c r="CY57" s="203">
        <f t="shared" si="34"/>
        <v>58905384.0375119</v>
      </c>
      <c r="CZ57" s="4"/>
      <c r="DA57" s="4"/>
      <c r="DB57" s="4"/>
      <c r="DC57" s="4"/>
      <c r="DD57" s="4"/>
      <c r="DE57" s="4"/>
      <c r="DF57" s="4"/>
      <c r="DG57" s="4"/>
      <c r="DH57" s="4"/>
      <c r="DI57" s="4"/>
      <c r="DJ57" s="4"/>
      <c r="DK57" s="4"/>
      <c r="DL57" s="4"/>
      <c r="DM57" s="4"/>
      <c r="DN57" s="4"/>
      <c r="DO57" s="4"/>
      <c r="DP57" s="4"/>
      <c r="DQ57" s="4"/>
      <c r="DR57" s="4"/>
      <c r="DS57" s="4"/>
    </row>
    <row r="58" spans="1:123" ht="15.75" customHeight="1" x14ac:dyDescent="0.2">
      <c r="A58" s="4"/>
      <c r="B58" s="4"/>
      <c r="C58" s="4"/>
      <c r="D58" s="4"/>
      <c r="E58" s="4"/>
      <c r="F58" s="4"/>
      <c r="G58" s="4"/>
      <c r="H58" s="4"/>
      <c r="I58" s="47" t="s">
        <v>170</v>
      </c>
      <c r="J58" s="231">
        <f t="shared" ref="J58:CY58" si="35">J48/$J$52/$J$53/$J$55</f>
        <v>4671.1278314364163</v>
      </c>
      <c r="K58" s="231">
        <f t="shared" si="35"/>
        <v>4788.3184811665978</v>
      </c>
      <c r="L58" s="231">
        <f t="shared" si="35"/>
        <v>4908.4500218896892</v>
      </c>
      <c r="M58" s="231">
        <f t="shared" si="35"/>
        <v>5031.596327098996</v>
      </c>
      <c r="N58" s="231">
        <f t="shared" si="35"/>
        <v>5157.8331351744946</v>
      </c>
      <c r="O58" s="231">
        <f t="shared" si="35"/>
        <v>5287.2380977172097</v>
      </c>
      <c r="P58" s="231">
        <f t="shared" si="35"/>
        <v>5419.8908293081804</v>
      </c>
      <c r="Q58" s="231">
        <f t="shared" si="35"/>
        <v>5555.8729587570433</v>
      </c>
      <c r="R58" s="231">
        <f t="shared" si="35"/>
        <v>5695.2681819107574</v>
      </c>
      <c r="S58" s="231">
        <f t="shared" si="35"/>
        <v>5838.1623160994222</v>
      </c>
      <c r="T58" s="231">
        <f t="shared" si="35"/>
        <v>5984.6433563032733</v>
      </c>
      <c r="U58" s="231">
        <f t="shared" si="35"/>
        <v>6134.801533132917</v>
      </c>
      <c r="V58" s="231">
        <f t="shared" si="35"/>
        <v>6288.7293727240458</v>
      </c>
      <c r="W58" s="231">
        <f t="shared" si="35"/>
        <v>6446.521758657922</v>
      </c>
      <c r="X58" s="231">
        <f t="shared" si="35"/>
        <v>6608.275996030573</v>
      </c>
      <c r="Y58" s="231">
        <f t="shared" si="35"/>
        <v>6774.0918778066334</v>
      </c>
      <c r="Z58" s="231">
        <f t="shared" si="35"/>
        <v>6944.071753608403</v>
      </c>
      <c r="AA58" s="231">
        <f t="shared" si="35"/>
        <v>7118.3206011074863</v>
      </c>
      <c r="AB58" s="231">
        <f t="shared" si="35"/>
        <v>7296.8755302196696</v>
      </c>
      <c r="AC58" s="231">
        <f t="shared" si="35"/>
        <v>7442.7430461985623</v>
      </c>
      <c r="AD58" s="231">
        <f t="shared" si="35"/>
        <v>7591.527924004231</v>
      </c>
      <c r="AE58" s="231">
        <f t="shared" si="35"/>
        <v>7743.2885111033556</v>
      </c>
      <c r="AF58" s="231">
        <f t="shared" si="35"/>
        <v>7898.0843219165399</v>
      </c>
      <c r="AG58" s="231">
        <f t="shared" si="35"/>
        <v>8055.9760611575257</v>
      </c>
      <c r="AH58" s="231">
        <f t="shared" si="35"/>
        <v>8217.0256476390896</v>
      </c>
      <c r="AI58" s="231">
        <f t="shared" si="35"/>
        <v>8381.29623855516</v>
      </c>
      <c r="AJ58" s="231">
        <f t="shared" si="35"/>
        <v>8548.8522542485262</v>
      </c>
      <c r="AK58" s="231">
        <f t="shared" si="35"/>
        <v>8719.7594034739086</v>
      </c>
      <c r="AL58" s="231">
        <f t="shared" si="35"/>
        <v>8894.0847091663163</v>
      </c>
      <c r="AM58" s="231">
        <f t="shared" si="35"/>
        <v>9071.896534724734</v>
      </c>
      <c r="AN58" s="231">
        <f t="shared" si="35"/>
        <v>9253.2646108215322</v>
      </c>
      <c r="AO58" s="231">
        <f t="shared" si="35"/>
        <v>9438.2600627480206</v>
      </c>
      <c r="AP58" s="231">
        <f t="shared" si="35"/>
        <v>9626.9554383069371</v>
      </c>
      <c r="AQ58" s="231">
        <f t="shared" si="35"/>
        <v>9819.4247362628303</v>
      </c>
      <c r="AR58" s="231">
        <f t="shared" si="35"/>
        <v>10015.743435361335</v>
      </c>
      <c r="AS58" s="231">
        <f t="shared" si="35"/>
        <v>10215.988523928985</v>
      </c>
      <c r="AT58" s="231">
        <f t="shared" si="35"/>
        <v>10420.238530064902</v>
      </c>
      <c r="AU58" s="231">
        <f t="shared" si="35"/>
        <v>10628.573552436392</v>
      </c>
      <c r="AV58" s="231">
        <f t="shared" si="35"/>
        <v>10841.075291690422</v>
      </c>
      <c r="AW58" s="231">
        <f t="shared" si="35"/>
        <v>11057.827082493348</v>
      </c>
      <c r="AX58" s="231">
        <f t="shared" si="35"/>
        <v>11278.913926211415</v>
      </c>
      <c r="AY58" s="231">
        <f t="shared" si="35"/>
        <v>11504.422524244919</v>
      </c>
      <c r="AZ58" s="231">
        <f t="shared" si="35"/>
        <v>11734.441312028988</v>
      </c>
      <c r="BA58" s="231">
        <f t="shared" si="35"/>
        <v>11969.060493714424</v>
      </c>
      <c r="BB58" s="231">
        <f t="shared" si="35"/>
        <v>12208.372077542172</v>
      </c>
      <c r="BC58" s="231">
        <f t="shared" si="35"/>
        <v>12452.469911925256</v>
      </c>
      <c r="BD58" s="231">
        <f t="shared" si="35"/>
        <v>12701.449722252346</v>
      </c>
      <c r="BE58" s="231">
        <f t="shared" si="35"/>
        <v>12955.409148427463</v>
      </c>
      <c r="BF58" s="231">
        <f t="shared" si="35"/>
        <v>13214.447783160387</v>
      </c>
      <c r="BG58" s="231">
        <f t="shared" si="35"/>
        <v>13478.667211022965</v>
      </c>
      <c r="BH58" s="231">
        <f t="shared" si="35"/>
        <v>13748.171048286489</v>
      </c>
      <c r="BI58" s="231">
        <f t="shared" si="35"/>
        <v>14023.064983555851</v>
      </c>
      <c r="BJ58" s="231">
        <f t="shared" si="35"/>
        <v>14303.456819216379</v>
      </c>
      <c r="BK58" s="231">
        <f t="shared" si="35"/>
        <v>14589.456513709618</v>
      </c>
      <c r="BL58" s="231">
        <f t="shared" si="35"/>
        <v>14881.1762246546</v>
      </c>
      <c r="BM58" s="231">
        <f t="shared" si="35"/>
        <v>15178.73035283161</v>
      </c>
      <c r="BN58" s="231">
        <f t="shared" si="35"/>
        <v>15482.235587045536</v>
      </c>
      <c r="BO58" s="231">
        <f t="shared" si="35"/>
        <v>15791.8109498866</v>
      </c>
      <c r="BP58" s="231">
        <f t="shared" si="35"/>
        <v>16107.577844406198</v>
      </c>
      <c r="BQ58" s="231">
        <f t="shared" si="35"/>
        <v>16429.660101726327</v>
      </c>
      <c r="BR58" s="231">
        <f t="shared" si="35"/>
        <v>16758.184029601209</v>
      </c>
      <c r="BS58" s="231">
        <f t="shared" si="35"/>
        <v>17093.278461950096</v>
      </c>
      <c r="BT58" s="231">
        <f t="shared" si="35"/>
        <v>17435.074809380814</v>
      </c>
      <c r="BU58" s="231">
        <f t="shared" si="35"/>
        <v>17783.707110723688</v>
      </c>
      <c r="BV58" s="231">
        <f t="shared" si="35"/>
        <v>18139.312085596222</v>
      </c>
      <c r="BW58" s="231">
        <f t="shared" si="35"/>
        <v>18502.029188019078</v>
      </c>
      <c r="BX58" s="231">
        <f t="shared" si="35"/>
        <v>18872.000661104317</v>
      </c>
      <c r="BY58" s="231">
        <f t="shared" si="35"/>
        <v>19249.371592837466</v>
      </c>
      <c r="BZ58" s="231">
        <f t="shared" si="35"/>
        <v>19634.289972975195</v>
      </c>
      <c r="CA58" s="231">
        <f t="shared" si="35"/>
        <v>20026.906751081031</v>
      </c>
      <c r="CB58" s="231">
        <f t="shared" si="35"/>
        <v>20427.375895721594</v>
      </c>
      <c r="CC58" s="231">
        <f t="shared" si="35"/>
        <v>20835.854454847064</v>
      </c>
      <c r="CD58" s="231">
        <f t="shared" si="35"/>
        <v>21252.502617378967</v>
      </c>
      <c r="CE58" s="231">
        <f t="shared" si="35"/>
        <v>21677.483776029923</v>
      </c>
      <c r="CF58" s="231">
        <f t="shared" si="35"/>
        <v>22110.964591379659</v>
      </c>
      <c r="CG58" s="231">
        <f t="shared" si="35"/>
        <v>22553.115057232681</v>
      </c>
      <c r="CH58" s="231">
        <f t="shared" si="35"/>
        <v>23004.108567282987</v>
      </c>
      <c r="CI58" s="231">
        <f t="shared" si="35"/>
        <v>23464.121983112116</v>
      </c>
      <c r="CJ58" s="231">
        <f t="shared" si="35"/>
        <v>23933.335703547204</v>
      </c>
      <c r="CK58" s="231">
        <f t="shared" si="35"/>
        <v>24411.933735406157</v>
      </c>
      <c r="CL58" s="231">
        <f t="shared" si="35"/>
        <v>24900.10376565775</v>
      </c>
      <c r="CM58" s="231">
        <f t="shared" si="35"/>
        <v>25398.03723502496</v>
      </c>
      <c r="CN58" s="231">
        <f t="shared" si="35"/>
        <v>25905.929413060301</v>
      </c>
      <c r="CO58" s="231">
        <f t="shared" si="35"/>
        <v>26423.979474722746</v>
      </c>
      <c r="CP58" s="231">
        <f t="shared" si="35"/>
        <v>26952.390578486178</v>
      </c>
      <c r="CQ58" s="231">
        <f t="shared" si="35"/>
        <v>27491.369946009963</v>
      </c>
      <c r="CR58" s="231">
        <f t="shared" si="35"/>
        <v>28041.128943403015</v>
      </c>
      <c r="CS58" s="231">
        <f t="shared" si="35"/>
        <v>28601.883164113086</v>
      </c>
      <c r="CT58" s="231">
        <f t="shared" si="35"/>
        <v>29173.852513473899</v>
      </c>
      <c r="CU58" s="231">
        <f t="shared" si="35"/>
        <v>29757.261294943211</v>
      </c>
      <c r="CV58" s="231">
        <f t="shared" si="35"/>
        <v>30352.338298065621</v>
      </c>
      <c r="CW58" s="231">
        <f t="shared" si="35"/>
        <v>30959.316888194644</v>
      </c>
      <c r="CX58" s="231">
        <f t="shared" si="35"/>
        <v>31578.435098009337</v>
      </c>
      <c r="CY58" s="231">
        <f t="shared" si="35"/>
        <v>32209.93572086102</v>
      </c>
      <c r="CZ58" s="4"/>
      <c r="DA58" s="4"/>
      <c r="DB58" s="4"/>
      <c r="DC58" s="4"/>
      <c r="DD58" s="4"/>
      <c r="DE58" s="4"/>
      <c r="DF58" s="4"/>
      <c r="DG58" s="4"/>
      <c r="DH58" s="4"/>
      <c r="DI58" s="4"/>
      <c r="DJ58" s="4"/>
      <c r="DK58" s="4"/>
      <c r="DL58" s="4"/>
      <c r="DM58" s="4"/>
      <c r="DN58" s="4"/>
      <c r="DO58" s="4"/>
      <c r="DP58" s="4"/>
      <c r="DQ58" s="4"/>
      <c r="DR58" s="4"/>
      <c r="DS58" s="4"/>
    </row>
    <row r="59" spans="1:123" ht="15.75" customHeight="1" x14ac:dyDescent="0.2">
      <c r="A59" s="4"/>
      <c r="B59" s="4"/>
      <c r="C59" s="4"/>
      <c r="D59" s="4"/>
      <c r="E59" s="4"/>
      <c r="F59" s="4"/>
      <c r="G59" s="4"/>
      <c r="H59" s="4"/>
      <c r="I59" s="47" t="s">
        <v>171</v>
      </c>
      <c r="J59" s="214">
        <f t="shared" ref="J59:CY59" si="36">J48/$J$52/$J$53/$J$54</f>
        <v>1423.756224288614</v>
      </c>
      <c r="K59" s="214">
        <f t="shared" si="36"/>
        <v>1459.4758455455778</v>
      </c>
      <c r="L59" s="214">
        <f t="shared" si="36"/>
        <v>1496.0918481492333</v>
      </c>
      <c r="M59" s="214">
        <f t="shared" si="36"/>
        <v>1533.6267486843744</v>
      </c>
      <c r="N59" s="214">
        <f t="shared" si="36"/>
        <v>1572.1036321518411</v>
      </c>
      <c r="O59" s="214">
        <f t="shared" si="36"/>
        <v>1611.5461667007983</v>
      </c>
      <c r="P59" s="214">
        <f t="shared" si="36"/>
        <v>1651.9786187952325</v>
      </c>
      <c r="Q59" s="214">
        <f t="shared" si="36"/>
        <v>1693.425868834481</v>
      </c>
      <c r="R59" s="214">
        <f t="shared" si="36"/>
        <v>1735.9134272492913</v>
      </c>
      <c r="S59" s="214">
        <f t="shared" si="36"/>
        <v>1779.4674510968644</v>
      </c>
      <c r="T59" s="214">
        <f t="shared" si="36"/>
        <v>1824.1147611805131</v>
      </c>
      <c r="U59" s="214">
        <f t="shared" si="36"/>
        <v>1869.882859721994</v>
      </c>
      <c r="V59" s="214">
        <f t="shared" si="36"/>
        <v>1916.7999486173703</v>
      </c>
      <c r="W59" s="214">
        <f t="shared" si="36"/>
        <v>1964.8949483103295</v>
      </c>
      <c r="X59" s="214">
        <f t="shared" si="36"/>
        <v>2014.1975173204244</v>
      </c>
      <c r="Y59" s="214">
        <f t="shared" si="36"/>
        <v>2064.7380724676755</v>
      </c>
      <c r="Z59" s="214">
        <f t="shared" si="36"/>
        <v>2116.5478098394219</v>
      </c>
      <c r="AA59" s="214">
        <f t="shared" si="36"/>
        <v>2169.6587265504395</v>
      </c>
      <c r="AB59" s="214">
        <f t="shared" si="36"/>
        <v>2224.0821336749477</v>
      </c>
      <c r="AC59" s="214">
        <f t="shared" si="36"/>
        <v>2268.5424420396203</v>
      </c>
      <c r="AD59" s="214">
        <f t="shared" si="36"/>
        <v>2313.8919600789714</v>
      </c>
      <c r="AE59" s="214">
        <f t="shared" si="36"/>
        <v>2360.1484720566427</v>
      </c>
      <c r="AF59" s="214">
        <f t="shared" si="36"/>
        <v>2407.3301179229475</v>
      </c>
      <c r="AG59" s="214">
        <f t="shared" si="36"/>
        <v>2455.455400428646</v>
      </c>
      <c r="AH59" s="214">
        <f t="shared" si="36"/>
        <v>2504.5431923809647</v>
      </c>
      <c r="AI59" s="214">
        <f t="shared" si="36"/>
        <v>2554.6127440447653</v>
      </c>
      <c r="AJ59" s="214">
        <f t="shared" si="36"/>
        <v>2605.6836906917279</v>
      </c>
      <c r="AK59" s="214">
        <f t="shared" si="36"/>
        <v>2657.7760603005113</v>
      </c>
      <c r="AL59" s="214">
        <f t="shared" si="36"/>
        <v>2710.9102814109315</v>
      </c>
      <c r="AM59" s="214">
        <f t="shared" si="36"/>
        <v>2765.1071911352092</v>
      </c>
      <c r="AN59" s="214">
        <f t="shared" si="36"/>
        <v>2820.3880433294553</v>
      </c>
      <c r="AO59" s="214">
        <f t="shared" si="36"/>
        <v>2876.7745169285795</v>
      </c>
      <c r="AP59" s="214">
        <f t="shared" si="36"/>
        <v>2934.2887244478952</v>
      </c>
      <c r="AQ59" s="214">
        <f t="shared" si="36"/>
        <v>2992.9532206547769</v>
      </c>
      <c r="AR59" s="214">
        <f t="shared" si="36"/>
        <v>3052.7910114137144</v>
      </c>
      <c r="AS59" s="214">
        <f t="shared" si="36"/>
        <v>3113.825562708309</v>
      </c>
      <c r="AT59" s="214">
        <f t="shared" si="36"/>
        <v>3176.0808098436833</v>
      </c>
      <c r="AU59" s="214">
        <f t="shared" si="36"/>
        <v>3239.5811668329511</v>
      </c>
      <c r="AV59" s="214">
        <f t="shared" si="36"/>
        <v>3304.3515359714133</v>
      </c>
      <c r="AW59" s="214">
        <f t="shared" si="36"/>
        <v>3370.4173176022432</v>
      </c>
      <c r="AX59" s="214">
        <f t="shared" si="36"/>
        <v>3437.8044200774771</v>
      </c>
      <c r="AY59" s="214">
        <f t="shared" si="36"/>
        <v>3506.5392699182421</v>
      </c>
      <c r="AZ59" s="214">
        <f t="shared" si="36"/>
        <v>3576.6488221781688</v>
      </c>
      <c r="BA59" s="214">
        <f t="shared" si="36"/>
        <v>3648.1605710140852</v>
      </c>
      <c r="BB59" s="214">
        <f t="shared" si="36"/>
        <v>3721.1025604681281</v>
      </c>
      <c r="BC59" s="214">
        <f t="shared" si="36"/>
        <v>3795.5033954654905</v>
      </c>
      <c r="BD59" s="214">
        <f t="shared" si="36"/>
        <v>3871.3922530321192</v>
      </c>
      <c r="BE59" s="214">
        <f t="shared" si="36"/>
        <v>3948.7988937367904</v>
      </c>
      <c r="BF59" s="214">
        <f t="shared" si="36"/>
        <v>4027.7536733619954</v>
      </c>
      <c r="BG59" s="214">
        <f t="shared" si="36"/>
        <v>4108.2875548082757</v>
      </c>
      <c r="BH59" s="214">
        <f t="shared" si="36"/>
        <v>4190.4321202366245</v>
      </c>
      <c r="BI59" s="214">
        <f t="shared" si="36"/>
        <v>4274.2195834537442</v>
      </c>
      <c r="BJ59" s="214">
        <f t="shared" si="36"/>
        <v>4359.6828025450159</v>
      </c>
      <c r="BK59" s="214">
        <f t="shared" si="36"/>
        <v>4446.8552927601204</v>
      </c>
      <c r="BL59" s="214">
        <f t="shared" si="36"/>
        <v>4535.7712396563702</v>
      </c>
      <c r="BM59" s="214">
        <f t="shared" si="36"/>
        <v>4626.4655125049285</v>
      </c>
      <c r="BN59" s="214">
        <f t="shared" si="36"/>
        <v>4718.9736779651248</v>
      </c>
      <c r="BO59" s="214">
        <f t="shared" si="36"/>
        <v>4813.3320140322921</v>
      </c>
      <c r="BP59" s="214">
        <f t="shared" si="36"/>
        <v>4909.5775242645204</v>
      </c>
      <c r="BQ59" s="214">
        <f t="shared" si="36"/>
        <v>5007.7479522939857</v>
      </c>
      <c r="BR59" s="214">
        <f t="shared" si="36"/>
        <v>5107.8817966284869</v>
      </c>
      <c r="BS59" s="214">
        <f t="shared" si="36"/>
        <v>5210.0183257490089</v>
      </c>
      <c r="BT59" s="214">
        <f t="shared" si="36"/>
        <v>5314.1975935092651</v>
      </c>
      <c r="BU59" s="214">
        <f t="shared" si="36"/>
        <v>5420.4604548431926</v>
      </c>
      <c r="BV59" s="214">
        <f t="shared" si="36"/>
        <v>5528.848581786634</v>
      </c>
      <c r="BW59" s="214">
        <f t="shared" si="36"/>
        <v>5639.4044798194363</v>
      </c>
      <c r="BX59" s="214">
        <f t="shared" si="36"/>
        <v>5752.1715045343981</v>
      </c>
      <c r="BY59" s="214">
        <f t="shared" si="36"/>
        <v>5867.1938786395913</v>
      </c>
      <c r="BZ59" s="214">
        <f t="shared" si="36"/>
        <v>5984.5167093007385</v>
      </c>
      <c r="CA59" s="214">
        <f t="shared" si="36"/>
        <v>6104.1860058304437</v>
      </c>
      <c r="CB59" s="214">
        <f t="shared" si="36"/>
        <v>6226.2486977311728</v>
      </c>
      <c r="CC59" s="214">
        <f t="shared" si="36"/>
        <v>6350.7526530991609</v>
      </c>
      <c r="CD59" s="214">
        <f t="shared" si="36"/>
        <v>6477.7466973963374</v>
      </c>
      <c r="CE59" s="214">
        <f t="shared" si="36"/>
        <v>6607.2806325977263</v>
      </c>
      <c r="CF59" s="214">
        <f t="shared" si="36"/>
        <v>6739.4052567217686</v>
      </c>
      <c r="CG59" s="214">
        <f t="shared" si="36"/>
        <v>6874.1723837512955</v>
      </c>
      <c r="CH59" s="214">
        <f t="shared" si="36"/>
        <v>7011.6348639528787</v>
      </c>
      <c r="CI59" s="214">
        <f t="shared" si="36"/>
        <v>7151.8466046025851</v>
      </c>
      <c r="CJ59" s="214">
        <f t="shared" si="36"/>
        <v>7294.8625911262607</v>
      </c>
      <c r="CK59" s="214">
        <f t="shared" si="36"/>
        <v>7440.7389086626035</v>
      </c>
      <c r="CL59" s="214">
        <f t="shared" si="36"/>
        <v>7589.5327640575078</v>
      </c>
      <c r="CM59" s="214">
        <f t="shared" si="36"/>
        <v>7741.3025082983077</v>
      </c>
      <c r="CN59" s="214">
        <f t="shared" si="36"/>
        <v>7896.1076593966791</v>
      </c>
      <c r="CO59" s="214">
        <f t="shared" si="36"/>
        <v>8054.0089257292238</v>
      </c>
      <c r="CP59" s="214">
        <f t="shared" si="36"/>
        <v>8215.0682298448755</v>
      </c>
      <c r="CQ59" s="214">
        <f t="shared" si="36"/>
        <v>8379.3487327484236</v>
      </c>
      <c r="CR59" s="214">
        <f t="shared" si="36"/>
        <v>8546.9148586697356</v>
      </c>
      <c r="CS59" s="214">
        <f t="shared" si="36"/>
        <v>8717.8323203283617</v>
      </c>
      <c r="CT59" s="214">
        <f t="shared" si="36"/>
        <v>8892.1681447034243</v>
      </c>
      <c r="CU59" s="214">
        <f t="shared" si="36"/>
        <v>9069.9906993189215</v>
      </c>
      <c r="CV59" s="214">
        <f t="shared" si="36"/>
        <v>9251.3697190547209</v>
      </c>
      <c r="CW59" s="214">
        <f t="shared" si="36"/>
        <v>9436.3763334937812</v>
      </c>
      <c r="CX59" s="214">
        <f t="shared" si="36"/>
        <v>9625.083094816353</v>
      </c>
      <c r="CY59" s="214">
        <f t="shared" si="36"/>
        <v>9817.5640062519833</v>
      </c>
      <c r="CZ59" s="4"/>
      <c r="DA59" s="4"/>
      <c r="DB59" s="4"/>
      <c r="DC59" s="4"/>
      <c r="DD59" s="4"/>
      <c r="DE59" s="4"/>
      <c r="DF59" s="4"/>
      <c r="DG59" s="4"/>
      <c r="DH59" s="4"/>
      <c r="DI59" s="4"/>
      <c r="DJ59" s="4"/>
      <c r="DK59" s="4"/>
      <c r="DL59" s="4"/>
      <c r="DM59" s="4"/>
      <c r="DN59" s="4"/>
      <c r="DO59" s="4"/>
      <c r="DP59" s="4"/>
      <c r="DQ59" s="4"/>
      <c r="DR59" s="4"/>
      <c r="DS59" s="4"/>
    </row>
    <row r="60" spans="1:123" ht="15.75" customHeight="1" x14ac:dyDescent="0.2">
      <c r="A60" s="4"/>
      <c r="B60" s="4"/>
      <c r="C60" s="4"/>
      <c r="D60" s="4"/>
      <c r="E60" s="4"/>
      <c r="F60" s="4"/>
      <c r="G60" s="4"/>
      <c r="H60" s="4"/>
      <c r="CZ60" s="4"/>
      <c r="DA60" s="4"/>
      <c r="DB60" s="4"/>
      <c r="DC60" s="4"/>
      <c r="DD60" s="4"/>
      <c r="DE60" s="4"/>
      <c r="DF60" s="4"/>
      <c r="DG60" s="4"/>
      <c r="DH60" s="4"/>
      <c r="DI60" s="4"/>
      <c r="DJ60" s="4"/>
      <c r="DK60" s="4"/>
      <c r="DL60" s="4"/>
      <c r="DM60" s="4"/>
      <c r="DN60" s="4"/>
      <c r="DO60" s="4"/>
      <c r="DP60" s="4"/>
      <c r="DQ60" s="4"/>
      <c r="DR60" s="4"/>
      <c r="DS60" s="4"/>
    </row>
    <row r="61" spans="1:123" ht="15.75" customHeight="1" x14ac:dyDescent="0.2">
      <c r="A61" s="4"/>
      <c r="B61" s="4"/>
      <c r="C61" s="4"/>
      <c r="D61" s="4"/>
      <c r="E61" s="4"/>
      <c r="F61" s="4"/>
      <c r="G61" s="4"/>
      <c r="H61" s="4"/>
      <c r="I61" s="232" t="s">
        <v>172</v>
      </c>
      <c r="J61" s="233">
        <f>SUM(J62:J66)</f>
        <v>1</v>
      </c>
      <c r="CZ61" s="4"/>
      <c r="DA61" s="4"/>
      <c r="DB61" s="4"/>
      <c r="DC61" s="4"/>
      <c r="DD61" s="4"/>
      <c r="DE61" s="4"/>
      <c r="DF61" s="4"/>
      <c r="DG61" s="4"/>
      <c r="DH61" s="4"/>
      <c r="DI61" s="4"/>
      <c r="DJ61" s="4"/>
      <c r="DK61" s="4"/>
      <c r="DL61" s="4"/>
      <c r="DM61" s="4"/>
      <c r="DN61" s="4"/>
      <c r="DO61" s="4"/>
      <c r="DP61" s="4"/>
      <c r="DQ61" s="4"/>
      <c r="DR61" s="4"/>
      <c r="DS61" s="4"/>
    </row>
    <row r="62" spans="1:123" ht="15.75" customHeight="1" x14ac:dyDescent="0.2">
      <c r="A62" s="4"/>
      <c r="B62" s="4"/>
      <c r="C62" s="4"/>
      <c r="D62" s="4"/>
      <c r="E62" s="4"/>
      <c r="F62" s="4"/>
      <c r="G62" s="4"/>
      <c r="H62" s="4"/>
      <c r="I62" s="47" t="str">
        <f>'Unit Costs and Indicators'!A177</f>
        <v>Telecommunications</v>
      </c>
      <c r="J62" s="234">
        <v>0.1145</v>
      </c>
      <c r="CZ62" s="4"/>
      <c r="DA62" s="4"/>
      <c r="DB62" s="4"/>
      <c r="DC62" s="4"/>
      <c r="DD62" s="4"/>
      <c r="DE62" s="4"/>
      <c r="DF62" s="4"/>
      <c r="DG62" s="4"/>
      <c r="DH62" s="4"/>
      <c r="DI62" s="4"/>
      <c r="DJ62" s="4"/>
      <c r="DK62" s="4"/>
      <c r="DL62" s="4"/>
      <c r="DM62" s="4"/>
      <c r="DN62" s="4"/>
      <c r="DO62" s="4"/>
      <c r="DP62" s="4"/>
      <c r="DQ62" s="4"/>
      <c r="DR62" s="4"/>
      <c r="DS62" s="4"/>
    </row>
    <row r="63" spans="1:123" ht="15.75" customHeight="1" x14ac:dyDescent="0.2">
      <c r="A63" s="4"/>
      <c r="B63" s="4"/>
      <c r="C63" s="4"/>
      <c r="D63" s="4"/>
      <c r="E63" s="4"/>
      <c r="F63" s="4"/>
      <c r="G63" s="4"/>
      <c r="H63" s="4"/>
      <c r="I63" s="47" t="str">
        <f>'Unit Costs and Indicators'!A176</f>
        <v>Natural Gas</v>
      </c>
      <c r="J63" s="235">
        <v>0.15</v>
      </c>
      <c r="CZ63" s="4"/>
      <c r="DA63" s="4"/>
      <c r="DB63" s="4"/>
      <c r="DC63" s="4"/>
      <c r="DD63" s="4"/>
      <c r="DE63" s="4"/>
      <c r="DF63" s="4"/>
      <c r="DG63" s="4"/>
      <c r="DH63" s="4"/>
      <c r="DI63" s="4"/>
      <c r="DJ63" s="4"/>
      <c r="DK63" s="4"/>
      <c r="DL63" s="4"/>
      <c r="DM63" s="4"/>
      <c r="DN63" s="4"/>
      <c r="DO63" s="4"/>
      <c r="DP63" s="4"/>
      <c r="DQ63" s="4"/>
      <c r="DR63" s="4"/>
      <c r="DS63" s="4"/>
    </row>
    <row r="64" spans="1:123" ht="15.75" customHeight="1" x14ac:dyDescent="0.2">
      <c r="A64" s="4"/>
      <c r="B64" s="4"/>
      <c r="C64" s="4"/>
      <c r="D64" s="4"/>
      <c r="E64" s="4"/>
      <c r="F64" s="4"/>
      <c r="G64" s="4"/>
      <c r="H64" s="4"/>
      <c r="I64" s="47" t="str">
        <f>'Unit Costs and Indicators'!A178</f>
        <v>Cable TV</v>
      </c>
      <c r="J64" s="234">
        <v>0.254</v>
      </c>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row>
    <row r="65" spans="1:123" ht="15.75" customHeight="1" x14ac:dyDescent="0.2">
      <c r="A65" s="4"/>
      <c r="B65" s="4"/>
      <c r="C65" s="4"/>
      <c r="D65" s="4"/>
      <c r="E65" s="4"/>
      <c r="F65" s="4"/>
      <c r="G65" s="4"/>
      <c r="H65" s="4"/>
      <c r="I65" s="47" t="str">
        <f>'Unit Costs and Indicators'!A179</f>
        <v>Electric</v>
      </c>
      <c r="J65" s="234">
        <v>0.35449999999999998</v>
      </c>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row>
    <row r="66" spans="1:123" ht="15.75" customHeight="1" x14ac:dyDescent="0.2">
      <c r="A66" s="4"/>
      <c r="B66" s="4"/>
      <c r="C66" s="4"/>
      <c r="D66" s="4"/>
      <c r="E66" s="4"/>
      <c r="F66" s="4"/>
      <c r="G66" s="4"/>
      <c r="H66" s="4"/>
      <c r="I66" s="47" t="str">
        <f>'Unit Costs and Indicators'!A181</f>
        <v>Water</v>
      </c>
      <c r="J66" s="234">
        <v>0.127</v>
      </c>
      <c r="K66" s="40"/>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row>
    <row r="67" spans="1:123" ht="15.75" customHeigh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row>
    <row r="68" spans="1:123" ht="15.75" customHeight="1" x14ac:dyDescent="0.2">
      <c r="A68" s="4"/>
      <c r="B68" s="4"/>
      <c r="C68" s="4"/>
      <c r="D68" s="4"/>
      <c r="E68" s="4"/>
      <c r="F68" s="4"/>
      <c r="G68" s="4"/>
      <c r="H68" s="4"/>
      <c r="I68" s="218" t="s">
        <v>169</v>
      </c>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c r="BS68" s="184"/>
      <c r="BT68" s="184"/>
      <c r="BU68" s="184"/>
      <c r="BV68" s="184"/>
      <c r="BW68" s="184"/>
      <c r="BX68" s="184"/>
      <c r="BY68" s="184"/>
      <c r="BZ68" s="184"/>
      <c r="CA68" s="184"/>
      <c r="CB68" s="184"/>
      <c r="CC68" s="184"/>
      <c r="CD68" s="184"/>
      <c r="CE68" s="184"/>
      <c r="CF68" s="184"/>
      <c r="CG68" s="184"/>
      <c r="CH68" s="184"/>
      <c r="CI68" s="184"/>
      <c r="CJ68" s="184"/>
      <c r="CK68" s="184"/>
      <c r="CL68" s="184"/>
      <c r="CM68" s="184"/>
      <c r="CN68" s="184"/>
      <c r="CO68" s="184"/>
      <c r="CP68" s="184"/>
      <c r="CQ68" s="184"/>
      <c r="CR68" s="184"/>
      <c r="CS68" s="184"/>
      <c r="CT68" s="184"/>
      <c r="CU68" s="184"/>
      <c r="CV68" s="184"/>
      <c r="CW68" s="184"/>
      <c r="CX68" s="184"/>
      <c r="CY68" s="184"/>
      <c r="CZ68" s="4"/>
      <c r="DA68" s="4"/>
      <c r="DB68" s="4"/>
      <c r="DC68" s="4"/>
      <c r="DD68" s="4"/>
      <c r="DE68" s="4"/>
      <c r="DF68" s="4"/>
      <c r="DG68" s="4"/>
      <c r="DH68" s="4"/>
      <c r="DI68" s="4"/>
      <c r="DJ68" s="4"/>
      <c r="DK68" s="4"/>
      <c r="DL68" s="4"/>
      <c r="DM68" s="4"/>
      <c r="DN68" s="4"/>
      <c r="DO68" s="4"/>
      <c r="DP68" s="4"/>
      <c r="DQ68" s="4"/>
      <c r="DR68" s="4"/>
      <c r="DS68" s="4"/>
    </row>
    <row r="69" spans="1:123" ht="15.75" customHeight="1" x14ac:dyDescent="0.2">
      <c r="A69" s="4"/>
      <c r="B69" s="4"/>
      <c r="C69" s="4"/>
      <c r="D69" s="4"/>
      <c r="E69" s="4"/>
      <c r="F69" s="4"/>
      <c r="G69" s="4"/>
      <c r="H69" s="4"/>
      <c r="I69" s="80" t="str">
        <f t="shared" ref="I69:I73" si="37">I62</f>
        <v>Telecommunications</v>
      </c>
      <c r="J69" s="67">
        <f t="shared" ref="J69:CY69" si="38">J$57*$J62/$J$61</f>
        <v>978120.52608627791</v>
      </c>
      <c r="K69" s="67">
        <f t="shared" si="38"/>
        <v>1002659.9058898122</v>
      </c>
      <c r="L69" s="67">
        <f t="shared" si="38"/>
        <v>1027815.0996785235</v>
      </c>
      <c r="M69" s="67">
        <f t="shared" si="38"/>
        <v>1053601.5763461655</v>
      </c>
      <c r="N69" s="67">
        <f t="shared" si="38"/>
        <v>1080035.1952883149</v>
      </c>
      <c r="O69" s="67">
        <f t="shared" si="38"/>
        <v>1107132.2165234485</v>
      </c>
      <c r="P69" s="67">
        <f t="shared" si="38"/>
        <v>1134909.3111123247</v>
      </c>
      <c r="Q69" s="67">
        <f t="shared" si="38"/>
        <v>1163383.571889289</v>
      </c>
      <c r="R69" s="67">
        <f t="shared" si="38"/>
        <v>1192572.5245202633</v>
      </c>
      <c r="S69" s="67">
        <f t="shared" si="38"/>
        <v>1222494.1389035464</v>
      </c>
      <c r="T69" s="67">
        <f t="shared" si="38"/>
        <v>1253166.8409310125</v>
      </c>
      <c r="U69" s="67">
        <f t="shared" si="38"/>
        <v>1284609.5246290099</v>
      </c>
      <c r="V69" s="67">
        <f t="shared" si="38"/>
        <v>1316841.5647001336</v>
      </c>
      <c r="W69" s="67">
        <f t="shared" si="38"/>
        <v>1349882.8294891964</v>
      </c>
      <c r="X69" s="67">
        <f t="shared" si="38"/>
        <v>1383753.6943991317</v>
      </c>
      <c r="Y69" s="67">
        <f t="shared" si="38"/>
        <v>1418475.055785293</v>
      </c>
      <c r="Z69" s="67">
        <f t="shared" si="38"/>
        <v>1454068.3453596833</v>
      </c>
      <c r="AA69" s="67">
        <f t="shared" si="38"/>
        <v>1490555.5451401523</v>
      </c>
      <c r="AB69" s="67">
        <f t="shared" si="38"/>
        <v>1527944.4258346895</v>
      </c>
      <c r="AC69" s="67">
        <f t="shared" si="38"/>
        <v>1558488.6576812193</v>
      </c>
      <c r="AD69" s="67">
        <f t="shared" si="38"/>
        <v>1589643.7765742536</v>
      </c>
      <c r="AE69" s="67">
        <f t="shared" si="38"/>
        <v>1621422.0003029136</v>
      </c>
      <c r="AF69" s="67">
        <f t="shared" si="38"/>
        <v>1653835.7910130655</v>
      </c>
      <c r="AG69" s="67">
        <f t="shared" si="38"/>
        <v>1686897.8600944802</v>
      </c>
      <c r="AH69" s="67">
        <f t="shared" si="38"/>
        <v>1720621.1731657228</v>
      </c>
      <c r="AI69" s="67">
        <f t="shared" si="38"/>
        <v>1755018.9551587543</v>
      </c>
      <c r="AJ69" s="67">
        <f t="shared" si="38"/>
        <v>1790104.6955052174</v>
      </c>
      <c r="AK69" s="67">
        <f t="shared" si="38"/>
        <v>1825892.1534264516</v>
      </c>
      <c r="AL69" s="67">
        <f t="shared" si="38"/>
        <v>1862395.3633293102</v>
      </c>
      <c r="AM69" s="67">
        <f t="shared" si="38"/>
        <v>1899628.6403098889</v>
      </c>
      <c r="AN69" s="67">
        <f t="shared" si="38"/>
        <v>1937606.585767336</v>
      </c>
      <c r="AO69" s="67">
        <f t="shared" si="38"/>
        <v>1976344.0931299343</v>
      </c>
      <c r="AP69" s="67">
        <f t="shared" si="38"/>
        <v>2015856.3536957044</v>
      </c>
      <c r="AQ69" s="67">
        <f t="shared" si="38"/>
        <v>2056158.8625898322</v>
      </c>
      <c r="AR69" s="67">
        <f t="shared" si="38"/>
        <v>2097267.4248412224</v>
      </c>
      <c r="AS69" s="67">
        <f t="shared" si="38"/>
        <v>2139198.1615806087</v>
      </c>
      <c r="AT69" s="67">
        <f t="shared" si="38"/>
        <v>2181967.5163626107</v>
      </c>
      <c r="AU69" s="67">
        <f t="shared" si="38"/>
        <v>2225592.2616142379</v>
      </c>
      <c r="AV69" s="67">
        <f t="shared" si="38"/>
        <v>2270089.5052123615</v>
      </c>
      <c r="AW69" s="67">
        <f t="shared" si="38"/>
        <v>2315476.6971927411</v>
      </c>
      <c r="AX69" s="67">
        <f t="shared" si="38"/>
        <v>2361771.6365932273</v>
      </c>
      <c r="AY69" s="67">
        <f t="shared" si="38"/>
        <v>2408992.478433833</v>
      </c>
      <c r="AZ69" s="67">
        <f t="shared" si="38"/>
        <v>2457157.7408364019</v>
      </c>
      <c r="BA69" s="67">
        <f t="shared" si="38"/>
        <v>2506286.3122866773</v>
      </c>
      <c r="BB69" s="67">
        <f t="shared" si="38"/>
        <v>2556397.4590416048</v>
      </c>
      <c r="BC69" s="67">
        <f t="shared" si="38"/>
        <v>2607510.8326847921</v>
      </c>
      <c r="BD69" s="67">
        <f t="shared" si="38"/>
        <v>2659646.4778330666</v>
      </c>
      <c r="BE69" s="67">
        <f t="shared" si="38"/>
        <v>2712824.8399971756</v>
      </c>
      <c r="BF69" s="67">
        <f t="shared" si="38"/>
        <v>2767066.7735996912</v>
      </c>
      <c r="BG69" s="67">
        <f t="shared" si="38"/>
        <v>2822393.5501532862</v>
      </c>
      <c r="BH69" s="67">
        <f t="shared" si="38"/>
        <v>2878826.8666025619</v>
      </c>
      <c r="BI69" s="67">
        <f t="shared" si="38"/>
        <v>2936388.8538327231</v>
      </c>
      <c r="BJ69" s="67">
        <f t="shared" si="38"/>
        <v>2995102.0853484264</v>
      </c>
      <c r="BK69" s="67">
        <f t="shared" si="38"/>
        <v>3054989.5861262036</v>
      </c>
      <c r="BL69" s="67">
        <f t="shared" si="38"/>
        <v>3116074.8416439272</v>
      </c>
      <c r="BM69" s="67">
        <f t="shared" si="38"/>
        <v>3178381.8070908859</v>
      </c>
      <c r="BN69" s="67">
        <f t="shared" si="38"/>
        <v>3241934.9167620414</v>
      </c>
      <c r="BO69" s="67">
        <f t="shared" si="38"/>
        <v>3306759.093640185</v>
      </c>
      <c r="BP69" s="67">
        <f t="shared" si="38"/>
        <v>3372879.7591697266</v>
      </c>
      <c r="BQ69" s="67">
        <f t="shared" si="38"/>
        <v>3440322.843225969</v>
      </c>
      <c r="BR69" s="67">
        <f t="shared" si="38"/>
        <v>3509114.794283771</v>
      </c>
      <c r="BS69" s="67">
        <f t="shared" si="38"/>
        <v>3579282.5897895698</v>
      </c>
      <c r="BT69" s="67">
        <f t="shared" si="38"/>
        <v>3650853.746740866</v>
      </c>
      <c r="BU69" s="67">
        <f t="shared" si="38"/>
        <v>3723856.3324772739</v>
      </c>
      <c r="BV69" s="67">
        <f t="shared" si="38"/>
        <v>3798318.9756874177</v>
      </c>
      <c r="BW69" s="67">
        <f t="shared" si="38"/>
        <v>3874270.8776359535</v>
      </c>
      <c r="BX69" s="67">
        <f t="shared" si="38"/>
        <v>3951741.8236151319</v>
      </c>
      <c r="BY69" s="67">
        <f t="shared" si="38"/>
        <v>4030762.1946254</v>
      </c>
      <c r="BZ69" s="67">
        <f t="shared" si="38"/>
        <v>4111362.9792896085</v>
      </c>
      <c r="CA69" s="67">
        <f t="shared" si="38"/>
        <v>4193575.7860055156</v>
      </c>
      <c r="CB69" s="67">
        <f t="shared" si="38"/>
        <v>4277432.8553413162</v>
      </c>
      <c r="CC69" s="67">
        <f t="shared" si="38"/>
        <v>4362967.0726791257</v>
      </c>
      <c r="CD69" s="67">
        <f t="shared" si="38"/>
        <v>4450211.9811112843</v>
      </c>
      <c r="CE69" s="67">
        <f t="shared" si="38"/>
        <v>4539201.794594638</v>
      </c>
      <c r="CF69" s="67">
        <f t="shared" si="38"/>
        <v>4629971.411367856</v>
      </c>
      <c r="CG69" s="67">
        <f t="shared" si="38"/>
        <v>4722556.4276371412</v>
      </c>
      <c r="CH69" s="67">
        <f t="shared" si="38"/>
        <v>4816993.1515356284</v>
      </c>
      <c r="CI69" s="67">
        <f t="shared" si="38"/>
        <v>4913318.6173619758</v>
      </c>
      <c r="CJ69" s="67">
        <f t="shared" si="38"/>
        <v>5011570.6001037415</v>
      </c>
      <c r="CK69" s="67">
        <f t="shared" si="38"/>
        <v>5111787.6302512093</v>
      </c>
      <c r="CL69" s="67">
        <f t="shared" si="38"/>
        <v>5214009.0089075081</v>
      </c>
      <c r="CM69" s="67">
        <f t="shared" si="38"/>
        <v>5318274.8232009374</v>
      </c>
      <c r="CN69" s="67">
        <f t="shared" si="38"/>
        <v>5424625.9620055193</v>
      </c>
      <c r="CO69" s="67">
        <f t="shared" si="38"/>
        <v>5533104.1319759777</v>
      </c>
      <c r="CP69" s="67">
        <f t="shared" si="38"/>
        <v>5643751.8739034301</v>
      </c>
      <c r="CQ69" s="67">
        <f t="shared" si="38"/>
        <v>5756612.5793981673</v>
      </c>
      <c r="CR69" s="67">
        <f t="shared" si="38"/>
        <v>5871730.5079061082</v>
      </c>
      <c r="CS69" s="67">
        <f t="shared" si="38"/>
        <v>5989150.8040655861</v>
      </c>
      <c r="CT69" s="67">
        <f t="shared" si="38"/>
        <v>6108919.515411254</v>
      </c>
      <c r="CU69" s="67">
        <f t="shared" si="38"/>
        <v>6231083.6104321014</v>
      </c>
      <c r="CV69" s="67">
        <f t="shared" si="38"/>
        <v>6355690.9969905941</v>
      </c>
      <c r="CW69" s="67">
        <f t="shared" si="38"/>
        <v>6482790.5411102297</v>
      </c>
      <c r="CX69" s="67">
        <f t="shared" si="38"/>
        <v>6612432.0861388352</v>
      </c>
      <c r="CY69" s="67">
        <f t="shared" si="38"/>
        <v>6744666.4722951129</v>
      </c>
      <c r="CZ69" s="4"/>
      <c r="DA69" s="4"/>
      <c r="DB69" s="4"/>
      <c r="DC69" s="4"/>
      <c r="DD69" s="4"/>
      <c r="DE69" s="4"/>
      <c r="DF69" s="4"/>
      <c r="DG69" s="4"/>
      <c r="DH69" s="4"/>
      <c r="DI69" s="4"/>
      <c r="DJ69" s="4"/>
      <c r="DK69" s="4"/>
      <c r="DL69" s="4"/>
      <c r="DM69" s="4"/>
      <c r="DN69" s="4"/>
      <c r="DO69" s="4"/>
      <c r="DP69" s="4"/>
      <c r="DQ69" s="4"/>
      <c r="DR69" s="4"/>
      <c r="DS69" s="4"/>
    </row>
    <row r="70" spans="1:123" ht="15.75" customHeight="1" x14ac:dyDescent="0.2">
      <c r="A70" s="4"/>
      <c r="B70" s="4"/>
      <c r="C70" s="4"/>
      <c r="D70" s="4"/>
      <c r="E70" s="4"/>
      <c r="F70" s="4"/>
      <c r="G70" s="4"/>
      <c r="H70" s="4"/>
      <c r="I70" s="80" t="str">
        <f t="shared" si="37"/>
        <v>Natural Gas</v>
      </c>
      <c r="J70" s="67">
        <f t="shared" ref="J70:CY70" si="39">J$57*$J63/$J$61</f>
        <v>1281380.6018597528</v>
      </c>
      <c r="K70" s="67">
        <f t="shared" si="39"/>
        <v>1313528.2609910204</v>
      </c>
      <c r="L70" s="67">
        <f t="shared" si="39"/>
        <v>1346482.6633343101</v>
      </c>
      <c r="M70" s="67">
        <f t="shared" si="39"/>
        <v>1380264.0738159372</v>
      </c>
      <c r="N70" s="67">
        <f t="shared" si="39"/>
        <v>1414893.2689366571</v>
      </c>
      <c r="O70" s="67">
        <f t="shared" si="39"/>
        <v>1450391.5500307186</v>
      </c>
      <c r="P70" s="67">
        <f t="shared" si="39"/>
        <v>1486780.7569157092</v>
      </c>
      <c r="Q70" s="67">
        <f t="shared" si="39"/>
        <v>1524083.2819510333</v>
      </c>
      <c r="R70" s="67">
        <f t="shared" si="39"/>
        <v>1562322.0845243623</v>
      </c>
      <c r="S70" s="67">
        <f t="shared" si="39"/>
        <v>1601520.7059871785</v>
      </c>
      <c r="T70" s="67">
        <f t="shared" si="39"/>
        <v>1641703.2850624619</v>
      </c>
      <c r="U70" s="67">
        <f t="shared" si="39"/>
        <v>1682894.5737497946</v>
      </c>
      <c r="V70" s="67">
        <f t="shared" si="39"/>
        <v>1725119.9537556334</v>
      </c>
      <c r="W70" s="67">
        <f t="shared" si="39"/>
        <v>1768405.4534792965</v>
      </c>
      <c r="X70" s="67">
        <f t="shared" si="39"/>
        <v>1812777.765588382</v>
      </c>
      <c r="Y70" s="67">
        <f t="shared" si="39"/>
        <v>1858264.2652209077</v>
      </c>
      <c r="Z70" s="67">
        <f t="shared" si="39"/>
        <v>1904893.0288554803</v>
      </c>
      <c r="AA70" s="67">
        <f t="shared" si="39"/>
        <v>1952692.853895396</v>
      </c>
      <c r="AB70" s="67">
        <f t="shared" si="39"/>
        <v>2001673.9203074533</v>
      </c>
      <c r="AC70" s="67">
        <f t="shared" si="39"/>
        <v>2041688.1978356582</v>
      </c>
      <c r="AD70" s="67">
        <f t="shared" si="39"/>
        <v>2082502.7640710745</v>
      </c>
      <c r="AE70" s="67">
        <f t="shared" si="39"/>
        <v>2124133.6248509786</v>
      </c>
      <c r="AF70" s="67">
        <f t="shared" si="39"/>
        <v>2166597.1061306531</v>
      </c>
      <c r="AG70" s="67">
        <f t="shared" si="39"/>
        <v>2209909.8603857816</v>
      </c>
      <c r="AH70" s="67">
        <f t="shared" si="39"/>
        <v>2254088.8731428683</v>
      </c>
      <c r="AI70" s="67">
        <f t="shared" si="39"/>
        <v>2299151.469640289</v>
      </c>
      <c r="AJ70" s="67">
        <f t="shared" si="39"/>
        <v>2345115.3216225551</v>
      </c>
      <c r="AK70" s="67">
        <f t="shared" si="39"/>
        <v>2391998.4542704602</v>
      </c>
      <c r="AL70" s="67">
        <f t="shared" si="39"/>
        <v>2439819.2532698382</v>
      </c>
      <c r="AM70" s="67">
        <f t="shared" si="39"/>
        <v>2488596.4720216882</v>
      </c>
      <c r="AN70" s="67">
        <f t="shared" si="39"/>
        <v>2538349.2389965099</v>
      </c>
      <c r="AO70" s="67">
        <f t="shared" si="39"/>
        <v>2589097.0652357214</v>
      </c>
      <c r="AP70" s="67">
        <f t="shared" si="39"/>
        <v>2640859.8520031059</v>
      </c>
      <c r="AQ70" s="67">
        <f t="shared" si="39"/>
        <v>2693657.8985892995</v>
      </c>
      <c r="AR70" s="67">
        <f t="shared" si="39"/>
        <v>2747511.9102723435</v>
      </c>
      <c r="AS70" s="67">
        <f t="shared" si="39"/>
        <v>2802443.0064374786</v>
      </c>
      <c r="AT70" s="67">
        <f t="shared" si="39"/>
        <v>2858472.7288593152</v>
      </c>
      <c r="AU70" s="67">
        <f t="shared" si="39"/>
        <v>2915623.0501496564</v>
      </c>
      <c r="AV70" s="67">
        <f t="shared" si="39"/>
        <v>2973916.3823742722</v>
      </c>
      <c r="AW70" s="67">
        <f t="shared" si="39"/>
        <v>3033375.5858420189</v>
      </c>
      <c r="AX70" s="67">
        <f t="shared" si="39"/>
        <v>3094023.9780697301</v>
      </c>
      <c r="AY70" s="67">
        <f t="shared" si="39"/>
        <v>3155885.3429264189</v>
      </c>
      <c r="AZ70" s="67">
        <f t="shared" si="39"/>
        <v>3218983.9399603517</v>
      </c>
      <c r="BA70" s="67">
        <f t="shared" si="39"/>
        <v>3283344.5139126778</v>
      </c>
      <c r="BB70" s="67">
        <f t="shared" si="39"/>
        <v>3348992.3044213164</v>
      </c>
      <c r="BC70" s="67">
        <f t="shared" si="39"/>
        <v>3415953.0559189417</v>
      </c>
      <c r="BD70" s="67">
        <f t="shared" si="39"/>
        <v>3484253.0277289078</v>
      </c>
      <c r="BE70" s="67">
        <f t="shared" si="39"/>
        <v>3553919.0043631117</v>
      </c>
      <c r="BF70" s="67">
        <f t="shared" si="39"/>
        <v>3624978.3060257961</v>
      </c>
      <c r="BG70" s="67">
        <f t="shared" si="39"/>
        <v>3697458.7993274485</v>
      </c>
      <c r="BH70" s="67">
        <f t="shared" si="39"/>
        <v>3771388.9082129626</v>
      </c>
      <c r="BI70" s="67">
        <f t="shared" si="39"/>
        <v>3846797.6251083706</v>
      </c>
      <c r="BJ70" s="67">
        <f t="shared" si="39"/>
        <v>3923714.5222905148</v>
      </c>
      <c r="BK70" s="67">
        <f t="shared" si="39"/>
        <v>4002169.7634841092</v>
      </c>
      <c r="BL70" s="67">
        <f t="shared" si="39"/>
        <v>4082194.1156907342</v>
      </c>
      <c r="BM70" s="67">
        <f t="shared" si="39"/>
        <v>4163818.9612544356</v>
      </c>
      <c r="BN70" s="67">
        <f t="shared" si="39"/>
        <v>4247076.3101686127</v>
      </c>
      <c r="BO70" s="67">
        <f t="shared" si="39"/>
        <v>4331998.8126290627</v>
      </c>
      <c r="BP70" s="67">
        <f t="shared" si="39"/>
        <v>4418619.7718380699</v>
      </c>
      <c r="BQ70" s="67">
        <f t="shared" si="39"/>
        <v>4506973.1570645878</v>
      </c>
      <c r="BR70" s="67">
        <f t="shared" si="39"/>
        <v>4597093.6169656385</v>
      </c>
      <c r="BS70" s="67">
        <f t="shared" si="39"/>
        <v>4689016.4931741087</v>
      </c>
      <c r="BT70" s="67">
        <f t="shared" si="39"/>
        <v>4782777.8341583395</v>
      </c>
      <c r="BU70" s="67">
        <f t="shared" si="39"/>
        <v>4878414.409358874</v>
      </c>
      <c r="BV70" s="67">
        <f t="shared" si="39"/>
        <v>4975963.7236079704</v>
      </c>
      <c r="BW70" s="67">
        <f t="shared" si="39"/>
        <v>5075464.0318374932</v>
      </c>
      <c r="BX70" s="67">
        <f t="shared" si="39"/>
        <v>5176954.3540809583</v>
      </c>
      <c r="BY70" s="67">
        <f t="shared" si="39"/>
        <v>5280474.4907756327</v>
      </c>
      <c r="BZ70" s="67">
        <f t="shared" si="39"/>
        <v>5386065.0383706661</v>
      </c>
      <c r="CA70" s="67">
        <f t="shared" si="39"/>
        <v>5493767.4052473996</v>
      </c>
      <c r="CB70" s="67">
        <f t="shared" si="39"/>
        <v>5603623.8279580558</v>
      </c>
      <c r="CC70" s="67">
        <f t="shared" si="39"/>
        <v>5715677.3877892466</v>
      </c>
      <c r="CD70" s="67">
        <f t="shared" si="39"/>
        <v>5829972.0276567042</v>
      </c>
      <c r="CE70" s="67">
        <f t="shared" si="39"/>
        <v>5946552.5693379529</v>
      </c>
      <c r="CF70" s="67">
        <f t="shared" si="39"/>
        <v>6065464.7310495926</v>
      </c>
      <c r="CG70" s="67">
        <f t="shared" si="39"/>
        <v>6186755.1453761673</v>
      </c>
      <c r="CH70" s="67">
        <f t="shared" si="39"/>
        <v>6310471.3775575915</v>
      </c>
      <c r="CI70" s="67">
        <f t="shared" si="39"/>
        <v>6436661.9441423267</v>
      </c>
      <c r="CJ70" s="67">
        <f t="shared" si="39"/>
        <v>6565376.332013634</v>
      </c>
      <c r="CK70" s="67">
        <f t="shared" si="39"/>
        <v>6696665.0177963432</v>
      </c>
      <c r="CL70" s="67">
        <f t="shared" si="39"/>
        <v>6830579.487651757</v>
      </c>
      <c r="CM70" s="67">
        <f t="shared" si="39"/>
        <v>6967172.2574684769</v>
      </c>
      <c r="CN70" s="67">
        <f t="shared" si="39"/>
        <v>7106496.8934570113</v>
      </c>
      <c r="CO70" s="67">
        <f t="shared" si="39"/>
        <v>7248608.0331563028</v>
      </c>
      <c r="CP70" s="67">
        <f t="shared" si="39"/>
        <v>7393561.4068603879</v>
      </c>
      <c r="CQ70" s="67">
        <f t="shared" si="39"/>
        <v>7541413.8594735814</v>
      </c>
      <c r="CR70" s="67">
        <f t="shared" si="39"/>
        <v>7692223.3728027614</v>
      </c>
      <c r="CS70" s="67">
        <f t="shared" si="39"/>
        <v>7846049.0882955268</v>
      </c>
      <c r="CT70" s="67">
        <f t="shared" si="39"/>
        <v>8002951.330233084</v>
      </c>
      <c r="CU70" s="67">
        <f t="shared" si="39"/>
        <v>8162991.6293870313</v>
      </c>
      <c r="CV70" s="67">
        <f t="shared" si="39"/>
        <v>8326232.7471492486</v>
      </c>
      <c r="CW70" s="67">
        <f t="shared" si="39"/>
        <v>8492738.7001444045</v>
      </c>
      <c r="CX70" s="67">
        <f t="shared" si="39"/>
        <v>8662574.7853347175</v>
      </c>
      <c r="CY70" s="67">
        <f t="shared" si="39"/>
        <v>8835807.6056267843</v>
      </c>
      <c r="CZ70" s="4"/>
      <c r="DA70" s="4"/>
      <c r="DB70" s="4"/>
      <c r="DC70" s="4"/>
      <c r="DD70" s="4"/>
      <c r="DE70" s="4"/>
      <c r="DF70" s="4"/>
      <c r="DG70" s="4"/>
      <c r="DH70" s="4"/>
      <c r="DI70" s="4"/>
      <c r="DJ70" s="4"/>
      <c r="DK70" s="4"/>
      <c r="DL70" s="4"/>
      <c r="DM70" s="4"/>
      <c r="DN70" s="4"/>
      <c r="DO70" s="4"/>
      <c r="DP70" s="4"/>
      <c r="DQ70" s="4"/>
      <c r="DR70" s="4"/>
      <c r="DS70" s="4"/>
    </row>
    <row r="71" spans="1:123" ht="15.75" customHeight="1" x14ac:dyDescent="0.2">
      <c r="A71" s="4"/>
      <c r="B71" s="4"/>
      <c r="C71" s="4"/>
      <c r="D71" s="4"/>
      <c r="E71" s="4"/>
      <c r="F71" s="4"/>
      <c r="G71" s="4"/>
      <c r="H71" s="4"/>
      <c r="I71" s="80" t="str">
        <f t="shared" si="37"/>
        <v>Cable TV</v>
      </c>
      <c r="J71" s="67">
        <f t="shared" ref="J71:CY71" si="40">J$57*$J64/$J$61</f>
        <v>2169804.4858158482</v>
      </c>
      <c r="K71" s="67">
        <f t="shared" si="40"/>
        <v>2224241.1886114613</v>
      </c>
      <c r="L71" s="67">
        <f t="shared" si="40"/>
        <v>2280043.9765794319</v>
      </c>
      <c r="M71" s="67">
        <f t="shared" si="40"/>
        <v>2337247.1649949867</v>
      </c>
      <c r="N71" s="67">
        <f t="shared" si="40"/>
        <v>2395885.9353994061</v>
      </c>
      <c r="O71" s="67">
        <f t="shared" si="40"/>
        <v>2455996.3580520167</v>
      </c>
      <c r="P71" s="67">
        <f t="shared" si="40"/>
        <v>2517615.4150439342</v>
      </c>
      <c r="Q71" s="67">
        <f t="shared" si="40"/>
        <v>2580781.02410375</v>
      </c>
      <c r="R71" s="67">
        <f t="shared" si="40"/>
        <v>2645532.0631279205</v>
      </c>
      <c r="S71" s="67">
        <f t="shared" si="40"/>
        <v>2711908.3954716222</v>
      </c>
      <c r="T71" s="67">
        <f t="shared" si="40"/>
        <v>2779950.8960391022</v>
      </c>
      <c r="U71" s="67">
        <f t="shared" si="40"/>
        <v>2849701.4782163189</v>
      </c>
      <c r="V71" s="67">
        <f t="shared" si="40"/>
        <v>2921203.1216928726</v>
      </c>
      <c r="W71" s="67">
        <f t="shared" si="40"/>
        <v>2994499.9012249424</v>
      </c>
      <c r="X71" s="67">
        <f t="shared" si="40"/>
        <v>3069637.0163963274</v>
      </c>
      <c r="Y71" s="67">
        <f t="shared" si="40"/>
        <v>3146660.8224407374</v>
      </c>
      <c r="Z71" s="67">
        <f t="shared" si="40"/>
        <v>3225618.8621952799</v>
      </c>
      <c r="AA71" s="67">
        <f t="shared" si="40"/>
        <v>3306559.8992628707</v>
      </c>
      <c r="AB71" s="67">
        <f t="shared" si="40"/>
        <v>3389501.1717206212</v>
      </c>
      <c r="AC71" s="67">
        <f t="shared" si="40"/>
        <v>3457258.6816683817</v>
      </c>
      <c r="AD71" s="67">
        <f t="shared" si="40"/>
        <v>3526371.3471603529</v>
      </c>
      <c r="AE71" s="67">
        <f t="shared" si="40"/>
        <v>3596866.2714143237</v>
      </c>
      <c r="AF71" s="67">
        <f t="shared" si="40"/>
        <v>3668771.099714573</v>
      </c>
      <c r="AG71" s="67">
        <f t="shared" si="40"/>
        <v>3742114.0302532576</v>
      </c>
      <c r="AH71" s="67">
        <f t="shared" si="40"/>
        <v>3816923.8251885902</v>
      </c>
      <c r="AI71" s="67">
        <f t="shared" si="40"/>
        <v>3893229.8219242231</v>
      </c>
      <c r="AJ71" s="67">
        <f t="shared" si="40"/>
        <v>3971061.9446141939</v>
      </c>
      <c r="AK71" s="67">
        <f t="shared" si="40"/>
        <v>4050450.7158979797</v>
      </c>
      <c r="AL71" s="67">
        <f t="shared" si="40"/>
        <v>4131427.2688702596</v>
      </c>
      <c r="AM71" s="67">
        <f t="shared" si="40"/>
        <v>4214023.3592900587</v>
      </c>
      <c r="AN71" s="67">
        <f t="shared" si="40"/>
        <v>4298271.3780340906</v>
      </c>
      <c r="AO71" s="67">
        <f t="shared" si="40"/>
        <v>4384204.3637991557</v>
      </c>
      <c r="AP71" s="67">
        <f t="shared" si="40"/>
        <v>4471856.0160585931</v>
      </c>
      <c r="AQ71" s="67">
        <f t="shared" si="40"/>
        <v>4561260.7082778811</v>
      </c>
      <c r="AR71" s="67">
        <f t="shared" si="40"/>
        <v>4652453.5013945019</v>
      </c>
      <c r="AS71" s="67">
        <f t="shared" si="40"/>
        <v>4745470.1575674638</v>
      </c>
      <c r="AT71" s="67">
        <f t="shared" si="40"/>
        <v>4840347.1542017739</v>
      </c>
      <c r="AU71" s="67">
        <f t="shared" si="40"/>
        <v>4937121.6982534183</v>
      </c>
      <c r="AV71" s="67">
        <f t="shared" si="40"/>
        <v>5035831.7408204349</v>
      </c>
      <c r="AW71" s="67">
        <f t="shared" si="40"/>
        <v>5136515.9920258187</v>
      </c>
      <c r="AX71" s="67">
        <f t="shared" si="40"/>
        <v>5239213.9361980762</v>
      </c>
      <c r="AY71" s="67">
        <f t="shared" si="40"/>
        <v>5343965.847355403</v>
      </c>
      <c r="AZ71" s="67">
        <f t="shared" si="40"/>
        <v>5450812.8049995294</v>
      </c>
      <c r="BA71" s="67">
        <f t="shared" si="40"/>
        <v>5559796.7102254676</v>
      </c>
      <c r="BB71" s="67">
        <f t="shared" si="40"/>
        <v>5670960.302153429</v>
      </c>
      <c r="BC71" s="67">
        <f t="shared" si="40"/>
        <v>5784347.1746894084</v>
      </c>
      <c r="BD71" s="67">
        <f t="shared" si="40"/>
        <v>5900001.7936209505</v>
      </c>
      <c r="BE71" s="67">
        <f t="shared" si="40"/>
        <v>6017969.5140548693</v>
      </c>
      <c r="BF71" s="67">
        <f t="shared" si="40"/>
        <v>6138296.5982036814</v>
      </c>
      <c r="BG71" s="67">
        <f t="shared" si="40"/>
        <v>6261030.2335278131</v>
      </c>
      <c r="BH71" s="67">
        <f t="shared" si="40"/>
        <v>6386218.5512406174</v>
      </c>
      <c r="BI71" s="67">
        <f t="shared" si="40"/>
        <v>6513910.6451835083</v>
      </c>
      <c r="BJ71" s="67">
        <f t="shared" si="40"/>
        <v>6644156.5910786055</v>
      </c>
      <c r="BK71" s="67">
        <f t="shared" si="40"/>
        <v>6777007.4661664246</v>
      </c>
      <c r="BL71" s="67">
        <f t="shared" si="40"/>
        <v>6912515.36923631</v>
      </c>
      <c r="BM71" s="67">
        <f t="shared" si="40"/>
        <v>7050733.4410575107</v>
      </c>
      <c r="BN71" s="67">
        <f t="shared" si="40"/>
        <v>7191715.8852188513</v>
      </c>
      <c r="BO71" s="67">
        <f t="shared" si="40"/>
        <v>7335517.9893852137</v>
      </c>
      <c r="BP71" s="67">
        <f t="shared" si="40"/>
        <v>7482196.1469791317</v>
      </c>
      <c r="BQ71" s="67">
        <f t="shared" si="40"/>
        <v>7631807.8792960355</v>
      </c>
      <c r="BR71" s="67">
        <f t="shared" si="40"/>
        <v>7784411.8580618156</v>
      </c>
      <c r="BS71" s="67">
        <f t="shared" si="40"/>
        <v>7940067.928441491</v>
      </c>
      <c r="BT71" s="67">
        <f t="shared" si="40"/>
        <v>8098837.1325081214</v>
      </c>
      <c r="BU71" s="67">
        <f t="shared" si="40"/>
        <v>8260781.7331810268</v>
      </c>
      <c r="BV71" s="67">
        <f t="shared" si="40"/>
        <v>8425965.2386428304</v>
      </c>
      <c r="BW71" s="67">
        <f t="shared" si="40"/>
        <v>8594452.4272448216</v>
      </c>
      <c r="BX71" s="67">
        <f t="shared" si="40"/>
        <v>8766309.3729104232</v>
      </c>
      <c r="BY71" s="67">
        <f t="shared" si="40"/>
        <v>8941603.4710467383</v>
      </c>
      <c r="BZ71" s="67">
        <f t="shared" si="40"/>
        <v>9120403.4649743289</v>
      </c>
      <c r="CA71" s="67">
        <f t="shared" si="40"/>
        <v>9302779.4728855975</v>
      </c>
      <c r="CB71" s="67">
        <f t="shared" si="40"/>
        <v>9488803.0153423082</v>
      </c>
      <c r="CC71" s="67">
        <f t="shared" si="40"/>
        <v>9678547.0433231238</v>
      </c>
      <c r="CD71" s="67">
        <f t="shared" si="40"/>
        <v>9872085.9668320194</v>
      </c>
      <c r="CE71" s="67">
        <f t="shared" si="40"/>
        <v>10069495.684078934</v>
      </c>
      <c r="CF71" s="67">
        <f t="shared" si="40"/>
        <v>10270853.611243978</v>
      </c>
      <c r="CG71" s="67">
        <f t="shared" si="40"/>
        <v>10476238.712836977</v>
      </c>
      <c r="CH71" s="67">
        <f t="shared" si="40"/>
        <v>10685731.532664189</v>
      </c>
      <c r="CI71" s="67">
        <f t="shared" si="40"/>
        <v>10899414.225414339</v>
      </c>
      <c r="CJ71" s="67">
        <f t="shared" si="40"/>
        <v>11117370.588876421</v>
      </c>
      <c r="CK71" s="67">
        <f t="shared" si="40"/>
        <v>11339686.096801808</v>
      </c>
      <c r="CL71" s="67">
        <f t="shared" si="40"/>
        <v>11566447.932423644</v>
      </c>
      <c r="CM71" s="67">
        <f t="shared" si="40"/>
        <v>11797745.022646621</v>
      </c>
      <c r="CN71" s="67">
        <f t="shared" si="40"/>
        <v>12033668.07292054</v>
      </c>
      <c r="CO71" s="67">
        <f t="shared" si="40"/>
        <v>12274309.602811338</v>
      </c>
      <c r="CP71" s="67">
        <f t="shared" si="40"/>
        <v>12519763.98228359</v>
      </c>
      <c r="CQ71" s="67">
        <f t="shared" si="40"/>
        <v>12770127.468708599</v>
      </c>
      <c r="CR71" s="67">
        <f t="shared" si="40"/>
        <v>13025498.244612677</v>
      </c>
      <c r="CS71" s="67">
        <f t="shared" si="40"/>
        <v>13285976.456180425</v>
      </c>
      <c r="CT71" s="67">
        <f t="shared" si="40"/>
        <v>13551664.252528023</v>
      </c>
      <c r="CU71" s="67">
        <f t="shared" si="40"/>
        <v>13822665.825762041</v>
      </c>
      <c r="CV71" s="67">
        <f t="shared" si="40"/>
        <v>14099087.451839395</v>
      </c>
      <c r="CW71" s="67">
        <f t="shared" si="40"/>
        <v>14381037.532244528</v>
      </c>
      <c r="CX71" s="67">
        <f t="shared" si="40"/>
        <v>14668626.636500122</v>
      </c>
      <c r="CY71" s="67">
        <f t="shared" si="40"/>
        <v>14961967.545528023</v>
      </c>
      <c r="CZ71" s="4"/>
      <c r="DA71" s="4"/>
      <c r="DB71" s="4"/>
      <c r="DC71" s="4"/>
      <c r="DD71" s="4"/>
      <c r="DE71" s="4"/>
      <c r="DF71" s="4"/>
      <c r="DG71" s="4"/>
      <c r="DH71" s="4"/>
      <c r="DI71" s="4"/>
      <c r="DJ71" s="4"/>
      <c r="DK71" s="4"/>
      <c r="DL71" s="4"/>
      <c r="DM71" s="4"/>
      <c r="DN71" s="4"/>
      <c r="DO71" s="4"/>
      <c r="DP71" s="4"/>
      <c r="DQ71" s="4"/>
      <c r="DR71" s="4"/>
      <c r="DS71" s="4"/>
    </row>
    <row r="72" spans="1:123" ht="15.75" customHeight="1" x14ac:dyDescent="0.2">
      <c r="A72" s="4"/>
      <c r="B72" s="4"/>
      <c r="C72" s="4"/>
      <c r="D72" s="4"/>
      <c r="E72" s="4"/>
      <c r="F72" s="4"/>
      <c r="G72" s="4"/>
      <c r="H72" s="4"/>
      <c r="I72" s="80" t="str">
        <f t="shared" si="37"/>
        <v>Electric</v>
      </c>
      <c r="J72" s="67">
        <f t="shared" ref="J72:CY72" si="41">J$57*$J65/$J$61</f>
        <v>3028329.4890618823</v>
      </c>
      <c r="K72" s="67">
        <f t="shared" si="41"/>
        <v>3104305.1234754445</v>
      </c>
      <c r="L72" s="67">
        <f t="shared" si="41"/>
        <v>3182187.3610134195</v>
      </c>
      <c r="M72" s="67">
        <f t="shared" si="41"/>
        <v>3262024.0944516645</v>
      </c>
      <c r="N72" s="67">
        <f t="shared" si="41"/>
        <v>3343864.4255869659</v>
      </c>
      <c r="O72" s="67">
        <f t="shared" si="41"/>
        <v>3427758.6965725981</v>
      </c>
      <c r="P72" s="67">
        <f t="shared" si="41"/>
        <v>3513758.5221774592</v>
      </c>
      <c r="Q72" s="67">
        <f t="shared" si="41"/>
        <v>3601916.823010942</v>
      </c>
      <c r="R72" s="67">
        <f t="shared" si="41"/>
        <v>3692287.8597592432</v>
      </c>
      <c r="S72" s="67">
        <f t="shared" si="41"/>
        <v>3784927.2684830315</v>
      </c>
      <c r="T72" s="67">
        <f t="shared" si="41"/>
        <v>3879892.0970309516</v>
      </c>
      <c r="U72" s="67">
        <f t="shared" si="41"/>
        <v>3977240.8426286811</v>
      </c>
      <c r="V72" s="67">
        <f t="shared" si="41"/>
        <v>4077033.490709147</v>
      </c>
      <c r="W72" s="67">
        <f t="shared" si="41"/>
        <v>4179331.5550560709</v>
      </c>
      <c r="X72" s="67">
        <f t="shared" si="41"/>
        <v>4284198.1193405427</v>
      </c>
      <c r="Y72" s="67">
        <f t="shared" si="41"/>
        <v>4391697.8801387455</v>
      </c>
      <c r="Z72" s="67">
        <f t="shared" si="41"/>
        <v>4501897.1915284516</v>
      </c>
      <c r="AA72" s="67">
        <f t="shared" si="41"/>
        <v>4614864.1113727856</v>
      </c>
      <c r="AB72" s="67">
        <f t="shared" si="41"/>
        <v>4730622.6983266147</v>
      </c>
      <c r="AC72" s="67">
        <f t="shared" si="41"/>
        <v>4825189.7742182724</v>
      </c>
      <c r="AD72" s="67">
        <f t="shared" si="41"/>
        <v>4921648.1990879728</v>
      </c>
      <c r="AE72" s="67">
        <f t="shared" si="41"/>
        <v>5020035.800064479</v>
      </c>
      <c r="AF72" s="67">
        <f t="shared" si="41"/>
        <v>5120391.1608221103</v>
      </c>
      <c r="AG72" s="67">
        <f t="shared" si="41"/>
        <v>5222753.6367117306</v>
      </c>
      <c r="AH72" s="67">
        <f t="shared" si="41"/>
        <v>5327163.3701943122</v>
      </c>
      <c r="AI72" s="67">
        <f t="shared" si="41"/>
        <v>5433661.3065832164</v>
      </c>
      <c r="AJ72" s="67">
        <f t="shared" si="41"/>
        <v>5542289.2101013055</v>
      </c>
      <c r="AK72" s="67">
        <f t="shared" si="41"/>
        <v>5653089.6802591877</v>
      </c>
      <c r="AL72" s="67">
        <f t="shared" si="41"/>
        <v>5766106.1685610516</v>
      </c>
      <c r="AM72" s="67">
        <f t="shared" si="41"/>
        <v>5881382.9955445901</v>
      </c>
      <c r="AN72" s="67">
        <f t="shared" si="41"/>
        <v>5998965.3681617519</v>
      </c>
      <c r="AO72" s="67">
        <f t="shared" si="41"/>
        <v>6118899.3975070883</v>
      </c>
      <c r="AP72" s="67">
        <f t="shared" si="41"/>
        <v>6241232.1169006731</v>
      </c>
      <c r="AQ72" s="67">
        <f t="shared" si="41"/>
        <v>6366011.5003327113</v>
      </c>
      <c r="AR72" s="67">
        <f t="shared" si="41"/>
        <v>6493286.4812769722</v>
      </c>
      <c r="AS72" s="67">
        <f t="shared" si="41"/>
        <v>6623106.9718805738</v>
      </c>
      <c r="AT72" s="67">
        <f t="shared" si="41"/>
        <v>6755523.8825375149</v>
      </c>
      <c r="AU72" s="67">
        <f t="shared" si="41"/>
        <v>6890589.1418536883</v>
      </c>
      <c r="AV72" s="67">
        <f t="shared" si="41"/>
        <v>7028355.7170111965</v>
      </c>
      <c r="AW72" s="67">
        <f t="shared" si="41"/>
        <v>7168877.6345399711</v>
      </c>
      <c r="AX72" s="67">
        <f t="shared" si="41"/>
        <v>7312210.0015047947</v>
      </c>
      <c r="AY72" s="67">
        <f t="shared" si="41"/>
        <v>7458409.0271161031</v>
      </c>
      <c r="AZ72" s="67">
        <f t="shared" si="41"/>
        <v>7607532.0447729649</v>
      </c>
      <c r="BA72" s="67">
        <f t="shared" si="41"/>
        <v>7759637.5345469611</v>
      </c>
      <c r="BB72" s="67">
        <f t="shared" si="41"/>
        <v>7914785.14611571</v>
      </c>
      <c r="BC72" s="67">
        <f t="shared" si="41"/>
        <v>8073035.7221550988</v>
      </c>
      <c r="BD72" s="67">
        <f t="shared" si="41"/>
        <v>8234451.3221993186</v>
      </c>
      <c r="BE72" s="67">
        <f t="shared" si="41"/>
        <v>8399095.2469781544</v>
      </c>
      <c r="BF72" s="67">
        <f t="shared" si="41"/>
        <v>8567032.063240964</v>
      </c>
      <c r="BG72" s="67">
        <f t="shared" si="41"/>
        <v>8738327.6290772036</v>
      </c>
      <c r="BH72" s="67">
        <f t="shared" si="41"/>
        <v>8913049.1197433006</v>
      </c>
      <c r="BI72" s="67">
        <f t="shared" si="41"/>
        <v>9091265.0540061165</v>
      </c>
      <c r="BJ72" s="67">
        <f t="shared" si="41"/>
        <v>9273045.3210132495</v>
      </c>
      <c r="BK72" s="67">
        <f t="shared" si="41"/>
        <v>9458461.2077007778</v>
      </c>
      <c r="BL72" s="67">
        <f t="shared" si="41"/>
        <v>9647585.4267491009</v>
      </c>
      <c r="BM72" s="67">
        <f t="shared" si="41"/>
        <v>9840492.1450979821</v>
      </c>
      <c r="BN72" s="67">
        <f t="shared" si="41"/>
        <v>10037257.013031822</v>
      </c>
      <c r="BO72" s="67">
        <f t="shared" si="41"/>
        <v>10237957.193846686</v>
      </c>
      <c r="BP72" s="67">
        <f t="shared" si="41"/>
        <v>10442671.394110637</v>
      </c>
      <c r="BQ72" s="67">
        <f t="shared" si="41"/>
        <v>10651479.894529309</v>
      </c>
      <c r="BR72" s="67">
        <f t="shared" si="41"/>
        <v>10864464.581428792</v>
      </c>
      <c r="BS72" s="67">
        <f t="shared" si="41"/>
        <v>11081708.978868144</v>
      </c>
      <c r="BT72" s="67">
        <f t="shared" si="41"/>
        <v>11303298.281394208</v>
      </c>
      <c r="BU72" s="67">
        <f t="shared" si="41"/>
        <v>11529319.387451472</v>
      </c>
      <c r="BV72" s="67">
        <f t="shared" si="41"/>
        <v>11759860.933460169</v>
      </c>
      <c r="BW72" s="67">
        <f t="shared" si="41"/>
        <v>11995013.328575941</v>
      </c>
      <c r="BX72" s="67">
        <f t="shared" si="41"/>
        <v>12234868.790144665</v>
      </c>
      <c r="BY72" s="67">
        <f t="shared" si="41"/>
        <v>12479521.379866412</v>
      </c>
      <c r="BZ72" s="67">
        <f t="shared" si="41"/>
        <v>12729067.040682673</v>
      </c>
      <c r="CA72" s="67">
        <f t="shared" si="41"/>
        <v>12983603.634401355</v>
      </c>
      <c r="CB72" s="67">
        <f t="shared" si="41"/>
        <v>13243230.980074205</v>
      </c>
      <c r="CC72" s="67">
        <f t="shared" si="41"/>
        <v>13508050.89314192</v>
      </c>
      <c r="CD72" s="67">
        <f t="shared" si="41"/>
        <v>13778167.22536201</v>
      </c>
      <c r="CE72" s="67">
        <f t="shared" si="41"/>
        <v>14053685.905535363</v>
      </c>
      <c r="CF72" s="67">
        <f t="shared" si="41"/>
        <v>14334714.981047204</v>
      </c>
      <c r="CG72" s="67">
        <f t="shared" si="41"/>
        <v>14621364.660239007</v>
      </c>
      <c r="CH72" s="67">
        <f t="shared" si="41"/>
        <v>14913747.355627775</v>
      </c>
      <c r="CI72" s="67">
        <f t="shared" si="41"/>
        <v>15211977.727989698</v>
      </c>
      <c r="CJ72" s="67">
        <f t="shared" si="41"/>
        <v>15516172.731325556</v>
      </c>
      <c r="CK72" s="67">
        <f t="shared" si="41"/>
        <v>15826451.658725357</v>
      </c>
      <c r="CL72" s="67">
        <f t="shared" si="41"/>
        <v>16142936.18915032</v>
      </c>
      <c r="CM72" s="67">
        <f t="shared" si="41"/>
        <v>16465750.4351505</v>
      </c>
      <c r="CN72" s="67">
        <f t="shared" si="41"/>
        <v>16795020.991536736</v>
      </c>
      <c r="CO72" s="67">
        <f t="shared" si="41"/>
        <v>17130876.985026062</v>
      </c>
      <c r="CP72" s="67">
        <f t="shared" si="41"/>
        <v>17473450.124880049</v>
      </c>
      <c r="CQ72" s="67">
        <f t="shared" si="41"/>
        <v>17822874.754555896</v>
      </c>
      <c r="CR72" s="67">
        <f t="shared" si="41"/>
        <v>18179287.904390525</v>
      </c>
      <c r="CS72" s="67">
        <f t="shared" si="41"/>
        <v>18542829.345338427</v>
      </c>
      <c r="CT72" s="67">
        <f t="shared" si="41"/>
        <v>18913641.643784188</v>
      </c>
      <c r="CU72" s="67">
        <f t="shared" si="41"/>
        <v>19291870.217451353</v>
      </c>
      <c r="CV72" s="67">
        <f t="shared" si="41"/>
        <v>19677663.392429393</v>
      </c>
      <c r="CW72" s="67">
        <f t="shared" si="41"/>
        <v>20071172.461341277</v>
      </c>
      <c r="CX72" s="67">
        <f t="shared" si="41"/>
        <v>20472551.742674381</v>
      </c>
      <c r="CY72" s="67">
        <f t="shared" si="41"/>
        <v>20881958.641297966</v>
      </c>
      <c r="CZ72" s="4"/>
      <c r="DA72" s="4"/>
      <c r="DB72" s="4"/>
      <c r="DC72" s="4"/>
      <c r="DD72" s="4"/>
      <c r="DE72" s="4"/>
      <c r="DF72" s="4"/>
      <c r="DG72" s="4"/>
      <c r="DH72" s="4"/>
      <c r="DI72" s="4"/>
      <c r="DJ72" s="4"/>
      <c r="DK72" s="4"/>
      <c r="DL72" s="4"/>
      <c r="DM72" s="4"/>
      <c r="DN72" s="4"/>
      <c r="DO72" s="4"/>
      <c r="DP72" s="4"/>
      <c r="DQ72" s="4"/>
      <c r="DR72" s="4"/>
      <c r="DS72" s="4"/>
    </row>
    <row r="73" spans="1:123" ht="15.75" customHeight="1" x14ac:dyDescent="0.2">
      <c r="A73" s="4"/>
      <c r="B73" s="4"/>
      <c r="C73" s="4"/>
      <c r="D73" s="4"/>
      <c r="E73" s="4"/>
      <c r="F73" s="4"/>
      <c r="G73" s="4"/>
      <c r="H73" s="4"/>
      <c r="I73" s="80" t="str">
        <f t="shared" si="37"/>
        <v>Water</v>
      </c>
      <c r="J73" s="67">
        <f t="shared" ref="J73:CY73" si="42">J$57*$J66/$J$61</f>
        <v>1084902.2429079241</v>
      </c>
      <c r="K73" s="67">
        <f t="shared" si="42"/>
        <v>1112120.5943057307</v>
      </c>
      <c r="L73" s="67">
        <f t="shared" si="42"/>
        <v>1140021.988289716</v>
      </c>
      <c r="M73" s="67">
        <f t="shared" si="42"/>
        <v>1168623.5824974934</v>
      </c>
      <c r="N73" s="67">
        <f t="shared" si="42"/>
        <v>1197942.9676997031</v>
      </c>
      <c r="O73" s="67">
        <f t="shared" si="42"/>
        <v>1227998.1790260084</v>
      </c>
      <c r="P73" s="67">
        <f t="shared" si="42"/>
        <v>1258807.7075219671</v>
      </c>
      <c r="Q73" s="67">
        <f t="shared" si="42"/>
        <v>1290390.512051875</v>
      </c>
      <c r="R73" s="67">
        <f t="shared" si="42"/>
        <v>1322766.0315639602</v>
      </c>
      <c r="S73" s="67">
        <f t="shared" si="42"/>
        <v>1355954.1977358111</v>
      </c>
      <c r="T73" s="67">
        <f t="shared" si="42"/>
        <v>1389975.4480195511</v>
      </c>
      <c r="U73" s="67">
        <f t="shared" si="42"/>
        <v>1424850.7391081594</v>
      </c>
      <c r="V73" s="67">
        <f t="shared" si="42"/>
        <v>1460601.5608464363</v>
      </c>
      <c r="W73" s="67">
        <f t="shared" si="42"/>
        <v>1497249.9506124712</v>
      </c>
      <c r="X73" s="67">
        <f t="shared" si="42"/>
        <v>1534818.5081981637</v>
      </c>
      <c r="Y73" s="67">
        <f t="shared" si="42"/>
        <v>1573330.4112203687</v>
      </c>
      <c r="Z73" s="67">
        <f t="shared" si="42"/>
        <v>1612809.43109764</v>
      </c>
      <c r="AA73" s="67">
        <f t="shared" si="42"/>
        <v>1653279.9496314353</v>
      </c>
      <c r="AB73" s="67">
        <f t="shared" si="42"/>
        <v>1694750.5858603106</v>
      </c>
      <c r="AC73" s="67">
        <f t="shared" si="42"/>
        <v>1728629.3408341908</v>
      </c>
      <c r="AD73" s="67">
        <f t="shared" si="42"/>
        <v>1763185.6735801764</v>
      </c>
      <c r="AE73" s="67">
        <f t="shared" si="42"/>
        <v>1798433.1357071619</v>
      </c>
      <c r="AF73" s="67">
        <f t="shared" si="42"/>
        <v>1834385.5498572865</v>
      </c>
      <c r="AG73" s="67">
        <f t="shared" si="42"/>
        <v>1871057.0151266288</v>
      </c>
      <c r="AH73" s="67">
        <f t="shared" si="42"/>
        <v>1908461.9125942951</v>
      </c>
      <c r="AI73" s="67">
        <f t="shared" si="42"/>
        <v>1946614.9109621115</v>
      </c>
      <c r="AJ73" s="67">
        <f t="shared" si="42"/>
        <v>1985530.9723070969</v>
      </c>
      <c r="AK73" s="67">
        <f t="shared" si="42"/>
        <v>2025225.3579489898</v>
      </c>
      <c r="AL73" s="67">
        <f t="shared" si="42"/>
        <v>2065713.6344351298</v>
      </c>
      <c r="AM73" s="67">
        <f t="shared" si="42"/>
        <v>2107011.6796450294</v>
      </c>
      <c r="AN73" s="67">
        <f t="shared" si="42"/>
        <v>2149135.6890170453</v>
      </c>
      <c r="AO73" s="67">
        <f t="shared" si="42"/>
        <v>2192102.1818995778</v>
      </c>
      <c r="AP73" s="67">
        <f t="shared" si="42"/>
        <v>2235928.0080292965</v>
      </c>
      <c r="AQ73" s="67">
        <f t="shared" si="42"/>
        <v>2280630.3541389406</v>
      </c>
      <c r="AR73" s="67">
        <f t="shared" si="42"/>
        <v>2326226.7506972509</v>
      </c>
      <c r="AS73" s="67">
        <f t="shared" si="42"/>
        <v>2372735.0787837319</v>
      </c>
      <c r="AT73" s="67">
        <f t="shared" si="42"/>
        <v>2420173.577100887</v>
      </c>
      <c r="AU73" s="67">
        <f t="shared" si="42"/>
        <v>2468560.8491267092</v>
      </c>
      <c r="AV73" s="67">
        <f t="shared" si="42"/>
        <v>2517915.8704102174</v>
      </c>
      <c r="AW73" s="67">
        <f t="shared" si="42"/>
        <v>2568257.9960129093</v>
      </c>
      <c r="AX73" s="67">
        <f t="shared" si="42"/>
        <v>2619606.9680990381</v>
      </c>
      <c r="AY73" s="67">
        <f t="shared" si="42"/>
        <v>2671982.9236777015</v>
      </c>
      <c r="AZ73" s="67">
        <f t="shared" si="42"/>
        <v>2725406.4024997647</v>
      </c>
      <c r="BA73" s="67">
        <f t="shared" si="42"/>
        <v>2779898.3551127338</v>
      </c>
      <c r="BB73" s="67">
        <f t="shared" si="42"/>
        <v>2835480.1510767145</v>
      </c>
      <c r="BC73" s="67">
        <f t="shared" si="42"/>
        <v>2892173.5873447042</v>
      </c>
      <c r="BD73" s="67">
        <f t="shared" si="42"/>
        <v>2950000.8968104753</v>
      </c>
      <c r="BE73" s="67">
        <f t="shared" si="42"/>
        <v>3008984.7570274347</v>
      </c>
      <c r="BF73" s="67">
        <f t="shared" si="42"/>
        <v>3069148.2991018407</v>
      </c>
      <c r="BG73" s="67">
        <f t="shared" si="42"/>
        <v>3130515.1167639066</v>
      </c>
      <c r="BH73" s="67">
        <f t="shared" si="42"/>
        <v>3193109.2756203087</v>
      </c>
      <c r="BI73" s="67">
        <f t="shared" si="42"/>
        <v>3256955.3225917541</v>
      </c>
      <c r="BJ73" s="67">
        <f t="shared" si="42"/>
        <v>3322078.2955393028</v>
      </c>
      <c r="BK73" s="67">
        <f t="shared" si="42"/>
        <v>3388503.7330832123</v>
      </c>
      <c r="BL73" s="67">
        <f t="shared" si="42"/>
        <v>3456257.684618155</v>
      </c>
      <c r="BM73" s="67">
        <f t="shared" si="42"/>
        <v>3525366.7205287553</v>
      </c>
      <c r="BN73" s="67">
        <f t="shared" si="42"/>
        <v>3595857.9426094256</v>
      </c>
      <c r="BO73" s="67">
        <f t="shared" si="42"/>
        <v>3667758.9946926069</v>
      </c>
      <c r="BP73" s="67">
        <f t="shared" si="42"/>
        <v>3741098.0734895659</v>
      </c>
      <c r="BQ73" s="67">
        <f t="shared" si="42"/>
        <v>3815903.9396480178</v>
      </c>
      <c r="BR73" s="67">
        <f t="shared" si="42"/>
        <v>3892205.9290309078</v>
      </c>
      <c r="BS73" s="67">
        <f t="shared" si="42"/>
        <v>3970033.9642207455</v>
      </c>
      <c r="BT73" s="67">
        <f t="shared" si="42"/>
        <v>4049418.5662540607</v>
      </c>
      <c r="BU73" s="67">
        <f t="shared" si="42"/>
        <v>4130390.8665905134</v>
      </c>
      <c r="BV73" s="67">
        <f t="shared" si="42"/>
        <v>4212982.6193214152</v>
      </c>
      <c r="BW73" s="67">
        <f t="shared" si="42"/>
        <v>4297226.2136224108</v>
      </c>
      <c r="BX73" s="67">
        <f t="shared" si="42"/>
        <v>4383154.6864552116</v>
      </c>
      <c r="BY73" s="67">
        <f t="shared" si="42"/>
        <v>4470801.7355233692</v>
      </c>
      <c r="BZ73" s="67">
        <f t="shared" si="42"/>
        <v>4560201.7324871644</v>
      </c>
      <c r="CA73" s="67">
        <f t="shared" si="42"/>
        <v>4651389.7364427987</v>
      </c>
      <c r="CB73" s="67">
        <f t="shared" si="42"/>
        <v>4744401.5076711541</v>
      </c>
      <c r="CC73" s="67">
        <f t="shared" si="42"/>
        <v>4839273.5216615619</v>
      </c>
      <c r="CD73" s="67">
        <f t="shared" si="42"/>
        <v>4936042.9834160097</v>
      </c>
      <c r="CE73" s="67">
        <f t="shared" si="42"/>
        <v>5034747.8420394668</v>
      </c>
      <c r="CF73" s="67">
        <f t="shared" si="42"/>
        <v>5135426.8056219891</v>
      </c>
      <c r="CG73" s="67">
        <f t="shared" si="42"/>
        <v>5238119.3564184885</v>
      </c>
      <c r="CH73" s="67">
        <f t="shared" si="42"/>
        <v>5342865.7663320946</v>
      </c>
      <c r="CI73" s="67">
        <f t="shared" si="42"/>
        <v>5449707.1127071697</v>
      </c>
      <c r="CJ73" s="67">
        <f t="shared" si="42"/>
        <v>5558685.2944382103</v>
      </c>
      <c r="CK73" s="67">
        <f t="shared" si="42"/>
        <v>5669843.0484009041</v>
      </c>
      <c r="CL73" s="67">
        <f t="shared" si="42"/>
        <v>5783223.9662118219</v>
      </c>
      <c r="CM73" s="67">
        <f t="shared" si="42"/>
        <v>5898872.5113233104</v>
      </c>
      <c r="CN73" s="67">
        <f t="shared" si="42"/>
        <v>6016834.0364602702</v>
      </c>
      <c r="CO73" s="67">
        <f t="shared" si="42"/>
        <v>6137154.8014056692</v>
      </c>
      <c r="CP73" s="67">
        <f t="shared" si="42"/>
        <v>6259881.9911417952</v>
      </c>
      <c r="CQ73" s="67">
        <f t="shared" si="42"/>
        <v>6385063.7343542995</v>
      </c>
      <c r="CR73" s="67">
        <f t="shared" si="42"/>
        <v>6512749.1223063385</v>
      </c>
      <c r="CS73" s="67">
        <f t="shared" si="42"/>
        <v>6642988.2280902127</v>
      </c>
      <c r="CT73" s="67">
        <f t="shared" si="42"/>
        <v>6775832.1262640115</v>
      </c>
      <c r="CU73" s="67">
        <f t="shared" si="42"/>
        <v>6911332.9128810205</v>
      </c>
      <c r="CV73" s="67">
        <f t="shared" si="42"/>
        <v>7049543.7259196974</v>
      </c>
      <c r="CW73" s="67">
        <f t="shared" si="42"/>
        <v>7190518.7661222639</v>
      </c>
      <c r="CX73" s="67">
        <f t="shared" si="42"/>
        <v>7334313.318250061</v>
      </c>
      <c r="CY73" s="67">
        <f t="shared" si="42"/>
        <v>7480983.7727640113</v>
      </c>
      <c r="CZ73" s="4"/>
      <c r="DA73" s="4"/>
      <c r="DB73" s="4"/>
      <c r="DC73" s="4"/>
      <c r="DD73" s="4"/>
      <c r="DE73" s="4"/>
      <c r="DF73" s="4"/>
      <c r="DG73" s="4"/>
      <c r="DH73" s="4"/>
      <c r="DI73" s="4"/>
      <c r="DJ73" s="4"/>
      <c r="DK73" s="4"/>
      <c r="DL73" s="4"/>
      <c r="DM73" s="4"/>
      <c r="DN73" s="4"/>
      <c r="DO73" s="4"/>
      <c r="DP73" s="4"/>
      <c r="DQ73" s="4"/>
      <c r="DR73" s="4"/>
      <c r="DS73" s="4"/>
    </row>
    <row r="74" spans="1:123" ht="15.75" customHeight="1" x14ac:dyDescent="0.2">
      <c r="A74" s="4"/>
      <c r="B74" s="4"/>
      <c r="C74" s="4"/>
      <c r="D74" s="4"/>
      <c r="E74" s="4"/>
      <c r="F74" s="4"/>
      <c r="G74" s="4"/>
      <c r="H74" s="4"/>
      <c r="I74" s="218" t="s">
        <v>170</v>
      </c>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4"/>
      <c r="AL74" s="184"/>
      <c r="AM74" s="184"/>
      <c r="AN74" s="184"/>
      <c r="AO74" s="184"/>
      <c r="AP74" s="184"/>
      <c r="AQ74" s="184"/>
      <c r="AR74" s="184"/>
      <c r="AS74" s="184"/>
      <c r="AT74" s="184"/>
      <c r="AU74" s="184"/>
      <c r="AV74" s="184"/>
      <c r="AW74" s="184"/>
      <c r="AX74" s="184"/>
      <c r="AY74" s="184"/>
      <c r="AZ74" s="184"/>
      <c r="BA74" s="184"/>
      <c r="BB74" s="184"/>
      <c r="BC74" s="184"/>
      <c r="BD74" s="184"/>
      <c r="BE74" s="184"/>
      <c r="BF74" s="184"/>
      <c r="BG74" s="184"/>
      <c r="BH74" s="184"/>
      <c r="BI74" s="184"/>
      <c r="BJ74" s="184"/>
      <c r="BK74" s="184"/>
      <c r="BL74" s="184"/>
      <c r="BM74" s="184"/>
      <c r="BN74" s="184"/>
      <c r="BO74" s="184"/>
      <c r="BP74" s="184"/>
      <c r="BQ74" s="184"/>
      <c r="BR74" s="184"/>
      <c r="BS74" s="184"/>
      <c r="BT74" s="184"/>
      <c r="BU74" s="184"/>
      <c r="BV74" s="184"/>
      <c r="BW74" s="184"/>
      <c r="BX74" s="184"/>
      <c r="BY74" s="184"/>
      <c r="BZ74" s="184"/>
      <c r="CA74" s="184"/>
      <c r="CB74" s="184"/>
      <c r="CC74" s="184"/>
      <c r="CD74" s="184"/>
      <c r="CE74" s="184"/>
      <c r="CF74" s="184"/>
      <c r="CG74" s="184"/>
      <c r="CH74" s="184"/>
      <c r="CI74" s="184"/>
      <c r="CJ74" s="184"/>
      <c r="CK74" s="184"/>
      <c r="CL74" s="184"/>
      <c r="CM74" s="184"/>
      <c r="CN74" s="184"/>
      <c r="CO74" s="184"/>
      <c r="CP74" s="184"/>
      <c r="CQ74" s="184"/>
      <c r="CR74" s="184"/>
      <c r="CS74" s="184"/>
      <c r="CT74" s="184"/>
      <c r="CU74" s="184"/>
      <c r="CV74" s="184"/>
      <c r="CW74" s="184"/>
      <c r="CX74" s="184"/>
      <c r="CY74" s="184"/>
      <c r="CZ74" s="4"/>
      <c r="DA74" s="4"/>
      <c r="DB74" s="4"/>
      <c r="DC74" s="4"/>
      <c r="DD74" s="4"/>
      <c r="DE74" s="4"/>
      <c r="DF74" s="4"/>
      <c r="DG74" s="4"/>
      <c r="DH74" s="4"/>
      <c r="DI74" s="4"/>
      <c r="DJ74" s="4"/>
      <c r="DK74" s="4"/>
      <c r="DL74" s="4"/>
      <c r="DM74" s="4"/>
      <c r="DN74" s="4"/>
      <c r="DO74" s="4"/>
      <c r="DP74" s="4"/>
      <c r="DQ74" s="4"/>
      <c r="DR74" s="4"/>
      <c r="DS74" s="4"/>
    </row>
    <row r="75" spans="1:123" ht="15.75" customHeight="1" x14ac:dyDescent="0.2">
      <c r="A75" s="4"/>
      <c r="B75" s="4"/>
      <c r="C75" s="4"/>
      <c r="D75" s="4"/>
      <c r="E75" s="4"/>
      <c r="F75" s="4"/>
      <c r="G75" s="4"/>
      <c r="H75" s="4"/>
      <c r="I75" s="80" t="str">
        <f t="shared" ref="I75:I79" si="43">I69</f>
        <v>Telecommunications</v>
      </c>
      <c r="J75" s="67">
        <f t="shared" ref="J75:CY75" si="44">J69/$J$53/$J$55</f>
        <v>2139.3765467978787</v>
      </c>
      <c r="K75" s="67">
        <f t="shared" si="44"/>
        <v>2193.0498643743017</v>
      </c>
      <c r="L75" s="67">
        <f t="shared" si="44"/>
        <v>2248.0701100254778</v>
      </c>
      <c r="M75" s="67">
        <f t="shared" si="44"/>
        <v>2304.4711178113403</v>
      </c>
      <c r="N75" s="67">
        <f t="shared" si="44"/>
        <v>2362.2875759099188</v>
      </c>
      <c r="O75" s="67">
        <f t="shared" si="44"/>
        <v>2421.5550487544824</v>
      </c>
      <c r="P75" s="67">
        <f t="shared" si="44"/>
        <v>2482.3099998231464</v>
      </c>
      <c r="Q75" s="67">
        <f t="shared" si="44"/>
        <v>2544.5898151107267</v>
      </c>
      <c r="R75" s="67">
        <f t="shared" si="44"/>
        <v>2608.4328273151273</v>
      </c>
      <c r="S75" s="67">
        <f t="shared" si="44"/>
        <v>2673.8783407735364</v>
      </c>
      <c r="T75" s="67">
        <f t="shared" si="44"/>
        <v>2740.9666571868993</v>
      </c>
      <c r="U75" s="67">
        <f t="shared" si="44"/>
        <v>2809.7391021748758</v>
      </c>
      <c r="V75" s="67">
        <f t="shared" si="44"/>
        <v>2880.2380527076134</v>
      </c>
      <c r="W75" s="67">
        <f t="shared" si="44"/>
        <v>2952.506965465328</v>
      </c>
      <c r="X75" s="67">
        <f t="shared" si="44"/>
        <v>3026.5904061820024</v>
      </c>
      <c r="Y75" s="67">
        <f t="shared" si="44"/>
        <v>3102.5340800354375</v>
      </c>
      <c r="Z75" s="67">
        <f t="shared" si="44"/>
        <v>3180.3848631526498</v>
      </c>
      <c r="AA75" s="67">
        <f t="shared" si="44"/>
        <v>3260.190835307229</v>
      </c>
      <c r="AB75" s="67">
        <f t="shared" si="44"/>
        <v>3341.9689928406101</v>
      </c>
      <c r="AC75" s="67">
        <f t="shared" si="44"/>
        <v>3408.7763151589415</v>
      </c>
      <c r="AD75" s="67">
        <f t="shared" si="44"/>
        <v>3476.919789193938</v>
      </c>
      <c r="AE75" s="67">
        <f t="shared" si="44"/>
        <v>3546.4261380853368</v>
      </c>
      <c r="AF75" s="67">
        <f t="shared" si="44"/>
        <v>3617.3226194377762</v>
      </c>
      <c r="AG75" s="67">
        <f t="shared" si="44"/>
        <v>3689.6370360101469</v>
      </c>
      <c r="AH75" s="67">
        <f t="shared" si="44"/>
        <v>3763.3977466187034</v>
      </c>
      <c r="AI75" s="67">
        <f t="shared" si="44"/>
        <v>3838.6336772582645</v>
      </c>
      <c r="AJ75" s="67">
        <f t="shared" si="44"/>
        <v>3915.374332445826</v>
      </c>
      <c r="AK75" s="67">
        <f t="shared" si="44"/>
        <v>3993.6498067910511</v>
      </c>
      <c r="AL75" s="67">
        <f t="shared" si="44"/>
        <v>4073.4907967981726</v>
      </c>
      <c r="AM75" s="67">
        <f t="shared" si="44"/>
        <v>4154.9286129039283</v>
      </c>
      <c r="AN75" s="67">
        <f t="shared" si="44"/>
        <v>4237.9951917562621</v>
      </c>
      <c r="AO75" s="67">
        <f t="shared" si="44"/>
        <v>4322.7231087385935</v>
      </c>
      <c r="AP75" s="67">
        <f t="shared" si="44"/>
        <v>4409.1455907445779</v>
      </c>
      <c r="AQ75" s="67">
        <f t="shared" si="44"/>
        <v>4497.2965292083763</v>
      </c>
      <c r="AR75" s="67">
        <f t="shared" si="44"/>
        <v>4587.2104933954934</v>
      </c>
      <c r="AS75" s="67">
        <f t="shared" si="44"/>
        <v>4678.9227439594761</v>
      </c>
      <c r="AT75" s="67">
        <f t="shared" si="44"/>
        <v>4772.469246769725</v>
      </c>
      <c r="AU75" s="67">
        <f t="shared" si="44"/>
        <v>4867.8866870158681</v>
      </c>
      <c r="AV75" s="67">
        <f t="shared" si="44"/>
        <v>4965.2124835942141</v>
      </c>
      <c r="AW75" s="67">
        <f t="shared" si="44"/>
        <v>5064.4848037819529</v>
      </c>
      <c r="AX75" s="67">
        <f t="shared" si="44"/>
        <v>5165.7425782048285</v>
      </c>
      <c r="AY75" s="67">
        <f t="shared" si="44"/>
        <v>5269.025516104175</v>
      </c>
      <c r="AZ75" s="67">
        <f t="shared" si="44"/>
        <v>5374.3741209092759</v>
      </c>
      <c r="BA75" s="67">
        <f t="shared" si="44"/>
        <v>5481.829706121207</v>
      </c>
      <c r="BB75" s="67">
        <f t="shared" si="44"/>
        <v>5591.4344115143158</v>
      </c>
      <c r="BC75" s="67">
        <f t="shared" si="44"/>
        <v>5703.2312196617668</v>
      </c>
      <c r="BD75" s="67">
        <f t="shared" si="44"/>
        <v>5817.2639727915757</v>
      </c>
      <c r="BE75" s="67">
        <f t="shared" si="44"/>
        <v>5933.5773899797787</v>
      </c>
      <c r="BF75" s="67">
        <f t="shared" si="44"/>
        <v>6052.2170846874578</v>
      </c>
      <c r="BG75" s="67">
        <f t="shared" si="44"/>
        <v>6173.2295826485188</v>
      </c>
      <c r="BH75" s="67">
        <f t="shared" si="44"/>
        <v>6296.6623401152137</v>
      </c>
      <c r="BI75" s="67">
        <f t="shared" si="44"/>
        <v>6422.5637624685796</v>
      </c>
      <c r="BJ75" s="67">
        <f t="shared" si="44"/>
        <v>6550.9832232011013</v>
      </c>
      <c r="BK75" s="67">
        <f t="shared" si="44"/>
        <v>6681.9710832790061</v>
      </c>
      <c r="BL75" s="67">
        <f t="shared" si="44"/>
        <v>6815.5787108918084</v>
      </c>
      <c r="BM75" s="67">
        <f t="shared" si="44"/>
        <v>6951.8585015968765</v>
      </c>
      <c r="BN75" s="67">
        <f t="shared" si="44"/>
        <v>7090.8638988668554</v>
      </c>
      <c r="BO75" s="67">
        <f t="shared" si="44"/>
        <v>7232.6494150480639</v>
      </c>
      <c r="BP75" s="67">
        <f t="shared" si="44"/>
        <v>7377.2706527380406</v>
      </c>
      <c r="BQ75" s="67">
        <f t="shared" si="44"/>
        <v>7524.7843265906586</v>
      </c>
      <c r="BR75" s="67">
        <f t="shared" si="44"/>
        <v>7675.2482855573553</v>
      </c>
      <c r="BS75" s="67">
        <f t="shared" si="44"/>
        <v>7828.721535573145</v>
      </c>
      <c r="BT75" s="67">
        <f t="shared" si="44"/>
        <v>7985.2642626964143</v>
      </c>
      <c r="BU75" s="67">
        <f t="shared" si="44"/>
        <v>8144.9378567114491</v>
      </c>
      <c r="BV75" s="67">
        <f t="shared" si="44"/>
        <v>8307.8049352030703</v>
      </c>
      <c r="BW75" s="67">
        <f t="shared" si="44"/>
        <v>8473.9293681127383</v>
      </c>
      <c r="BX75" s="67">
        <f t="shared" si="44"/>
        <v>8643.3763027857785</v>
      </c>
      <c r="BY75" s="67">
        <f t="shared" si="44"/>
        <v>8816.2121895195596</v>
      </c>
      <c r="BZ75" s="67">
        <f t="shared" si="44"/>
        <v>8992.5048076226412</v>
      </c>
      <c r="CA75" s="67">
        <f t="shared" si="44"/>
        <v>9172.3232919951115</v>
      </c>
      <c r="CB75" s="67">
        <f t="shared" si="44"/>
        <v>9355.7381602404912</v>
      </c>
      <c r="CC75" s="67">
        <f t="shared" si="44"/>
        <v>9542.8213403199588</v>
      </c>
      <c r="CD75" s="67">
        <f t="shared" si="44"/>
        <v>9733.6461987595667</v>
      </c>
      <c r="CE75" s="67">
        <f t="shared" si="44"/>
        <v>9928.2875694217037</v>
      </c>
      <c r="CF75" s="67">
        <f t="shared" si="44"/>
        <v>10126.821782851885</v>
      </c>
      <c r="CG75" s="67">
        <f t="shared" si="44"/>
        <v>10329.326696212569</v>
      </c>
      <c r="CH75" s="67">
        <f t="shared" si="44"/>
        <v>10535.88172381561</v>
      </c>
      <c r="CI75" s="67">
        <f t="shared" si="44"/>
        <v>10746.567868265347</v>
      </c>
      <c r="CJ75" s="67">
        <f t="shared" si="44"/>
        <v>10961.46775222462</v>
      </c>
      <c r="CK75" s="67">
        <f t="shared" si="44"/>
        <v>11180.665650816021</v>
      </c>
      <c r="CL75" s="67">
        <f t="shared" si="44"/>
        <v>11404.247524671249</v>
      </c>
      <c r="CM75" s="67">
        <f t="shared" si="44"/>
        <v>11632.301053641429</v>
      </c>
      <c r="CN75" s="67">
        <f t="shared" si="44"/>
        <v>11864.915671181619</v>
      </c>
      <c r="CO75" s="67">
        <f t="shared" si="44"/>
        <v>12102.182599423018</v>
      </c>
      <c r="CP75" s="67">
        <f t="shared" si="44"/>
        <v>12344.19488494667</v>
      </c>
      <c r="CQ75" s="67">
        <f t="shared" si="44"/>
        <v>12591.047435272565</v>
      </c>
      <c r="CR75" s="67">
        <f t="shared" si="44"/>
        <v>12842.837056078577</v>
      </c>
      <c r="CS75" s="67">
        <f t="shared" si="44"/>
        <v>13099.662489163797</v>
      </c>
      <c r="CT75" s="67">
        <f t="shared" si="44"/>
        <v>13361.624451171047</v>
      </c>
      <c r="CU75" s="67">
        <f t="shared" si="44"/>
        <v>13628.825673083995</v>
      </c>
      <c r="CV75" s="67">
        <f t="shared" si="44"/>
        <v>13901.370940514054</v>
      </c>
      <c r="CW75" s="67">
        <f t="shared" si="44"/>
        <v>14179.36713479315</v>
      </c>
      <c r="CX75" s="67">
        <f t="shared" si="44"/>
        <v>14462.923274888277</v>
      </c>
      <c r="CY75" s="67">
        <f t="shared" si="44"/>
        <v>14752.150560154345</v>
      </c>
      <c r="CZ75" s="4"/>
      <c r="DA75" s="4"/>
      <c r="DB75" s="4"/>
      <c r="DC75" s="4"/>
      <c r="DD75" s="4"/>
      <c r="DE75" s="4"/>
      <c r="DF75" s="4"/>
      <c r="DG75" s="4"/>
      <c r="DH75" s="4"/>
      <c r="DI75" s="4"/>
      <c r="DJ75" s="4"/>
      <c r="DK75" s="4"/>
      <c r="DL75" s="4"/>
      <c r="DM75" s="4"/>
      <c r="DN75" s="4"/>
      <c r="DO75" s="4"/>
      <c r="DP75" s="4"/>
      <c r="DQ75" s="4"/>
      <c r="DR75" s="4"/>
      <c r="DS75" s="4"/>
    </row>
    <row r="76" spans="1:123" ht="15.75" customHeight="1" x14ac:dyDescent="0.2">
      <c r="A76" s="4"/>
      <c r="B76" s="4"/>
      <c r="C76" s="4"/>
      <c r="D76" s="4"/>
      <c r="E76" s="4"/>
      <c r="F76" s="4"/>
      <c r="G76" s="4"/>
      <c r="H76" s="4"/>
      <c r="I76" s="80" t="str">
        <f t="shared" si="43"/>
        <v>Natural Gas</v>
      </c>
      <c r="J76" s="67">
        <f t="shared" ref="J76:CY76" si="45">J70/$J$53/$J$55</f>
        <v>2802.6766988618497</v>
      </c>
      <c r="K76" s="67">
        <f t="shared" si="45"/>
        <v>2872.9910886999583</v>
      </c>
      <c r="L76" s="67">
        <f t="shared" si="45"/>
        <v>2945.0700131338135</v>
      </c>
      <c r="M76" s="67">
        <f t="shared" si="45"/>
        <v>3018.9577962593976</v>
      </c>
      <c r="N76" s="67">
        <f t="shared" si="45"/>
        <v>3094.6998811046969</v>
      </c>
      <c r="O76" s="67">
        <f t="shared" si="45"/>
        <v>3172.3428586303257</v>
      </c>
      <c r="P76" s="67">
        <f t="shared" si="45"/>
        <v>3251.9344975849085</v>
      </c>
      <c r="Q76" s="67">
        <f t="shared" si="45"/>
        <v>3333.5237752542262</v>
      </c>
      <c r="R76" s="67">
        <f t="shared" si="45"/>
        <v>3417.1609091464543</v>
      </c>
      <c r="S76" s="67">
        <f t="shared" si="45"/>
        <v>3502.8973896596544</v>
      </c>
      <c r="T76" s="67">
        <f t="shared" si="45"/>
        <v>3590.7860137819639</v>
      </c>
      <c r="U76" s="67">
        <f t="shared" si="45"/>
        <v>3680.8809198797499</v>
      </c>
      <c r="V76" s="67">
        <f t="shared" si="45"/>
        <v>3773.2376236344276</v>
      </c>
      <c r="W76" s="67">
        <f t="shared" si="45"/>
        <v>3867.9130551947528</v>
      </c>
      <c r="X76" s="67">
        <f t="shared" si="45"/>
        <v>3964.9655976183435</v>
      </c>
      <c r="Y76" s="67">
        <f t="shared" si="45"/>
        <v>4064.455126683979</v>
      </c>
      <c r="Z76" s="67">
        <f t="shared" si="45"/>
        <v>4166.4430521650429</v>
      </c>
      <c r="AA76" s="67">
        <f t="shared" si="45"/>
        <v>4270.9923606644925</v>
      </c>
      <c r="AB76" s="67">
        <f t="shared" si="45"/>
        <v>4378.1253181318025</v>
      </c>
      <c r="AC76" s="67">
        <f t="shared" si="45"/>
        <v>4465.6458277191377</v>
      </c>
      <c r="AD76" s="67">
        <f t="shared" si="45"/>
        <v>4554.9167544025386</v>
      </c>
      <c r="AE76" s="67">
        <f t="shared" si="45"/>
        <v>4645.9731066620134</v>
      </c>
      <c r="AF76" s="67">
        <f t="shared" si="45"/>
        <v>4738.850593149924</v>
      </c>
      <c r="AG76" s="67">
        <f t="shared" si="45"/>
        <v>4833.5856366945154</v>
      </c>
      <c r="AH76" s="67">
        <f t="shared" si="45"/>
        <v>4930.2153885834541</v>
      </c>
      <c r="AI76" s="67">
        <f t="shared" si="45"/>
        <v>5028.777743133096</v>
      </c>
      <c r="AJ76" s="67">
        <f t="shared" si="45"/>
        <v>5129.3113525491162</v>
      </c>
      <c r="AK76" s="67">
        <f t="shared" si="45"/>
        <v>5231.8556420843452</v>
      </c>
      <c r="AL76" s="67">
        <f t="shared" si="45"/>
        <v>5336.4508254997891</v>
      </c>
      <c r="AM76" s="67">
        <f t="shared" si="45"/>
        <v>5443.1379208348408</v>
      </c>
      <c r="AN76" s="67">
        <f t="shared" si="45"/>
        <v>5551.9587664929195</v>
      </c>
      <c r="AO76" s="67">
        <f t="shared" si="45"/>
        <v>5662.9560376488116</v>
      </c>
      <c r="AP76" s="67">
        <f t="shared" si="45"/>
        <v>5776.1732629841626</v>
      </c>
      <c r="AQ76" s="67">
        <f t="shared" si="45"/>
        <v>5891.6548417576978</v>
      </c>
      <c r="AR76" s="67">
        <f t="shared" si="45"/>
        <v>6009.4460612168023</v>
      </c>
      <c r="AS76" s="67">
        <f t="shared" si="45"/>
        <v>6129.5931143573907</v>
      </c>
      <c r="AT76" s="67">
        <f t="shared" si="45"/>
        <v>6252.14311803894</v>
      </c>
      <c r="AU76" s="67">
        <f t="shared" si="45"/>
        <v>6377.1441314618351</v>
      </c>
      <c r="AV76" s="67">
        <f t="shared" si="45"/>
        <v>6504.6451750142533</v>
      </c>
      <c r="AW76" s="67">
        <f t="shared" si="45"/>
        <v>6634.6962494960089</v>
      </c>
      <c r="AX76" s="67">
        <f t="shared" si="45"/>
        <v>6767.348355726851</v>
      </c>
      <c r="AY76" s="67">
        <f t="shared" si="45"/>
        <v>6902.6535145469543</v>
      </c>
      <c r="AZ76" s="67">
        <f t="shared" si="45"/>
        <v>7040.6647872173917</v>
      </c>
      <c r="BA76" s="67">
        <f t="shared" si="45"/>
        <v>7181.4362962286559</v>
      </c>
      <c r="BB76" s="67">
        <f t="shared" si="45"/>
        <v>7325.0232465253048</v>
      </c>
      <c r="BC76" s="67">
        <f t="shared" si="45"/>
        <v>7471.4819471551536</v>
      </c>
      <c r="BD76" s="67">
        <f t="shared" si="45"/>
        <v>7620.8698333514076</v>
      </c>
      <c r="BE76" s="67">
        <f t="shared" si="45"/>
        <v>7773.2454890564786</v>
      </c>
      <c r="BF76" s="67">
        <f t="shared" si="45"/>
        <v>7928.6686698962321</v>
      </c>
      <c r="BG76" s="67">
        <f t="shared" si="45"/>
        <v>8087.2003266137781</v>
      </c>
      <c r="BH76" s="67">
        <f t="shared" si="45"/>
        <v>8248.9026289718931</v>
      </c>
      <c r="BI76" s="67">
        <f t="shared" si="45"/>
        <v>8413.8389901335104</v>
      </c>
      <c r="BJ76" s="67">
        <f t="shared" si="45"/>
        <v>8582.0740915298265</v>
      </c>
      <c r="BK76" s="67">
        <f t="shared" si="45"/>
        <v>8753.6739082257718</v>
      </c>
      <c r="BL76" s="67">
        <f t="shared" si="45"/>
        <v>8928.7057347927621</v>
      </c>
      <c r="BM76" s="67">
        <f t="shared" si="45"/>
        <v>9107.2382116989647</v>
      </c>
      <c r="BN76" s="67">
        <f t="shared" si="45"/>
        <v>9289.3413522273204</v>
      </c>
      <c r="BO76" s="67">
        <f t="shared" si="45"/>
        <v>9475.0865699319602</v>
      </c>
      <c r="BP76" s="67">
        <f t="shared" si="45"/>
        <v>9664.5467066437213</v>
      </c>
      <c r="BQ76" s="67">
        <f t="shared" si="45"/>
        <v>9857.7960610357968</v>
      </c>
      <c r="BR76" s="67">
        <f t="shared" si="45"/>
        <v>10054.910417760726</v>
      </c>
      <c r="BS76" s="67">
        <f t="shared" si="45"/>
        <v>10255.967077170058</v>
      </c>
      <c r="BT76" s="67">
        <f t="shared" si="45"/>
        <v>10461.044885628489</v>
      </c>
      <c r="BU76" s="67">
        <f t="shared" si="45"/>
        <v>10670.224266434212</v>
      </c>
      <c r="BV76" s="67">
        <f t="shared" si="45"/>
        <v>10883.587251357734</v>
      </c>
      <c r="BW76" s="67">
        <f t="shared" si="45"/>
        <v>11101.217512811447</v>
      </c>
      <c r="BX76" s="67">
        <f t="shared" si="45"/>
        <v>11323.200396662591</v>
      </c>
      <c r="BY76" s="67">
        <f t="shared" si="45"/>
        <v>11549.622955702478</v>
      </c>
      <c r="BZ76" s="67">
        <f t="shared" si="45"/>
        <v>11780.57398378512</v>
      </c>
      <c r="CA76" s="67">
        <f t="shared" si="45"/>
        <v>12016.144050648618</v>
      </c>
      <c r="CB76" s="67">
        <f t="shared" si="45"/>
        <v>12256.425537432957</v>
      </c>
      <c r="CC76" s="67">
        <f t="shared" si="45"/>
        <v>12501.51267290824</v>
      </c>
      <c r="CD76" s="67">
        <f t="shared" si="45"/>
        <v>12751.501570427379</v>
      </c>
      <c r="CE76" s="67">
        <f t="shared" si="45"/>
        <v>13006.490265617951</v>
      </c>
      <c r="CF76" s="67">
        <f t="shared" si="45"/>
        <v>13266.578754827795</v>
      </c>
      <c r="CG76" s="67">
        <f t="shared" si="45"/>
        <v>13531.86903433961</v>
      </c>
      <c r="CH76" s="67">
        <f t="shared" si="45"/>
        <v>13802.465140369794</v>
      </c>
      <c r="CI76" s="67">
        <f t="shared" si="45"/>
        <v>14078.473189867267</v>
      </c>
      <c r="CJ76" s="67">
        <f t="shared" si="45"/>
        <v>14360.001422128322</v>
      </c>
      <c r="CK76" s="67">
        <f t="shared" si="45"/>
        <v>14647.160241243695</v>
      </c>
      <c r="CL76" s="67">
        <f t="shared" si="45"/>
        <v>14940.062259394648</v>
      </c>
      <c r="CM76" s="67">
        <f t="shared" si="45"/>
        <v>15238.822341014973</v>
      </c>
      <c r="CN76" s="67">
        <f t="shared" si="45"/>
        <v>15543.557647836182</v>
      </c>
      <c r="CO76" s="67">
        <f t="shared" si="45"/>
        <v>15854.387684833648</v>
      </c>
      <c r="CP76" s="67">
        <f t="shared" si="45"/>
        <v>16171.434347091705</v>
      </c>
      <c r="CQ76" s="67">
        <f t="shared" si="45"/>
        <v>16494.821967605978</v>
      </c>
      <c r="CR76" s="67">
        <f t="shared" si="45"/>
        <v>16824.677366041804</v>
      </c>
      <c r="CS76" s="67">
        <f t="shared" si="45"/>
        <v>17161.129898467851</v>
      </c>
      <c r="CT76" s="67">
        <f t="shared" si="45"/>
        <v>17504.311508084342</v>
      </c>
      <c r="CU76" s="67">
        <f t="shared" si="45"/>
        <v>17854.356776965931</v>
      </c>
      <c r="CV76" s="67">
        <f t="shared" si="45"/>
        <v>18211.402978839371</v>
      </c>
      <c r="CW76" s="67">
        <f t="shared" si="45"/>
        <v>18575.590132916786</v>
      </c>
      <c r="CX76" s="67">
        <f t="shared" si="45"/>
        <v>18947.061058805601</v>
      </c>
      <c r="CY76" s="67">
        <f t="shared" si="45"/>
        <v>19325.961432516608</v>
      </c>
      <c r="CZ76" s="4"/>
      <c r="DA76" s="4"/>
      <c r="DB76" s="4"/>
      <c r="DC76" s="4"/>
      <c r="DD76" s="4"/>
      <c r="DE76" s="4"/>
      <c r="DF76" s="4"/>
      <c r="DG76" s="4"/>
      <c r="DH76" s="4"/>
      <c r="DI76" s="4"/>
      <c r="DJ76" s="4"/>
      <c r="DK76" s="4"/>
      <c r="DL76" s="4"/>
      <c r="DM76" s="4"/>
      <c r="DN76" s="4"/>
      <c r="DO76" s="4"/>
      <c r="DP76" s="4"/>
      <c r="DQ76" s="4"/>
      <c r="DR76" s="4"/>
      <c r="DS76" s="4"/>
    </row>
    <row r="77" spans="1:123" ht="15.75" customHeight="1" x14ac:dyDescent="0.2">
      <c r="A77" s="4"/>
      <c r="B77" s="4"/>
      <c r="C77" s="4"/>
      <c r="D77" s="4"/>
      <c r="E77" s="4"/>
      <c r="F77" s="4"/>
      <c r="G77" s="4"/>
      <c r="H77" s="4"/>
      <c r="I77" s="80" t="str">
        <f t="shared" si="43"/>
        <v>Cable TV</v>
      </c>
      <c r="J77" s="67">
        <f t="shared" ref="J77:CY77" si="46">J71/$J$53/$J$55</f>
        <v>4745.8658767393999</v>
      </c>
      <c r="K77" s="67">
        <f t="shared" si="46"/>
        <v>4864.9315768652641</v>
      </c>
      <c r="L77" s="67">
        <f t="shared" si="46"/>
        <v>4986.985222239924</v>
      </c>
      <c r="M77" s="67">
        <f t="shared" si="46"/>
        <v>5112.1018683325792</v>
      </c>
      <c r="N77" s="67">
        <f t="shared" si="46"/>
        <v>5240.3584653372873</v>
      </c>
      <c r="O77" s="67">
        <f t="shared" si="46"/>
        <v>5371.8339072806857</v>
      </c>
      <c r="P77" s="67">
        <f t="shared" si="46"/>
        <v>5506.6090825771116</v>
      </c>
      <c r="Q77" s="67">
        <f t="shared" si="46"/>
        <v>5644.7669260971579</v>
      </c>
      <c r="R77" s="67">
        <f t="shared" si="46"/>
        <v>5786.3924728213306</v>
      </c>
      <c r="S77" s="67">
        <f t="shared" si="46"/>
        <v>5931.5729131570142</v>
      </c>
      <c r="T77" s="67">
        <f t="shared" si="46"/>
        <v>6080.3976500041254</v>
      </c>
      <c r="U77" s="67">
        <f t="shared" si="46"/>
        <v>6232.9583576630439</v>
      </c>
      <c r="V77" s="67">
        <f t="shared" si="46"/>
        <v>6389.3490426876306</v>
      </c>
      <c r="W77" s="67">
        <f t="shared" si="46"/>
        <v>6549.6661067964487</v>
      </c>
      <c r="X77" s="67">
        <f t="shared" si="46"/>
        <v>6714.0084119670628</v>
      </c>
      <c r="Y77" s="67">
        <f t="shared" si="46"/>
        <v>6882.477347851539</v>
      </c>
      <c r="Z77" s="67">
        <f t="shared" si="46"/>
        <v>7055.1769016661392</v>
      </c>
      <c r="AA77" s="67">
        <f t="shared" si="46"/>
        <v>7232.213730725206</v>
      </c>
      <c r="AB77" s="67">
        <f t="shared" si="46"/>
        <v>7413.625538703187</v>
      </c>
      <c r="AC77" s="67">
        <f t="shared" si="46"/>
        <v>7561.8269349377406</v>
      </c>
      <c r="AD77" s="67">
        <f t="shared" si="46"/>
        <v>7712.9923707882999</v>
      </c>
      <c r="AE77" s="67">
        <f t="shared" si="46"/>
        <v>7867.1811272810091</v>
      </c>
      <c r="AF77" s="67">
        <f t="shared" si="46"/>
        <v>8024.4536710672055</v>
      </c>
      <c r="AG77" s="67">
        <f t="shared" si="46"/>
        <v>8184.8716781360481</v>
      </c>
      <c r="AH77" s="67">
        <f t="shared" si="46"/>
        <v>8348.4980580013143</v>
      </c>
      <c r="AI77" s="67">
        <f t="shared" si="46"/>
        <v>8515.396978372044</v>
      </c>
      <c r="AJ77" s="67">
        <f t="shared" si="46"/>
        <v>8685.6338903165033</v>
      </c>
      <c r="AK77" s="67">
        <f t="shared" si="46"/>
        <v>8859.2755539294922</v>
      </c>
      <c r="AL77" s="67">
        <f t="shared" si="46"/>
        <v>9036.3900645129761</v>
      </c>
      <c r="AM77" s="67">
        <f t="shared" si="46"/>
        <v>9217.0468792803294</v>
      </c>
      <c r="AN77" s="67">
        <f t="shared" si="46"/>
        <v>9401.3168445946776</v>
      </c>
      <c r="AO77" s="67">
        <f t="shared" si="46"/>
        <v>9589.2722237519902</v>
      </c>
      <c r="AP77" s="67">
        <f t="shared" si="46"/>
        <v>9780.9867253198499</v>
      </c>
      <c r="AQ77" s="67">
        <f t="shared" si="46"/>
        <v>9976.5355320430372</v>
      </c>
      <c r="AR77" s="67">
        <f t="shared" si="46"/>
        <v>10175.99533032712</v>
      </c>
      <c r="AS77" s="67">
        <f t="shared" si="46"/>
        <v>10379.444340311849</v>
      </c>
      <c r="AT77" s="67">
        <f t="shared" si="46"/>
        <v>10586.962346545941</v>
      </c>
      <c r="AU77" s="67">
        <f t="shared" si="46"/>
        <v>10798.630729275374</v>
      </c>
      <c r="AV77" s="67">
        <f t="shared" si="46"/>
        <v>11014.532496357469</v>
      </c>
      <c r="AW77" s="67">
        <f t="shared" si="46"/>
        <v>11234.752315813241</v>
      </c>
      <c r="AX77" s="67">
        <f t="shared" si="46"/>
        <v>11459.376549030801</v>
      </c>
      <c r="AY77" s="67">
        <f t="shared" si="46"/>
        <v>11688.493284632841</v>
      </c>
      <c r="AZ77" s="67">
        <f t="shared" si="46"/>
        <v>11922.192373021451</v>
      </c>
      <c r="BA77" s="67">
        <f t="shared" si="46"/>
        <v>12160.565461613856</v>
      </c>
      <c r="BB77" s="67">
        <f t="shared" si="46"/>
        <v>12403.706030782849</v>
      </c>
      <c r="BC77" s="67">
        <f t="shared" si="46"/>
        <v>12651.709430516059</v>
      </c>
      <c r="BD77" s="67">
        <f t="shared" si="46"/>
        <v>12904.672917808384</v>
      </c>
      <c r="BE77" s="67">
        <f t="shared" si="46"/>
        <v>13162.695694802303</v>
      </c>
      <c r="BF77" s="67">
        <f t="shared" si="46"/>
        <v>13425.878947690953</v>
      </c>
      <c r="BG77" s="67">
        <f t="shared" si="46"/>
        <v>13694.325886399331</v>
      </c>
      <c r="BH77" s="67">
        <f t="shared" si="46"/>
        <v>13968.141785059075</v>
      </c>
      <c r="BI77" s="67">
        <f t="shared" si="46"/>
        <v>14247.434023292748</v>
      </c>
      <c r="BJ77" s="67">
        <f t="shared" si="46"/>
        <v>14532.312128323842</v>
      </c>
      <c r="BK77" s="67">
        <f t="shared" si="46"/>
        <v>14822.887817928973</v>
      </c>
      <c r="BL77" s="67">
        <f t="shared" si="46"/>
        <v>15119.275044249078</v>
      </c>
      <c r="BM77" s="67">
        <f t="shared" si="46"/>
        <v>15421.590038476914</v>
      </c>
      <c r="BN77" s="67">
        <f t="shared" si="46"/>
        <v>15729.951356438265</v>
      </c>
      <c r="BO77" s="67">
        <f t="shared" si="46"/>
        <v>16044.479925084786</v>
      </c>
      <c r="BP77" s="67">
        <f t="shared" si="46"/>
        <v>16365.2990899167</v>
      </c>
      <c r="BQ77" s="67">
        <f t="shared" si="46"/>
        <v>16692.534663353948</v>
      </c>
      <c r="BR77" s="67">
        <f t="shared" si="46"/>
        <v>17026.314974074834</v>
      </c>
      <c r="BS77" s="67">
        <f t="shared" si="46"/>
        <v>17366.770917341299</v>
      </c>
      <c r="BT77" s="67">
        <f t="shared" si="46"/>
        <v>17714.036006330909</v>
      </c>
      <c r="BU77" s="67">
        <f t="shared" si="46"/>
        <v>18068.246424495268</v>
      </c>
      <c r="BV77" s="67">
        <f t="shared" si="46"/>
        <v>18429.541078965765</v>
      </c>
      <c r="BW77" s="67">
        <f t="shared" si="46"/>
        <v>18798.061655027384</v>
      </c>
      <c r="BX77" s="67">
        <f t="shared" si="46"/>
        <v>19173.952671681986</v>
      </c>
      <c r="BY77" s="67">
        <f t="shared" si="46"/>
        <v>19557.361538322864</v>
      </c>
      <c r="BZ77" s="67">
        <f t="shared" si="46"/>
        <v>19948.438612542806</v>
      </c>
      <c r="CA77" s="67">
        <f t="shared" si="46"/>
        <v>20347.337259098327</v>
      </c>
      <c r="CB77" s="67">
        <f t="shared" si="46"/>
        <v>20754.213910053142</v>
      </c>
      <c r="CC77" s="67">
        <f t="shared" si="46"/>
        <v>21169.228126124621</v>
      </c>
      <c r="CD77" s="67">
        <f t="shared" si="46"/>
        <v>21592.542659257029</v>
      </c>
      <c r="CE77" s="67">
        <f t="shared" si="46"/>
        <v>22024.323516446399</v>
      </c>
      <c r="CF77" s="67">
        <f t="shared" si="46"/>
        <v>22464.74002484174</v>
      </c>
      <c r="CG77" s="67">
        <f t="shared" si="46"/>
        <v>22913.964898148406</v>
      </c>
      <c r="CH77" s="67">
        <f t="shared" si="46"/>
        <v>23372.174304359516</v>
      </c>
      <c r="CI77" s="67">
        <f t="shared" si="46"/>
        <v>23839.547934841907</v>
      </c>
      <c r="CJ77" s="67">
        <f t="shared" si="46"/>
        <v>24316.269074803957</v>
      </c>
      <c r="CK77" s="67">
        <f t="shared" si="46"/>
        <v>24802.524675172659</v>
      </c>
      <c r="CL77" s="67">
        <f t="shared" si="46"/>
        <v>25298.505425908275</v>
      </c>
      <c r="CM77" s="67">
        <f t="shared" si="46"/>
        <v>25804.405830785356</v>
      </c>
      <c r="CN77" s="67">
        <f t="shared" si="46"/>
        <v>26320.424283669272</v>
      </c>
      <c r="CO77" s="67">
        <f t="shared" si="46"/>
        <v>26846.76314631831</v>
      </c>
      <c r="CP77" s="67">
        <f t="shared" si="46"/>
        <v>27383.628827741952</v>
      </c>
      <c r="CQ77" s="67">
        <f t="shared" si="46"/>
        <v>27931.231865146125</v>
      </c>
      <c r="CR77" s="67">
        <f t="shared" si="46"/>
        <v>28489.78700649746</v>
      </c>
      <c r="CS77" s="67">
        <f t="shared" si="46"/>
        <v>29059.513294738896</v>
      </c>
      <c r="CT77" s="67">
        <f t="shared" si="46"/>
        <v>29640.634153689487</v>
      </c>
      <c r="CU77" s="67">
        <f t="shared" si="46"/>
        <v>30233.37747566231</v>
      </c>
      <c r="CV77" s="67">
        <f t="shared" si="46"/>
        <v>30837.975710834671</v>
      </c>
      <c r="CW77" s="67">
        <f t="shared" si="46"/>
        <v>31454.665958405767</v>
      </c>
      <c r="CX77" s="67">
        <f t="shared" si="46"/>
        <v>32083.690059577486</v>
      </c>
      <c r="CY77" s="67">
        <f t="shared" si="46"/>
        <v>32725.294692394797</v>
      </c>
      <c r="CZ77" s="4"/>
      <c r="DA77" s="4"/>
      <c r="DB77" s="4"/>
      <c r="DC77" s="4"/>
      <c r="DD77" s="4"/>
      <c r="DE77" s="4"/>
      <c r="DF77" s="4"/>
      <c r="DG77" s="4"/>
      <c r="DH77" s="4"/>
      <c r="DI77" s="4"/>
      <c r="DJ77" s="4"/>
      <c r="DK77" s="4"/>
      <c r="DL77" s="4"/>
      <c r="DM77" s="4"/>
      <c r="DN77" s="4"/>
      <c r="DO77" s="4"/>
      <c r="DP77" s="4"/>
      <c r="DQ77" s="4"/>
      <c r="DR77" s="4"/>
      <c r="DS77" s="4"/>
    </row>
    <row r="78" spans="1:123" ht="15.75" customHeight="1" x14ac:dyDescent="0.2">
      <c r="A78" s="4"/>
      <c r="B78" s="4"/>
      <c r="C78" s="4"/>
      <c r="D78" s="4"/>
      <c r="E78" s="4"/>
      <c r="F78" s="4"/>
      <c r="G78" s="4"/>
      <c r="H78" s="4"/>
      <c r="I78" s="80" t="str">
        <f t="shared" si="43"/>
        <v>Electric</v>
      </c>
      <c r="J78" s="67">
        <f t="shared" ref="J78:CY78" si="47">J72/$J$53/$J$55</f>
        <v>6623.6592649768381</v>
      </c>
      <c r="K78" s="67">
        <f t="shared" si="47"/>
        <v>6789.8356062942348</v>
      </c>
      <c r="L78" s="67">
        <f t="shared" si="47"/>
        <v>6960.1821310395799</v>
      </c>
      <c r="M78" s="67">
        <f t="shared" si="47"/>
        <v>7134.8035918263759</v>
      </c>
      <c r="N78" s="67">
        <f t="shared" si="47"/>
        <v>7313.8073856774326</v>
      </c>
      <c r="O78" s="67">
        <f t="shared" si="47"/>
        <v>7497.303622563004</v>
      </c>
      <c r="P78" s="67">
        <f t="shared" si="47"/>
        <v>7685.4051959589997</v>
      </c>
      <c r="Q78" s="67">
        <f t="shared" si="47"/>
        <v>7878.227855517488</v>
      </c>
      <c r="R78" s="67">
        <f t="shared" si="47"/>
        <v>8075.8902819494542</v>
      </c>
      <c r="S78" s="67">
        <f t="shared" si="47"/>
        <v>8278.5141642289818</v>
      </c>
      <c r="T78" s="67">
        <f t="shared" si="47"/>
        <v>8486.2242792380421</v>
      </c>
      <c r="U78" s="67">
        <f t="shared" si="47"/>
        <v>8699.1485739824748</v>
      </c>
      <c r="V78" s="67">
        <f t="shared" si="47"/>
        <v>8917.4182505226963</v>
      </c>
      <c r="W78" s="67">
        <f t="shared" si="47"/>
        <v>9141.167853776933</v>
      </c>
      <c r="X78" s="67">
        <f t="shared" si="47"/>
        <v>9370.5353623713509</v>
      </c>
      <c r="Y78" s="67">
        <f t="shared" si="47"/>
        <v>9605.6622827298052</v>
      </c>
      <c r="Z78" s="67">
        <f t="shared" si="47"/>
        <v>9846.6937466167183</v>
      </c>
      <c r="AA78" s="67">
        <f t="shared" si="47"/>
        <v>10093.778612370415</v>
      </c>
      <c r="AB78" s="67">
        <f t="shared" si="47"/>
        <v>10346.969501851494</v>
      </c>
      <c r="AC78" s="67">
        <f t="shared" si="47"/>
        <v>10553.80963950956</v>
      </c>
      <c r="AD78" s="67">
        <f t="shared" si="47"/>
        <v>10764.786596238</v>
      </c>
      <c r="AE78" s="67">
        <f t="shared" si="47"/>
        <v>10979.983108744558</v>
      </c>
      <c r="AF78" s="67">
        <f t="shared" si="47"/>
        <v>11199.483568477654</v>
      </c>
      <c r="AG78" s="67">
        <f t="shared" si="47"/>
        <v>11423.374054721371</v>
      </c>
      <c r="AH78" s="67">
        <f t="shared" si="47"/>
        <v>11651.74236835223</v>
      </c>
      <c r="AI78" s="67">
        <f t="shared" si="47"/>
        <v>11884.678066271217</v>
      </c>
      <c r="AJ78" s="67">
        <f t="shared" si="47"/>
        <v>12122.272496524411</v>
      </c>
      <c r="AK78" s="67">
        <f t="shared" si="47"/>
        <v>12364.618834126002</v>
      </c>
      <c r="AL78" s="67">
        <f t="shared" si="47"/>
        <v>12611.812117597836</v>
      </c>
      <c r="AM78" s="67">
        <f t="shared" si="47"/>
        <v>12863.949286239675</v>
      </c>
      <c r="AN78" s="67">
        <f t="shared" si="47"/>
        <v>13121.129218144933</v>
      </c>
      <c r="AO78" s="67">
        <f t="shared" si="47"/>
        <v>13383.452768976693</v>
      </c>
      <c r="AP78" s="67">
        <f t="shared" si="47"/>
        <v>13651.022811519237</v>
      </c>
      <c r="AQ78" s="67">
        <f t="shared" si="47"/>
        <v>13923.944276020693</v>
      </c>
      <c r="AR78" s="67">
        <f t="shared" si="47"/>
        <v>14202.324191342377</v>
      </c>
      <c r="AS78" s="67">
        <f t="shared" si="47"/>
        <v>14486.271726931302</v>
      </c>
      <c r="AT78" s="67">
        <f t="shared" si="47"/>
        <v>14775.89823563203</v>
      </c>
      <c r="AU78" s="67">
        <f t="shared" si="47"/>
        <v>15071.317297354806</v>
      </c>
      <c r="AV78" s="67">
        <f t="shared" si="47"/>
        <v>15372.644763617018</v>
      </c>
      <c r="AW78" s="67">
        <f t="shared" si="47"/>
        <v>15679.998802975566</v>
      </c>
      <c r="AX78" s="67">
        <f t="shared" si="47"/>
        <v>15993.499947367787</v>
      </c>
      <c r="AY78" s="67">
        <f t="shared" si="47"/>
        <v>16313.2711393793</v>
      </c>
      <c r="AZ78" s="67">
        <f t="shared" si="47"/>
        <v>16639.437780457105</v>
      </c>
      <c r="BA78" s="67">
        <f t="shared" si="47"/>
        <v>16972.127780087056</v>
      </c>
      <c r="BB78" s="67">
        <f t="shared" si="47"/>
        <v>17311.471605954801</v>
      </c>
      <c r="BC78" s="67">
        <f t="shared" si="47"/>
        <v>17657.602335110012</v>
      </c>
      <c r="BD78" s="67">
        <f t="shared" si="47"/>
        <v>18010.655706153826</v>
      </c>
      <c r="BE78" s="67">
        <f t="shared" si="47"/>
        <v>18370.770172470144</v>
      </c>
      <c r="BF78" s="67">
        <f t="shared" si="47"/>
        <v>18738.086956521427</v>
      </c>
      <c r="BG78" s="67">
        <f t="shared" si="47"/>
        <v>19112.750105230563</v>
      </c>
      <c r="BH78" s="67">
        <f t="shared" si="47"/>
        <v>19494.90654647024</v>
      </c>
      <c r="BI78" s="67">
        <f t="shared" si="47"/>
        <v>19884.706146682198</v>
      </c>
      <c r="BJ78" s="67">
        <f t="shared" si="47"/>
        <v>20282.30176964882</v>
      </c>
      <c r="BK78" s="67">
        <f t="shared" si="47"/>
        <v>20687.849336440242</v>
      </c>
      <c r="BL78" s="67">
        <f t="shared" si="47"/>
        <v>21101.507886560226</v>
      </c>
      <c r="BM78" s="67">
        <f t="shared" si="47"/>
        <v>21523.43964031522</v>
      </c>
      <c r="BN78" s="67">
        <f t="shared" si="47"/>
        <v>21953.81006243057</v>
      </c>
      <c r="BO78" s="67">
        <f t="shared" si="47"/>
        <v>22392.7879269392</v>
      </c>
      <c r="BP78" s="67">
        <f t="shared" si="47"/>
        <v>22840.545383367989</v>
      </c>
      <c r="BQ78" s="67">
        <f t="shared" si="47"/>
        <v>23297.258024247931</v>
      </c>
      <c r="BR78" s="67">
        <f t="shared" si="47"/>
        <v>23763.104953974518</v>
      </c>
      <c r="BS78" s="67">
        <f t="shared" si="47"/>
        <v>24238.268859045238</v>
      </c>
      <c r="BT78" s="67">
        <f t="shared" si="47"/>
        <v>24722.936079701998</v>
      </c>
      <c r="BU78" s="67">
        <f t="shared" si="47"/>
        <v>25217.296683006189</v>
      </c>
      <c r="BV78" s="67">
        <f t="shared" si="47"/>
        <v>25721.544537375441</v>
      </c>
      <c r="BW78" s="67">
        <f t="shared" si="47"/>
        <v>26235.87738861105</v>
      </c>
      <c r="BX78" s="67">
        <f t="shared" si="47"/>
        <v>26760.496937445922</v>
      </c>
      <c r="BY78" s="67">
        <f t="shared" si="47"/>
        <v>27295.608918643524</v>
      </c>
      <c r="BZ78" s="67">
        <f t="shared" si="47"/>
        <v>27841.423181678831</v>
      </c>
      <c r="CA78" s="67">
        <f t="shared" si="47"/>
        <v>28398.1537730329</v>
      </c>
      <c r="CB78" s="67">
        <f t="shared" si="47"/>
        <v>28966.019020133219</v>
      </c>
      <c r="CC78" s="67">
        <f t="shared" si="47"/>
        <v>29545.24161697314</v>
      </c>
      <c r="CD78" s="67">
        <f t="shared" si="47"/>
        <v>30136.048711443371</v>
      </c>
      <c r="CE78" s="67">
        <f t="shared" si="47"/>
        <v>30738.671994410422</v>
      </c>
      <c r="CF78" s="67">
        <f t="shared" si="47"/>
        <v>31353.347790576358</v>
      </c>
      <c r="CG78" s="67">
        <f t="shared" si="47"/>
        <v>31980.317151155941</v>
      </c>
      <c r="CH78" s="67">
        <f t="shared" si="47"/>
        <v>32619.825948407277</v>
      </c>
      <c r="CI78" s="67">
        <f t="shared" si="47"/>
        <v>33272.124972052974</v>
      </c>
      <c r="CJ78" s="67">
        <f t="shared" si="47"/>
        <v>33937.470027629934</v>
      </c>
      <c r="CK78" s="67">
        <f t="shared" si="47"/>
        <v>34616.122036805929</v>
      </c>
      <c r="CL78" s="67">
        <f t="shared" si="47"/>
        <v>35308.347139702688</v>
      </c>
      <c r="CM78" s="67">
        <f t="shared" si="47"/>
        <v>36014.416799265389</v>
      </c>
      <c r="CN78" s="67">
        <f t="shared" si="47"/>
        <v>36734.60790771951</v>
      </c>
      <c r="CO78" s="67">
        <f t="shared" si="47"/>
        <v>37469.202895156857</v>
      </c>
      <c r="CP78" s="67">
        <f t="shared" si="47"/>
        <v>38218.48984029339</v>
      </c>
      <c r="CQ78" s="67">
        <f t="shared" si="47"/>
        <v>38982.762583442127</v>
      </c>
      <c r="CR78" s="67">
        <f t="shared" si="47"/>
        <v>39762.320841745466</v>
      </c>
      <c r="CS78" s="67">
        <f t="shared" si="47"/>
        <v>40557.470326712355</v>
      </c>
      <c r="CT78" s="67">
        <f t="shared" si="47"/>
        <v>41368.522864105995</v>
      </c>
      <c r="CU78" s="67">
        <f t="shared" si="47"/>
        <v>42195.796516229486</v>
      </c>
      <c r="CV78" s="67">
        <f t="shared" si="47"/>
        <v>43039.615706657052</v>
      </c>
      <c r="CW78" s="67">
        <f t="shared" si="47"/>
        <v>43900.31134746001</v>
      </c>
      <c r="CX78" s="67">
        <f t="shared" si="47"/>
        <v>44778.220968977235</v>
      </c>
      <c r="CY78" s="67">
        <f t="shared" si="47"/>
        <v>45673.688852180916</v>
      </c>
      <c r="CZ78" s="4"/>
      <c r="DA78" s="4"/>
      <c r="DB78" s="4"/>
      <c r="DC78" s="4"/>
      <c r="DD78" s="4"/>
      <c r="DE78" s="4"/>
      <c r="DF78" s="4"/>
      <c r="DG78" s="4"/>
      <c r="DH78" s="4"/>
      <c r="DI78" s="4"/>
      <c r="DJ78" s="4"/>
      <c r="DK78" s="4"/>
      <c r="DL78" s="4"/>
      <c r="DM78" s="4"/>
      <c r="DN78" s="4"/>
      <c r="DO78" s="4"/>
      <c r="DP78" s="4"/>
      <c r="DQ78" s="4"/>
      <c r="DR78" s="4"/>
      <c r="DS78" s="4"/>
    </row>
    <row r="79" spans="1:123" ht="15.75" customHeight="1" x14ac:dyDescent="0.2">
      <c r="A79" s="4"/>
      <c r="B79" s="4"/>
      <c r="C79" s="4"/>
      <c r="D79" s="4"/>
      <c r="E79" s="4"/>
      <c r="F79" s="4"/>
      <c r="G79" s="4"/>
      <c r="H79" s="4"/>
      <c r="I79" s="80" t="str">
        <f t="shared" si="43"/>
        <v>Water</v>
      </c>
      <c r="J79" s="67">
        <f t="shared" ref="J79:CY79" si="48">J73/$J$53/$J$55</f>
        <v>2372.9329383697</v>
      </c>
      <c r="K79" s="67">
        <f t="shared" si="48"/>
        <v>2432.4657884326321</v>
      </c>
      <c r="L79" s="67">
        <f t="shared" si="48"/>
        <v>2493.492611119962</v>
      </c>
      <c r="M79" s="67">
        <f t="shared" si="48"/>
        <v>2556.0509341662896</v>
      </c>
      <c r="N79" s="67">
        <f t="shared" si="48"/>
        <v>2620.1792326686436</v>
      </c>
      <c r="O79" s="67">
        <f t="shared" si="48"/>
        <v>2685.9169536403429</v>
      </c>
      <c r="P79" s="67">
        <f t="shared" si="48"/>
        <v>2753.3045412885558</v>
      </c>
      <c r="Q79" s="67">
        <f t="shared" si="48"/>
        <v>2822.383463048579</v>
      </c>
      <c r="R79" s="67">
        <f t="shared" si="48"/>
        <v>2893.1962364106653</v>
      </c>
      <c r="S79" s="67">
        <f t="shared" si="48"/>
        <v>2965.7864565785071</v>
      </c>
      <c r="T79" s="67">
        <f t="shared" si="48"/>
        <v>3040.1988250020627</v>
      </c>
      <c r="U79" s="67">
        <f t="shared" si="48"/>
        <v>3116.4791788315219</v>
      </c>
      <c r="V79" s="67">
        <f t="shared" si="48"/>
        <v>3194.6745213438153</v>
      </c>
      <c r="W79" s="67">
        <f t="shared" si="48"/>
        <v>3274.8330533982244</v>
      </c>
      <c r="X79" s="67">
        <f t="shared" si="48"/>
        <v>3357.0042059835314</v>
      </c>
      <c r="Y79" s="67">
        <f t="shared" si="48"/>
        <v>3441.2386739257695</v>
      </c>
      <c r="Z79" s="67">
        <f t="shared" si="48"/>
        <v>3527.5884508330696</v>
      </c>
      <c r="AA79" s="67">
        <f t="shared" si="48"/>
        <v>3616.106865362603</v>
      </c>
      <c r="AB79" s="67">
        <f t="shared" si="48"/>
        <v>3706.8127693515935</v>
      </c>
      <c r="AC79" s="67">
        <f t="shared" si="48"/>
        <v>3780.9134674688703</v>
      </c>
      <c r="AD79" s="67">
        <f t="shared" si="48"/>
        <v>3856.49618539415</v>
      </c>
      <c r="AE79" s="67">
        <f t="shared" si="48"/>
        <v>3933.5905636405046</v>
      </c>
      <c r="AF79" s="67">
        <f t="shared" si="48"/>
        <v>4012.2268355336028</v>
      </c>
      <c r="AG79" s="67">
        <f t="shared" si="48"/>
        <v>4092.4358390680241</v>
      </c>
      <c r="AH79" s="67">
        <f t="shared" si="48"/>
        <v>4174.2490290006572</v>
      </c>
      <c r="AI79" s="67">
        <f t="shared" si="48"/>
        <v>4257.698489186022</v>
      </c>
      <c r="AJ79" s="67">
        <f t="shared" si="48"/>
        <v>4342.8169451582517</v>
      </c>
      <c r="AK79" s="67">
        <f t="shared" si="48"/>
        <v>4429.6377769647461</v>
      </c>
      <c r="AL79" s="67">
        <f t="shared" si="48"/>
        <v>4518.195032256488</v>
      </c>
      <c r="AM79" s="67">
        <f t="shared" si="48"/>
        <v>4608.5234396401647</v>
      </c>
      <c r="AN79" s="67">
        <f t="shared" si="48"/>
        <v>4700.6584222973388</v>
      </c>
      <c r="AO79" s="67">
        <f t="shared" si="48"/>
        <v>4794.6361118759951</v>
      </c>
      <c r="AP79" s="67">
        <f t="shared" si="48"/>
        <v>4890.493362659925</v>
      </c>
      <c r="AQ79" s="67">
        <f t="shared" si="48"/>
        <v>4988.2677660215186</v>
      </c>
      <c r="AR79" s="67">
        <f t="shared" si="48"/>
        <v>5087.9976651635598</v>
      </c>
      <c r="AS79" s="67">
        <f t="shared" si="48"/>
        <v>5189.7221701559247</v>
      </c>
      <c r="AT79" s="67">
        <f t="shared" si="48"/>
        <v>5293.4811732729704</v>
      </c>
      <c r="AU79" s="67">
        <f t="shared" si="48"/>
        <v>5399.3153646376868</v>
      </c>
      <c r="AV79" s="67">
        <f t="shared" si="48"/>
        <v>5507.2662481787347</v>
      </c>
      <c r="AW79" s="67">
        <f t="shared" si="48"/>
        <v>5617.3761579066204</v>
      </c>
      <c r="AX79" s="67">
        <f t="shared" si="48"/>
        <v>5729.6882745154007</v>
      </c>
      <c r="AY79" s="67">
        <f t="shared" si="48"/>
        <v>5844.2466423164205</v>
      </c>
      <c r="AZ79" s="67">
        <f t="shared" si="48"/>
        <v>5961.0961865107256</v>
      </c>
      <c r="BA79" s="67">
        <f t="shared" si="48"/>
        <v>6080.2827308069282</v>
      </c>
      <c r="BB79" s="67">
        <f t="shared" si="48"/>
        <v>6201.8530153914244</v>
      </c>
      <c r="BC79" s="67">
        <f t="shared" si="48"/>
        <v>6325.8547152580295</v>
      </c>
      <c r="BD79" s="67">
        <f t="shared" si="48"/>
        <v>6452.3364589041921</v>
      </c>
      <c r="BE79" s="67">
        <f t="shared" si="48"/>
        <v>6581.3478474011517</v>
      </c>
      <c r="BF79" s="67">
        <f t="shared" si="48"/>
        <v>6712.9394738454766</v>
      </c>
      <c r="BG79" s="67">
        <f t="shared" si="48"/>
        <v>6847.1629431996653</v>
      </c>
      <c r="BH79" s="67">
        <f t="shared" si="48"/>
        <v>6984.0708925295376</v>
      </c>
      <c r="BI79" s="67">
        <f t="shared" si="48"/>
        <v>7123.717011646374</v>
      </c>
      <c r="BJ79" s="67">
        <f t="shared" si="48"/>
        <v>7266.1560641619208</v>
      </c>
      <c r="BK79" s="67">
        <f t="shared" si="48"/>
        <v>7411.4439089644866</v>
      </c>
      <c r="BL79" s="67">
        <f t="shared" si="48"/>
        <v>7559.6375221245389</v>
      </c>
      <c r="BM79" s="67">
        <f t="shared" si="48"/>
        <v>7710.7950192384569</v>
      </c>
      <c r="BN79" s="67">
        <f t="shared" si="48"/>
        <v>7864.9756782191325</v>
      </c>
      <c r="BO79" s="67">
        <f t="shared" si="48"/>
        <v>8022.2399625423932</v>
      </c>
      <c r="BP79" s="67">
        <f t="shared" si="48"/>
        <v>8182.6495449583499</v>
      </c>
      <c r="BQ79" s="67">
        <f t="shared" si="48"/>
        <v>8346.2673316769742</v>
      </c>
      <c r="BR79" s="67">
        <f t="shared" si="48"/>
        <v>8513.157487037417</v>
      </c>
      <c r="BS79" s="67">
        <f t="shared" si="48"/>
        <v>8683.3854586706493</v>
      </c>
      <c r="BT79" s="67">
        <f t="shared" si="48"/>
        <v>8857.0180031654545</v>
      </c>
      <c r="BU79" s="67">
        <f t="shared" si="48"/>
        <v>9034.123212247634</v>
      </c>
      <c r="BV79" s="67">
        <f t="shared" si="48"/>
        <v>9214.7705394828827</v>
      </c>
      <c r="BW79" s="67">
        <f t="shared" si="48"/>
        <v>9399.0308275136922</v>
      </c>
      <c r="BX79" s="67">
        <f t="shared" si="48"/>
        <v>9586.9763358409928</v>
      </c>
      <c r="BY79" s="67">
        <f t="shared" si="48"/>
        <v>9778.6807691614322</v>
      </c>
      <c r="BZ79" s="67">
        <f t="shared" si="48"/>
        <v>9974.2193062714032</v>
      </c>
      <c r="CA79" s="67">
        <f t="shared" si="48"/>
        <v>10173.668629549164</v>
      </c>
      <c r="CB79" s="67">
        <f t="shared" si="48"/>
        <v>10377.106955026571</v>
      </c>
      <c r="CC79" s="67">
        <f t="shared" si="48"/>
        <v>10584.61406306231</v>
      </c>
      <c r="CD79" s="67">
        <f t="shared" si="48"/>
        <v>10796.271329628515</v>
      </c>
      <c r="CE79" s="67">
        <f t="shared" si="48"/>
        <v>11012.161758223199</v>
      </c>
      <c r="CF79" s="67">
        <f t="shared" si="48"/>
        <v>11232.37001242087</v>
      </c>
      <c r="CG79" s="67">
        <f t="shared" si="48"/>
        <v>11456.982449074203</v>
      </c>
      <c r="CH79" s="67">
        <f t="shared" si="48"/>
        <v>11686.087152179758</v>
      </c>
      <c r="CI79" s="67">
        <f t="shared" si="48"/>
        <v>11919.773967420953</v>
      </c>
      <c r="CJ79" s="67">
        <f t="shared" si="48"/>
        <v>12158.134537401978</v>
      </c>
      <c r="CK79" s="67">
        <f t="shared" si="48"/>
        <v>12401.26233758633</v>
      </c>
      <c r="CL79" s="67">
        <f t="shared" si="48"/>
        <v>12649.252712954138</v>
      </c>
      <c r="CM79" s="67">
        <f t="shared" si="48"/>
        <v>12902.202915392678</v>
      </c>
      <c r="CN79" s="67">
        <f t="shared" si="48"/>
        <v>13160.212141834636</v>
      </c>
      <c r="CO79" s="67">
        <f t="shared" si="48"/>
        <v>13423.381573159155</v>
      </c>
      <c r="CP79" s="67">
        <f t="shared" si="48"/>
        <v>13691.814413870976</v>
      </c>
      <c r="CQ79" s="67">
        <f t="shared" si="48"/>
        <v>13965.615932573062</v>
      </c>
      <c r="CR79" s="67">
        <f t="shared" si="48"/>
        <v>14244.89350324873</v>
      </c>
      <c r="CS79" s="67">
        <f t="shared" si="48"/>
        <v>14529.756647369448</v>
      </c>
      <c r="CT79" s="67">
        <f t="shared" si="48"/>
        <v>14820.317076844743</v>
      </c>
      <c r="CU79" s="67">
        <f t="shared" si="48"/>
        <v>15116.688737831155</v>
      </c>
      <c r="CV79" s="67">
        <f t="shared" si="48"/>
        <v>15418.987855417336</v>
      </c>
      <c r="CW79" s="67">
        <f t="shared" si="48"/>
        <v>15727.332979202884</v>
      </c>
      <c r="CX79" s="67">
        <f t="shared" si="48"/>
        <v>16041.845029788743</v>
      </c>
      <c r="CY79" s="67">
        <f t="shared" si="48"/>
        <v>16362.647346197398</v>
      </c>
      <c r="CZ79" s="4"/>
      <c r="DA79" s="4"/>
      <c r="DB79" s="4"/>
      <c r="DC79" s="4"/>
      <c r="DD79" s="4"/>
      <c r="DE79" s="4"/>
      <c r="DF79" s="4"/>
      <c r="DG79" s="4"/>
      <c r="DH79" s="4"/>
      <c r="DI79" s="4"/>
      <c r="DJ79" s="4"/>
      <c r="DK79" s="4"/>
      <c r="DL79" s="4"/>
      <c r="DM79" s="4"/>
      <c r="DN79" s="4"/>
      <c r="DO79" s="4"/>
      <c r="DP79" s="4"/>
      <c r="DQ79" s="4"/>
      <c r="DR79" s="4"/>
      <c r="DS79" s="4"/>
    </row>
    <row r="80" spans="1:123" ht="15.75" customHeight="1"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row>
    <row r="81" spans="1:123" ht="15.75" customHeight="1" x14ac:dyDescent="0.2">
      <c r="A81" s="4"/>
      <c r="B81" s="4"/>
      <c r="C81" s="4"/>
      <c r="D81" s="4"/>
      <c r="E81" s="4"/>
      <c r="F81" s="4"/>
      <c r="G81" s="4"/>
      <c r="H81" s="4"/>
      <c r="I81" s="4" t="s">
        <v>173</v>
      </c>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row>
    <row r="82" spans="1:123" ht="15.75" customHeight="1"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row>
    <row r="83" spans="1:123" ht="15.75" customHeight="1"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row>
    <row r="84" spans="1:123" ht="15.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row>
    <row r="85" spans="1:123" ht="15.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row>
    <row r="86" spans="1:123" ht="15.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row>
    <row r="87" spans="1:123" ht="15.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row>
    <row r="88" spans="1:123" ht="15.75" customHeight="1"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row>
    <row r="89" spans="1:123" ht="15.75" customHeight="1"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row>
    <row r="90" spans="1:123" ht="15.75" customHeight="1"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row>
    <row r="91" spans="1:123" ht="15.75" customHeight="1"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row>
    <row r="92" spans="1:123" ht="15.75" customHeight="1"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row>
    <row r="93" spans="1:123" ht="15.75" customHeight="1"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row>
    <row r="94" spans="1:123" ht="15.75" customHeight="1"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row>
    <row r="95" spans="1:123" ht="15.75" customHeight="1"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row>
    <row r="96" spans="1:123" ht="15.75" customHeight="1"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row>
    <row r="97" spans="1:123" ht="15.75" customHeight="1"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row>
    <row r="98" spans="1:123" ht="15.75" customHeight="1"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row>
    <row r="99" spans="1:123" ht="15.75" customHeight="1"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row>
    <row r="100" spans="1:123" ht="15.75" customHeight="1"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row>
    <row r="101" spans="1:123" ht="15.75" customHeight="1"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row>
    <row r="102" spans="1:123" ht="15.75" customHeight="1"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row>
    <row r="103" spans="1:123" ht="15.75" customHeight="1"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row>
    <row r="104" spans="1:123" ht="15.75" customHeight="1"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row>
    <row r="105" spans="1:123" ht="15.75" customHeight="1"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row>
    <row r="106" spans="1:123" ht="15.75" customHeight="1"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row>
    <row r="107" spans="1:123" ht="15.75" customHeight="1"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row>
    <row r="108" spans="1:123" ht="15.75" customHeight="1"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row>
    <row r="109" spans="1:123" ht="15.75" customHeight="1"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row>
    <row r="110" spans="1:123" ht="15.75" customHeight="1"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row>
    <row r="111" spans="1:123" ht="15.75" customHeight="1"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row>
    <row r="112" spans="1:123" ht="15.75" customHeight="1"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row>
    <row r="113" spans="1:123" ht="15.75" customHeight="1"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row>
    <row r="114" spans="1:123" ht="15.75" customHeight="1"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row>
    <row r="115" spans="1:123" ht="15.75" customHeight="1"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row>
    <row r="116" spans="1:123" ht="15.75" customHeight="1"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row>
    <row r="117" spans="1:123" ht="15.75" customHeight="1"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row>
    <row r="118" spans="1:123" ht="15.75" customHeight="1"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row>
    <row r="119" spans="1:123" ht="15.75" customHeight="1"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row>
    <row r="120" spans="1:123" ht="15.75"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row>
    <row r="121" spans="1:123" ht="15.75" customHeight="1"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row>
    <row r="122" spans="1:123" ht="15.75" customHeight="1"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row>
    <row r="123" spans="1:123" ht="15.75" customHeight="1"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row>
    <row r="124" spans="1:123" ht="15.75" customHeight="1"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row>
    <row r="125" spans="1:123" ht="15.75" customHeight="1"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row>
    <row r="126" spans="1:123" ht="15.75" customHeight="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row>
    <row r="127" spans="1:123" ht="15.75" customHeight="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row>
    <row r="128" spans="1:123" ht="15.75" customHeight="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row>
    <row r="129" spans="1:123" ht="15.75" customHeight="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row>
    <row r="130" spans="1:123" ht="15.75" customHeight="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row>
    <row r="131" spans="1:123" ht="15.75" customHeight="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row>
    <row r="132" spans="1:123" ht="15.75" customHeight="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row>
    <row r="133" spans="1:123" ht="15.75" customHeight="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row>
    <row r="134" spans="1:123" ht="15.75" customHeight="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row>
    <row r="135" spans="1:123" ht="15.75" customHeight="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row>
    <row r="136" spans="1:123" ht="15.75" customHeight="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row>
    <row r="137" spans="1:123" ht="15.75" customHeight="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row>
    <row r="138" spans="1:123" ht="15.75" customHeight="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row>
    <row r="139" spans="1:123" ht="15.75" customHeight="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row>
    <row r="140" spans="1:123" ht="15.75" customHeight="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row>
    <row r="141" spans="1:123" ht="15.75" customHeight="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row>
    <row r="142" spans="1:123" ht="15.75" customHeight="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row>
    <row r="143" spans="1:123" ht="15.75" customHeight="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row>
    <row r="144" spans="1:123" ht="15.75" customHeight="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row>
    <row r="145" spans="1:123" ht="15.75" customHeight="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row>
    <row r="146" spans="1:123" ht="15.75" customHeight="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row>
    <row r="147" spans="1:123" ht="15.75" customHeight="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row>
    <row r="148" spans="1:123" ht="15.75" customHeight="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row>
    <row r="149" spans="1:123" ht="15.75" customHeight="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row>
    <row r="150" spans="1:123" ht="15.75" customHeight="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row>
    <row r="151" spans="1:123" ht="15.75" customHeight="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row>
    <row r="152" spans="1:123" ht="15.75" customHeight="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row>
    <row r="153" spans="1:123" ht="15.75" customHeight="1"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row>
    <row r="154" spans="1:123" ht="15.75" customHeight="1" x14ac:dyDescent="0.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row>
    <row r="155" spans="1:123" ht="15.75" customHeight="1" x14ac:dyDescent="0.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row>
    <row r="156" spans="1:123" ht="15.75" customHeight="1" x14ac:dyDescent="0.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row>
    <row r="157" spans="1:123" ht="15.75" customHeight="1"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row>
    <row r="158" spans="1:123" ht="15.75" customHeight="1" x14ac:dyDescent="0.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row>
    <row r="159" spans="1:123" ht="15.75" customHeight="1" x14ac:dyDescent="0.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row>
    <row r="160" spans="1:123" ht="15.75" customHeight="1" x14ac:dyDescent="0.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row>
    <row r="161" spans="1:123" ht="15.75" customHeight="1"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row>
    <row r="162" spans="1:123" ht="15.75" customHeight="1" x14ac:dyDescent="0.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row>
    <row r="163" spans="1:123" ht="15.75" customHeight="1" x14ac:dyDescent="0.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row>
    <row r="164" spans="1:123" ht="15.75" customHeight="1" x14ac:dyDescent="0.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row>
    <row r="165" spans="1:123" ht="15.75" customHeight="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row>
    <row r="166" spans="1:123" ht="15.75" customHeight="1" x14ac:dyDescent="0.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row>
    <row r="167" spans="1:123" ht="15.75" customHeight="1" x14ac:dyDescent="0.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row>
    <row r="168" spans="1:123" ht="15.75" customHeight="1" x14ac:dyDescent="0.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row>
    <row r="169" spans="1:123" ht="15.75" customHeight="1" x14ac:dyDescent="0.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row>
    <row r="170" spans="1:123" ht="15.75" customHeight="1" x14ac:dyDescent="0.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row>
    <row r="171" spans="1:123" ht="15.75" customHeight="1" x14ac:dyDescent="0.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row>
    <row r="172" spans="1:123" ht="15.75" customHeight="1" x14ac:dyDescent="0.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row>
    <row r="173" spans="1:123" ht="15.75" customHeight="1" x14ac:dyDescent="0.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row>
    <row r="174" spans="1:123" ht="15.75" customHeight="1" x14ac:dyDescent="0.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row>
    <row r="175" spans="1:123" ht="15.75" customHeight="1"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row>
    <row r="176" spans="1:123" ht="15.75" customHeight="1" x14ac:dyDescent="0.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row>
    <row r="177" spans="1:123" ht="15.75"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row>
    <row r="178" spans="1:123" ht="15.75" customHeight="1" x14ac:dyDescent="0.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row>
    <row r="179" spans="1:123" ht="15.75" customHeight="1"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row>
    <row r="180" spans="1:123" ht="15.75" customHeight="1" x14ac:dyDescent="0.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row>
    <row r="181" spans="1:123" ht="15.75" customHeight="1"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row>
    <row r="182" spans="1:123" ht="15.75" customHeight="1"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row>
    <row r="183" spans="1:123" ht="15.75" customHeight="1"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row>
    <row r="184" spans="1:123" ht="15.75" customHeight="1"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row>
    <row r="185" spans="1:123" ht="15.75" customHeight="1"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row>
    <row r="186" spans="1:123" ht="15.75" customHeight="1" x14ac:dyDescent="0.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row>
    <row r="187" spans="1:123" ht="15.7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row>
    <row r="188" spans="1:123" ht="15.75" customHeight="1"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row>
    <row r="189" spans="1:123" ht="15.75" customHeight="1"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row>
    <row r="190" spans="1:123" ht="15.75" customHeight="1"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row>
    <row r="191" spans="1:123" ht="15.7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row>
    <row r="192" spans="1:123" ht="15.7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row>
    <row r="193" spans="1:123" ht="15.75" customHeight="1"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row>
    <row r="194" spans="1:123" ht="15.75" customHeight="1"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row>
    <row r="195" spans="1:123" ht="15.75" customHeight="1"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row>
    <row r="196" spans="1:123" ht="15.7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row>
    <row r="197" spans="1:123" ht="15.75" customHeight="1"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row>
    <row r="198" spans="1:123" ht="15.75" customHeight="1"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row>
    <row r="199" spans="1:123" ht="15.75" customHeight="1"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row>
    <row r="200" spans="1:123" ht="15.75" customHeight="1"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row>
    <row r="201" spans="1:123" ht="15.75" customHeight="1"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row>
    <row r="202" spans="1:123" ht="15.75" customHeight="1" x14ac:dyDescent="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row>
    <row r="203" spans="1:123" ht="15.75" customHeight="1"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row>
    <row r="204" spans="1:123" ht="15.75" customHeight="1"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row>
    <row r="205" spans="1:123" ht="15.7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row>
    <row r="206" spans="1:123" ht="15.75" customHeight="1"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row>
    <row r="207" spans="1:123" ht="15.7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row>
    <row r="208" spans="1:123" ht="15.75" customHeight="1"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row>
    <row r="209" spans="1:123" ht="15.7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row>
    <row r="210" spans="1:123" ht="15.7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row>
    <row r="211" spans="1:123" ht="15.7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row>
    <row r="212" spans="1:123" ht="15.7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row>
    <row r="213" spans="1:123" ht="15.7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row>
    <row r="214" spans="1:123" ht="15.7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row>
    <row r="215" spans="1:123" ht="15.7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row>
    <row r="216" spans="1:123" ht="15.7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row>
    <row r="217" spans="1:123" ht="15.7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row>
    <row r="218" spans="1:123" ht="15.7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row>
    <row r="219" spans="1:123" ht="15.7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row>
    <row r="220" spans="1:123" ht="15.7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row>
    <row r="221" spans="1:123" ht="15.7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row>
    <row r="222" spans="1:123" ht="15.7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row>
    <row r="223" spans="1:123" ht="15.7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row>
    <row r="224" spans="1:123" ht="15.7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row>
    <row r="225" spans="1:123" ht="15.7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row>
    <row r="226" spans="1:123" ht="15.7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row>
    <row r="227" spans="1:123" ht="15.7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row>
    <row r="228" spans="1:123" ht="15.7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row>
    <row r="229" spans="1:123" ht="15.7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row>
    <row r="230" spans="1:123" ht="15.7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row>
    <row r="231" spans="1:123" ht="15.7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row>
    <row r="232" spans="1:123" ht="15.7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row>
    <row r="233" spans="1:123" ht="15.7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row>
    <row r="234" spans="1:123" ht="15.7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row>
    <row r="235" spans="1:123" ht="15.7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row>
  </sheetData>
  <mergeCells count="2">
    <mergeCell ref="H2:H4"/>
    <mergeCell ref="O6:P6"/>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W1000"/>
  <sheetViews>
    <sheetView workbookViewId="0"/>
  </sheetViews>
  <sheetFormatPr defaultColWidth="12.7109375" defaultRowHeight="15" customHeight="1" x14ac:dyDescent="0.2"/>
  <cols>
    <col min="1" max="1" width="10.7109375" customWidth="1"/>
    <col min="2" max="7" width="12.140625" customWidth="1"/>
    <col min="8" max="65" width="12.85546875" customWidth="1"/>
    <col min="66" max="101" width="13.7109375" customWidth="1"/>
  </cols>
  <sheetData>
    <row r="1" spans="1:101" ht="12.75" customHeight="1" x14ac:dyDescent="0.2">
      <c r="A1" s="221" t="s">
        <v>12</v>
      </c>
      <c r="B1" s="221">
        <f>'Financial Modeling'!B5</f>
        <v>2023</v>
      </c>
      <c r="C1" s="221">
        <f>'Financial Modeling'!C5</f>
        <v>2024</v>
      </c>
      <c r="D1" s="221">
        <f>'Financial Modeling'!D5</f>
        <v>2025</v>
      </c>
      <c r="E1" s="221">
        <f>'Financial Modeling'!E5</f>
        <v>2026</v>
      </c>
      <c r="F1" s="221">
        <f>'Financial Modeling'!F5</f>
        <v>2027</v>
      </c>
      <c r="G1" s="221">
        <f>'Financial Modeling'!G5</f>
        <v>2028</v>
      </c>
      <c r="H1" s="221">
        <f>'Financial Modeling'!J5</f>
        <v>2029</v>
      </c>
      <c r="I1" s="221">
        <f>'Financial Modeling'!K5</f>
        <v>2030</v>
      </c>
      <c r="J1" s="221">
        <f>'Financial Modeling'!L5</f>
        <v>2031</v>
      </c>
      <c r="K1" s="221">
        <f>'Financial Modeling'!M5</f>
        <v>2032</v>
      </c>
      <c r="L1" s="221">
        <f>'Financial Modeling'!N5</f>
        <v>2033</v>
      </c>
      <c r="M1" s="221">
        <f>'Financial Modeling'!O5</f>
        <v>2034</v>
      </c>
      <c r="N1" s="221">
        <f>'Financial Modeling'!P5</f>
        <v>2035</v>
      </c>
      <c r="O1" s="221">
        <f>'Financial Modeling'!Q5</f>
        <v>2036</v>
      </c>
      <c r="P1" s="221">
        <f>'Financial Modeling'!R5</f>
        <v>2037</v>
      </c>
      <c r="Q1" s="221">
        <f>'Financial Modeling'!S5</f>
        <v>2038</v>
      </c>
      <c r="R1" s="221">
        <f>'Financial Modeling'!T5</f>
        <v>2039</v>
      </c>
      <c r="S1" s="221">
        <f>'Financial Modeling'!U5</f>
        <v>2040</v>
      </c>
      <c r="T1" s="221">
        <f>'Financial Modeling'!V5</f>
        <v>2041</v>
      </c>
      <c r="U1" s="221">
        <f>'Financial Modeling'!W5</f>
        <v>2042</v>
      </c>
      <c r="V1" s="221">
        <f>'Financial Modeling'!X5</f>
        <v>2043</v>
      </c>
      <c r="W1" s="221">
        <f>'Financial Modeling'!Y5</f>
        <v>2044</v>
      </c>
      <c r="X1" s="221">
        <f>'Financial Modeling'!Z5</f>
        <v>2045</v>
      </c>
      <c r="Y1" s="221">
        <f>'Financial Modeling'!AA5</f>
        <v>2046</v>
      </c>
      <c r="Z1" s="221">
        <f>'Financial Modeling'!AB5</f>
        <v>2047</v>
      </c>
      <c r="AA1" s="221">
        <f>'Financial Modeling'!AC5</f>
        <v>2048</v>
      </c>
      <c r="AB1" s="221">
        <f>'Financial Modeling'!AD5</f>
        <v>2049</v>
      </c>
      <c r="AC1" s="221">
        <f>'Financial Modeling'!AE5</f>
        <v>2050</v>
      </c>
      <c r="AD1" s="221">
        <f>'Financial Modeling'!AF5</f>
        <v>2051</v>
      </c>
      <c r="AE1" s="221">
        <f>'Financial Modeling'!AG5</f>
        <v>2052</v>
      </c>
      <c r="AF1" s="221">
        <f>'Financial Modeling'!AH5</f>
        <v>2053</v>
      </c>
      <c r="AG1" s="221">
        <f>'Financial Modeling'!AI5</f>
        <v>2054</v>
      </c>
      <c r="AH1" s="221">
        <f>'Financial Modeling'!AJ5</f>
        <v>2055</v>
      </c>
      <c r="AI1" s="221">
        <f>'Financial Modeling'!AK5</f>
        <v>2056</v>
      </c>
      <c r="AJ1" s="221">
        <f>'Financial Modeling'!AL5</f>
        <v>2057</v>
      </c>
      <c r="AK1" s="221">
        <f>'Financial Modeling'!AM5</f>
        <v>2058</v>
      </c>
      <c r="AL1" s="221">
        <f>'Financial Modeling'!AN5</f>
        <v>2059</v>
      </c>
      <c r="AM1" s="221">
        <f>'Financial Modeling'!AO5</f>
        <v>2060</v>
      </c>
      <c r="AN1" s="221">
        <f>'Financial Modeling'!AP5</f>
        <v>2061</v>
      </c>
      <c r="AO1" s="221">
        <f>'Financial Modeling'!AQ5</f>
        <v>2062</v>
      </c>
      <c r="AP1" s="221">
        <f>'Financial Modeling'!AR5</f>
        <v>2063</v>
      </c>
      <c r="AQ1" s="221">
        <f>'Financial Modeling'!AS5</f>
        <v>2064</v>
      </c>
      <c r="AR1" s="221">
        <f>'Financial Modeling'!AT5</f>
        <v>2065</v>
      </c>
      <c r="AS1" s="221">
        <f>'Financial Modeling'!AU5</f>
        <v>2066</v>
      </c>
      <c r="AT1" s="221">
        <f>'Financial Modeling'!AV5</f>
        <v>2067</v>
      </c>
      <c r="AU1" s="221">
        <f>'Financial Modeling'!AW5</f>
        <v>2068</v>
      </c>
      <c r="AV1" s="221">
        <f>'Financial Modeling'!AX5</f>
        <v>2069</v>
      </c>
      <c r="AW1" s="221">
        <f>'Financial Modeling'!AY5</f>
        <v>2070</v>
      </c>
      <c r="AX1" s="221">
        <f>'Financial Modeling'!AZ5</f>
        <v>2071</v>
      </c>
      <c r="AY1" s="221">
        <f>'Financial Modeling'!BA5</f>
        <v>2072</v>
      </c>
      <c r="AZ1" s="221">
        <f>'Financial Modeling'!BB5</f>
        <v>2073</v>
      </c>
      <c r="BA1" s="221">
        <f>'Financial Modeling'!BC5</f>
        <v>2074</v>
      </c>
      <c r="BB1" s="221">
        <f>'Financial Modeling'!BD5</f>
        <v>2075</v>
      </c>
      <c r="BC1" s="221">
        <f>'Financial Modeling'!BE5</f>
        <v>2076</v>
      </c>
      <c r="BD1" s="221">
        <f>'Financial Modeling'!BF5</f>
        <v>2077</v>
      </c>
      <c r="BE1" s="221">
        <f>'Financial Modeling'!BG5</f>
        <v>2078</v>
      </c>
      <c r="BF1" s="221">
        <f>'Financial Modeling'!BH5</f>
        <v>2079</v>
      </c>
      <c r="BG1" s="221">
        <f>'Financial Modeling'!BI5</f>
        <v>2080</v>
      </c>
      <c r="BH1" s="221">
        <f>'Financial Modeling'!BJ5</f>
        <v>2081</v>
      </c>
      <c r="BI1" s="221">
        <f>'Financial Modeling'!BK5</f>
        <v>2082</v>
      </c>
      <c r="BJ1" s="221">
        <f>'Financial Modeling'!BL5</f>
        <v>2083</v>
      </c>
      <c r="BK1" s="221">
        <f>'Financial Modeling'!BM5</f>
        <v>2084</v>
      </c>
      <c r="BL1" s="221">
        <f>'Financial Modeling'!BN5</f>
        <v>2085</v>
      </c>
      <c r="BM1" s="221">
        <f>'Financial Modeling'!BO5</f>
        <v>2086</v>
      </c>
      <c r="BN1" s="221">
        <f>'Financial Modeling'!BP5</f>
        <v>2087</v>
      </c>
      <c r="BO1" s="221">
        <f>'Financial Modeling'!BQ5</f>
        <v>2088</v>
      </c>
      <c r="BP1" s="221">
        <f>'Financial Modeling'!BR5</f>
        <v>2089</v>
      </c>
      <c r="BQ1" s="221">
        <f>'Financial Modeling'!BS5</f>
        <v>2090</v>
      </c>
      <c r="BR1" s="221">
        <f>'Financial Modeling'!BT5</f>
        <v>2091</v>
      </c>
      <c r="BS1" s="221">
        <f>'Financial Modeling'!BU5</f>
        <v>2092</v>
      </c>
      <c r="BT1" s="221">
        <f>'Financial Modeling'!BV5</f>
        <v>2093</v>
      </c>
      <c r="BU1" s="221">
        <f>'Financial Modeling'!BW5</f>
        <v>2094</v>
      </c>
      <c r="BV1" s="221">
        <f>'Financial Modeling'!BX5</f>
        <v>2095</v>
      </c>
      <c r="BW1" s="221">
        <f>'Financial Modeling'!BY5</f>
        <v>2096</v>
      </c>
      <c r="BX1" s="221">
        <f>'Financial Modeling'!BZ5</f>
        <v>2097</v>
      </c>
      <c r="BY1" s="221">
        <f>'Financial Modeling'!CA5</f>
        <v>2098</v>
      </c>
      <c r="BZ1" s="221">
        <f>'Financial Modeling'!CB5</f>
        <v>2099</v>
      </c>
      <c r="CA1" s="221">
        <f>'Financial Modeling'!CC5</f>
        <v>2100</v>
      </c>
      <c r="CB1" s="221">
        <f>'Financial Modeling'!CD5</f>
        <v>2101</v>
      </c>
      <c r="CC1" s="221">
        <f>'Financial Modeling'!CE5</f>
        <v>2102</v>
      </c>
      <c r="CD1" s="221">
        <f>'Financial Modeling'!CF5</f>
        <v>2103</v>
      </c>
      <c r="CE1" s="221">
        <f>'Financial Modeling'!CG5</f>
        <v>2104</v>
      </c>
      <c r="CF1" s="221">
        <f>'Financial Modeling'!CH5</f>
        <v>2105</v>
      </c>
      <c r="CG1" s="221">
        <f>'Financial Modeling'!CI5</f>
        <v>2106</v>
      </c>
      <c r="CH1" s="221">
        <f>'Financial Modeling'!CJ5</f>
        <v>2107</v>
      </c>
      <c r="CI1" s="221">
        <f>'Financial Modeling'!CK5</f>
        <v>2108</v>
      </c>
      <c r="CJ1" s="221">
        <f>'Financial Modeling'!CL5</f>
        <v>2109</v>
      </c>
      <c r="CK1" s="221">
        <f>'Financial Modeling'!CM5</f>
        <v>2110</v>
      </c>
      <c r="CL1" s="221">
        <f>'Financial Modeling'!CN5</f>
        <v>2111</v>
      </c>
      <c r="CM1" s="221">
        <f>'Financial Modeling'!CO5</f>
        <v>2112</v>
      </c>
      <c r="CN1" s="221">
        <f>'Financial Modeling'!CP5</f>
        <v>2113</v>
      </c>
      <c r="CO1" s="221">
        <f>'Financial Modeling'!CQ5</f>
        <v>2114</v>
      </c>
      <c r="CP1" s="221">
        <f>'Financial Modeling'!CR5</f>
        <v>2115</v>
      </c>
      <c r="CQ1" s="221">
        <f>'Financial Modeling'!CS5</f>
        <v>2116</v>
      </c>
      <c r="CR1" s="221">
        <f>'Financial Modeling'!CT5</f>
        <v>2117</v>
      </c>
      <c r="CS1" s="221">
        <f>'Financial Modeling'!CU5</f>
        <v>2118</v>
      </c>
      <c r="CT1" s="221">
        <f>'Financial Modeling'!CV5</f>
        <v>2119</v>
      </c>
      <c r="CU1" s="221">
        <f>'Financial Modeling'!CW5</f>
        <v>2120</v>
      </c>
      <c r="CV1" s="221">
        <f>'Financial Modeling'!CX5</f>
        <v>2121</v>
      </c>
      <c r="CW1" s="221">
        <f>'Financial Modeling'!CY5</f>
        <v>2122</v>
      </c>
    </row>
    <row r="2" spans="1:101" ht="12.75" customHeight="1" x14ac:dyDescent="0.2">
      <c r="A2" s="221" t="s">
        <v>100</v>
      </c>
      <c r="B2" s="236">
        <v>0</v>
      </c>
      <c r="C2" s="236">
        <v>0</v>
      </c>
      <c r="D2" s="236">
        <v>0</v>
      </c>
      <c r="E2" s="236">
        <v>0</v>
      </c>
      <c r="F2" s="236">
        <v>0</v>
      </c>
      <c r="G2" s="236">
        <v>0</v>
      </c>
      <c r="H2" s="236">
        <f>'Financial Modeling'!J25</f>
        <v>8542537.3457316849</v>
      </c>
      <c r="I2" s="236">
        <f>'Financial Modeling'!K25</f>
        <v>8756855.0732734688</v>
      </c>
      <c r="J2" s="236">
        <f>'Financial Modeling'!L25</f>
        <v>8976551.088895401</v>
      </c>
      <c r="K2" s="236">
        <f>'Financial Modeling'!M25</f>
        <v>9201760.4921062477</v>
      </c>
      <c r="L2" s="236">
        <f>'Financial Modeling'!N25</f>
        <v>9432621.7929110471</v>
      </c>
      <c r="M2" s="236">
        <f>'Financial Modeling'!O25</f>
        <v>9669277.0002047904</v>
      </c>
      <c r="N2" s="236">
        <f>'Financial Modeling'!P25</f>
        <v>9911871.7127713952</v>
      </c>
      <c r="O2" s="236">
        <f>'Financial Modeling'!Q25</f>
        <v>10160555.213006889</v>
      </c>
      <c r="P2" s="236">
        <f>'Financial Modeling'!R25</f>
        <v>10415480.56349575</v>
      </c>
      <c r="Q2" s="236">
        <f>'Financial Modeling'!S25</f>
        <v>10676804.70658119</v>
      </c>
      <c r="R2" s="236">
        <f>'Financial Modeling'!T25</f>
        <v>10944688.567083079</v>
      </c>
      <c r="S2" s="236">
        <f>'Financial Modeling'!U25</f>
        <v>11219297.158331964</v>
      </c>
      <c r="T2" s="236">
        <f>'Financial Modeling'!V25</f>
        <v>11500799.691704223</v>
      </c>
      <c r="U2" s="236">
        <f>'Financial Modeling'!W25</f>
        <v>11789369.689861977</v>
      </c>
      <c r="V2" s="236">
        <f>'Financial Modeling'!X25</f>
        <v>12085185.103922548</v>
      </c>
      <c r="W2" s="236">
        <f>'Financial Modeling'!Y25</f>
        <v>12388428.434806053</v>
      </c>
      <c r="X2" s="236">
        <f>'Financial Modeling'!Z25</f>
        <v>12699286.859036535</v>
      </c>
      <c r="Y2" s="236">
        <f>'Financial Modeling'!AA25</f>
        <v>13017952.35930264</v>
      </c>
      <c r="Z2" s="236">
        <f>'Financial Modeling'!AB25</f>
        <v>13344492.802049689</v>
      </c>
      <c r="AA2" s="236">
        <f>'Financial Modeling'!AC25</f>
        <v>13611254.652237723</v>
      </c>
      <c r="AB2" s="236">
        <f>'Financial Modeling'!AD25</f>
        <v>13883351.760473831</v>
      </c>
      <c r="AC2" s="236">
        <f>'Financial Modeling'!AE25</f>
        <v>14160890.832339857</v>
      </c>
      <c r="AD2" s="236">
        <f>'Financial Modeling'!AF25</f>
        <v>14443980.707537688</v>
      </c>
      <c r="AE2" s="236">
        <f>'Financial Modeling'!AG25</f>
        <v>14732732.402571879</v>
      </c>
      <c r="AF2" s="236">
        <f>'Financial Modeling'!AH25</f>
        <v>15027259.154285789</v>
      </c>
      <c r="AG2" s="236">
        <f>'Financial Modeling'!AI25</f>
        <v>15327676.464268595</v>
      </c>
      <c r="AH2" s="236">
        <f>'Financial Modeling'!AJ25</f>
        <v>15634102.144150369</v>
      </c>
      <c r="AI2" s="236">
        <f>'Financial Modeling'!AK25</f>
        <v>15946656.36180307</v>
      </c>
      <c r="AJ2" s="236">
        <f>'Financial Modeling'!AL25</f>
        <v>16265461.68846559</v>
      </c>
      <c r="AK2" s="236">
        <f>'Financial Modeling'!AM25</f>
        <v>16590643.146811256</v>
      </c>
      <c r="AL2" s="236">
        <f>'Financial Modeling'!AN25</f>
        <v>16922328.259976733</v>
      </c>
      <c r="AM2" s="236">
        <f>'Financial Modeling'!AO25</f>
        <v>17260647.101571478</v>
      </c>
      <c r="AN2" s="236">
        <f>'Financial Modeling'!AP25</f>
        <v>17605732.346687373</v>
      </c>
      <c r="AO2" s="236">
        <f>'Financial Modeling'!AQ25</f>
        <v>17957719.323928665</v>
      </c>
      <c r="AP2" s="236">
        <f>'Financial Modeling'!AR25</f>
        <v>18316746.068482291</v>
      </c>
      <c r="AQ2" s="236">
        <f>'Financial Modeling'!AS25</f>
        <v>18682953.376249857</v>
      </c>
      <c r="AR2" s="236">
        <f>'Financial Modeling'!AT25</f>
        <v>19056484.859062102</v>
      </c>
      <c r="AS2" s="236">
        <f>'Financial Modeling'!AU25</f>
        <v>19437487.000997711</v>
      </c>
      <c r="AT2" s="236">
        <f>'Financial Modeling'!AV25</f>
        <v>19826109.215828482</v>
      </c>
      <c r="AU2" s="236">
        <f>'Financial Modeling'!AW25</f>
        <v>20222503.90561346</v>
      </c>
      <c r="AV2" s="236">
        <f>'Financial Modeling'!AX25</f>
        <v>20626826.520464867</v>
      </c>
      <c r="AW2" s="236">
        <f>'Financial Modeling'!AY25</f>
        <v>21039235.619509459</v>
      </c>
      <c r="AX2" s="236">
        <f>'Financial Modeling'!AZ25</f>
        <v>21459892.933069013</v>
      </c>
      <c r="AY2" s="236">
        <f>'Financial Modeling'!BA25</f>
        <v>21888963.426084518</v>
      </c>
      <c r="AZ2" s="236">
        <f>'Financial Modeling'!BB25</f>
        <v>22326615.362808775</v>
      </c>
      <c r="BA2" s="236">
        <f>'Financial Modeling'!BC25</f>
        <v>22773020.372792944</v>
      </c>
      <c r="BB2" s="236">
        <f>'Financial Modeling'!BD25</f>
        <v>23228353.51819272</v>
      </c>
      <c r="BC2" s="236">
        <f>'Financial Modeling'!BE25</f>
        <v>23692793.362420745</v>
      </c>
      <c r="BD2" s="236">
        <f>'Financial Modeling'!BF25</f>
        <v>24166522.040171973</v>
      </c>
      <c r="BE2" s="236">
        <f>'Financial Modeling'!BG25</f>
        <v>24649725.328849658</v>
      </c>
      <c r="BF2" s="236">
        <f>'Financial Modeling'!BH25</f>
        <v>25142592.721419752</v>
      </c>
      <c r="BG2" s="236">
        <f>'Financial Modeling'!BI25</f>
        <v>25645317.500722472</v>
      </c>
      <c r="BH2" s="236">
        <f>'Financial Modeling'!BJ25</f>
        <v>26158096.8152701</v>
      </c>
      <c r="BI2" s="236">
        <f>'Financial Modeling'!BK25</f>
        <v>26681131.756560728</v>
      </c>
      <c r="BJ2" s="236">
        <f>'Financial Modeling'!BL25</f>
        <v>27214627.437938228</v>
      </c>
      <c r="BK2" s="236">
        <f>'Financial Modeling'!BM25</f>
        <v>27758793.075029571</v>
      </c>
      <c r="BL2" s="236">
        <f>'Financial Modeling'!BN25</f>
        <v>28313842.067790754</v>
      </c>
      <c r="BM2" s="236">
        <f>'Financial Modeling'!BO25</f>
        <v>28879992.084193755</v>
      </c>
      <c r="BN2" s="236">
        <f>'Financial Modeling'!BP25</f>
        <v>29457465.145587131</v>
      </c>
      <c r="BO2" s="236">
        <f>'Financial Modeling'!BQ25</f>
        <v>30046487.713763919</v>
      </c>
      <c r="BP2" s="236">
        <f>'Financial Modeling'!BR25</f>
        <v>30647290.779770926</v>
      </c>
      <c r="BQ2" s="236">
        <f>'Financial Modeling'!BS25</f>
        <v>31260109.954494059</v>
      </c>
      <c r="BR2" s="236">
        <f>'Financial Modeling'!BT25</f>
        <v>31885185.561055597</v>
      </c>
      <c r="BS2" s="236">
        <f>'Financial Modeling'!BU25</f>
        <v>32522762.72905916</v>
      </c>
      <c r="BT2" s="236">
        <f>'Financial Modeling'!BV25</f>
        <v>33173091.490719803</v>
      </c>
      <c r="BU2" s="236">
        <f>'Financial Modeling'!BW25</f>
        <v>33836426.878916621</v>
      </c>
      <c r="BV2" s="236">
        <f>'Financial Modeling'!BX25</f>
        <v>34513029.027206391</v>
      </c>
      <c r="BW2" s="236">
        <f>'Financial Modeling'!BY25</f>
        <v>35203163.271837555</v>
      </c>
      <c r="BX2" s="236">
        <f>'Financial Modeling'!BZ25</f>
        <v>35907100.255804442</v>
      </c>
      <c r="BY2" s="236">
        <f>'Financial Modeling'!CA25</f>
        <v>36625116.034982666</v>
      </c>
      <c r="BZ2" s="236">
        <f>'Financial Modeling'!CB25</f>
        <v>37357492.18638704</v>
      </c>
      <c r="CA2" s="236">
        <f>'Financial Modeling'!CC25</f>
        <v>38104515.918594979</v>
      </c>
      <c r="CB2" s="236">
        <f>'Financial Modeling'!CD25</f>
        <v>38866480.184378028</v>
      </c>
      <c r="CC2" s="236">
        <f>'Financial Modeling'!CE25</f>
        <v>39643683.795586355</v>
      </c>
      <c r="CD2" s="236">
        <f>'Financial Modeling'!CF25</f>
        <v>40436431.540330619</v>
      </c>
      <c r="CE2" s="236">
        <f>'Financial Modeling'!CG25</f>
        <v>41245034.30250778</v>
      </c>
      <c r="CF2" s="236">
        <f>'Financial Modeling'!CH25</f>
        <v>42069809.183717281</v>
      </c>
      <c r="CG2" s="236">
        <f>'Financial Modeling'!CI25</f>
        <v>42911079.627615511</v>
      </c>
      <c r="CH2" s="236">
        <f>'Financial Modeling'!CJ25</f>
        <v>43769175.546757564</v>
      </c>
      <c r="CI2" s="236">
        <f>'Financial Modeling'!CK25</f>
        <v>44644433.451975621</v>
      </c>
      <c r="CJ2" s="236">
        <f>'Financial Modeling'!CL25</f>
        <v>45537196.58434505</v>
      </c>
      <c r="CK2" s="236">
        <f>'Financial Modeling'!CM25</f>
        <v>46447815.049789846</v>
      </c>
      <c r="CL2" s="236">
        <f>'Financial Modeling'!CN25</f>
        <v>47376645.956380077</v>
      </c>
      <c r="CM2" s="236">
        <f>'Financial Modeling'!CO25</f>
        <v>48324053.55437535</v>
      </c>
      <c r="CN2" s="236">
        <f>'Financial Modeling'!CP25</f>
        <v>49290409.379069254</v>
      </c>
      <c r="CO2" s="236">
        <f>'Financial Modeling'!CQ25</f>
        <v>50276092.396490544</v>
      </c>
      <c r="CP2" s="236">
        <f>'Financial Modeling'!CR25</f>
        <v>51281489.152018413</v>
      </c>
      <c r="CQ2" s="236">
        <f>'Financial Modeling'!CS25</f>
        <v>52306993.921970181</v>
      </c>
      <c r="CR2" s="236">
        <f>'Financial Modeling'!CT25</f>
        <v>53353008.86822056</v>
      </c>
      <c r="CS2" s="236">
        <f>'Financial Modeling'!CU25</f>
        <v>54419944.195913546</v>
      </c>
      <c r="CT2" s="236">
        <f>'Financial Modeling'!CV25</f>
        <v>55508218.314328328</v>
      </c>
      <c r="CU2" s="236">
        <f>'Financial Modeling'!CW25</f>
        <v>56618258.000962704</v>
      </c>
      <c r="CV2" s="236">
        <f>'Financial Modeling'!CX25</f>
        <v>57750498.568898119</v>
      </c>
      <c r="CW2" s="236">
        <f>'Financial Modeling'!CY25</f>
        <v>58905384.0375119</v>
      </c>
    </row>
    <row r="3" spans="1:101" ht="12.75" customHeight="1" x14ac:dyDescent="0.2">
      <c r="A3" s="221" t="s">
        <v>174</v>
      </c>
      <c r="B3" s="236">
        <f>'Financial Modeling'!B6</f>
        <v>83158684.291249871</v>
      </c>
      <c r="C3" s="236">
        <v>0</v>
      </c>
      <c r="D3" s="236">
        <v>0</v>
      </c>
      <c r="E3" s="236">
        <v>0</v>
      </c>
      <c r="F3" s="236">
        <v>0</v>
      </c>
      <c r="G3" s="236">
        <v>0</v>
      </c>
      <c r="H3" s="236">
        <v>0</v>
      </c>
      <c r="I3" s="236">
        <v>0</v>
      </c>
      <c r="J3" s="236">
        <v>0</v>
      </c>
      <c r="K3" s="236">
        <v>0</v>
      </c>
      <c r="L3" s="236">
        <v>0</v>
      </c>
      <c r="M3" s="236">
        <v>0</v>
      </c>
      <c r="N3" s="236">
        <v>0</v>
      </c>
      <c r="O3" s="236">
        <v>0</v>
      </c>
      <c r="P3" s="236">
        <v>0</v>
      </c>
      <c r="Q3" s="236">
        <v>0</v>
      </c>
      <c r="R3" s="236">
        <v>0</v>
      </c>
      <c r="S3" s="236">
        <v>0</v>
      </c>
      <c r="T3" s="236">
        <v>0</v>
      </c>
      <c r="U3" s="236">
        <v>0</v>
      </c>
      <c r="V3" s="236">
        <v>0</v>
      </c>
      <c r="W3" s="236">
        <v>0</v>
      </c>
      <c r="X3" s="236">
        <v>0</v>
      </c>
      <c r="Y3" s="236">
        <v>0</v>
      </c>
      <c r="Z3" s="236">
        <v>0</v>
      </c>
      <c r="AA3" s="236">
        <v>0</v>
      </c>
      <c r="AB3" s="236">
        <v>0</v>
      </c>
      <c r="AC3" s="236">
        <v>0</v>
      </c>
      <c r="AD3" s="236">
        <v>0</v>
      </c>
      <c r="AE3" s="236">
        <v>0</v>
      </c>
      <c r="AF3" s="236">
        <v>0</v>
      </c>
      <c r="AG3" s="236">
        <v>0</v>
      </c>
      <c r="AH3" s="236">
        <v>0</v>
      </c>
      <c r="AI3" s="236">
        <v>0</v>
      </c>
      <c r="AJ3" s="236">
        <v>0</v>
      </c>
      <c r="AK3" s="236">
        <v>0</v>
      </c>
      <c r="AL3" s="236">
        <v>0</v>
      </c>
      <c r="AM3" s="236">
        <v>0</v>
      </c>
      <c r="AN3" s="236">
        <v>0</v>
      </c>
      <c r="AO3" s="236">
        <v>0</v>
      </c>
      <c r="AP3" s="236">
        <v>0</v>
      </c>
      <c r="AQ3" s="236">
        <v>0</v>
      </c>
      <c r="AR3" s="236">
        <v>0</v>
      </c>
      <c r="AS3" s="236">
        <v>0</v>
      </c>
      <c r="AT3" s="236">
        <v>0</v>
      </c>
      <c r="AU3" s="236">
        <v>0</v>
      </c>
      <c r="AV3" s="236">
        <v>0</v>
      </c>
      <c r="AW3" s="236">
        <v>0</v>
      </c>
      <c r="AX3" s="236">
        <v>0</v>
      </c>
      <c r="AY3" s="236">
        <v>0</v>
      </c>
      <c r="AZ3" s="236">
        <v>0</v>
      </c>
      <c r="BA3" s="236">
        <v>0</v>
      </c>
      <c r="BB3" s="236">
        <v>0</v>
      </c>
      <c r="BC3" s="236">
        <v>0</v>
      </c>
      <c r="BD3" s="236">
        <v>0</v>
      </c>
      <c r="BE3" s="236">
        <v>0</v>
      </c>
      <c r="BF3" s="236">
        <v>0</v>
      </c>
      <c r="BG3" s="236">
        <v>0</v>
      </c>
      <c r="BH3" s="236">
        <v>0</v>
      </c>
      <c r="BI3" s="236">
        <v>0</v>
      </c>
      <c r="BJ3" s="236">
        <v>0</v>
      </c>
      <c r="BK3" s="236">
        <v>0</v>
      </c>
      <c r="BL3" s="236">
        <v>0</v>
      </c>
      <c r="BM3" s="236">
        <v>0</v>
      </c>
      <c r="BN3" s="236">
        <v>0</v>
      </c>
      <c r="BO3" s="236">
        <v>0</v>
      </c>
      <c r="BP3" s="236">
        <v>0</v>
      </c>
      <c r="BQ3" s="236">
        <v>0</v>
      </c>
      <c r="BR3" s="236">
        <v>0</v>
      </c>
      <c r="BS3" s="236">
        <v>0</v>
      </c>
      <c r="BT3" s="236">
        <v>0</v>
      </c>
      <c r="BU3" s="236">
        <v>0</v>
      </c>
      <c r="BV3" s="236">
        <v>0</v>
      </c>
      <c r="BW3" s="236">
        <v>0</v>
      </c>
      <c r="BX3" s="236">
        <v>0</v>
      </c>
      <c r="BY3" s="236">
        <v>0</v>
      </c>
      <c r="BZ3" s="236">
        <v>0</v>
      </c>
      <c r="CA3" s="236">
        <v>0</v>
      </c>
      <c r="CB3" s="236">
        <v>0</v>
      </c>
      <c r="CC3" s="236">
        <v>0</v>
      </c>
      <c r="CD3" s="236">
        <v>0</v>
      </c>
      <c r="CE3" s="236">
        <v>0</v>
      </c>
      <c r="CF3" s="236">
        <v>0</v>
      </c>
      <c r="CG3" s="236">
        <v>0</v>
      </c>
      <c r="CH3" s="236">
        <v>0</v>
      </c>
      <c r="CI3" s="236">
        <v>0</v>
      </c>
      <c r="CJ3" s="236">
        <v>0</v>
      </c>
      <c r="CK3" s="236">
        <v>0</v>
      </c>
      <c r="CL3" s="236">
        <v>0</v>
      </c>
      <c r="CM3" s="236">
        <v>0</v>
      </c>
      <c r="CN3" s="236">
        <v>0</v>
      </c>
      <c r="CO3" s="236">
        <v>0</v>
      </c>
      <c r="CP3" s="236">
        <v>0</v>
      </c>
      <c r="CQ3" s="236">
        <v>0</v>
      </c>
      <c r="CR3" s="236">
        <v>0</v>
      </c>
      <c r="CS3" s="236">
        <v>0</v>
      </c>
      <c r="CT3" s="236">
        <v>0</v>
      </c>
      <c r="CU3" s="236">
        <v>0</v>
      </c>
      <c r="CV3" s="236">
        <v>0</v>
      </c>
      <c r="CW3" s="236">
        <v>0</v>
      </c>
    </row>
    <row r="4" spans="1:101" ht="12.75" customHeight="1" x14ac:dyDescent="0.2">
      <c r="A4" s="221" t="s">
        <v>175</v>
      </c>
      <c r="B4" s="236">
        <v>0</v>
      </c>
      <c r="C4" s="236">
        <f>'Financial Modeling'!C7</f>
        <v>2827395.2659024964</v>
      </c>
      <c r="D4" s="236">
        <f>'Financial Modeling'!D7</f>
        <v>2883943.1712205461</v>
      </c>
      <c r="E4" s="236">
        <f>'Financial Modeling'!E7</f>
        <v>2941622.0346449567</v>
      </c>
      <c r="F4" s="236">
        <f>'Financial Modeling'!F7</f>
        <v>3000454.475337856</v>
      </c>
      <c r="G4" s="236">
        <f>'Financial Modeling'!G7</f>
        <v>3060463.5648446134</v>
      </c>
      <c r="H4" s="236">
        <f>'Financial Modeling'!J20</f>
        <v>3121672.8361415057</v>
      </c>
      <c r="I4" s="236">
        <f>'Financial Modeling'!K20</f>
        <v>3184106.2928643352</v>
      </c>
      <c r="J4" s="236">
        <f>'Financial Modeling'!L20</f>
        <v>3247788.4187216223</v>
      </c>
      <c r="K4" s="236">
        <f>'Financial Modeling'!M20</f>
        <v>3312744.1870960547</v>
      </c>
      <c r="L4" s="236">
        <f>'Financial Modeling'!N20</f>
        <v>3378999.0708379759</v>
      </c>
      <c r="M4" s="236">
        <f>'Financial Modeling'!O20</f>
        <v>3446579.0522547346</v>
      </c>
      <c r="N4" s="236">
        <f>'Financial Modeling'!P20</f>
        <v>3515510.6332998299</v>
      </c>
      <c r="O4" s="236">
        <f>'Financial Modeling'!Q20</f>
        <v>3585820.8459658264</v>
      </c>
      <c r="P4" s="236">
        <f>'Financial Modeling'!R20</f>
        <v>3657537.262885143</v>
      </c>
      <c r="Q4" s="236">
        <f>'Financial Modeling'!S20</f>
        <v>3730688.0081428452</v>
      </c>
      <c r="R4" s="236">
        <f>'Financial Modeling'!T20</f>
        <v>3805301.7683057026</v>
      </c>
      <c r="S4" s="236">
        <f>'Financial Modeling'!U20</f>
        <v>3881407.8036718168</v>
      </c>
      <c r="T4" s="236">
        <f>'Financial Modeling'!V20</f>
        <v>3959035.959745253</v>
      </c>
      <c r="U4" s="236">
        <f>'Financial Modeling'!W20</f>
        <v>4038216.6789401579</v>
      </c>
      <c r="V4" s="236">
        <f>'Financial Modeling'!X20</f>
        <v>4118981.0125189614</v>
      </c>
      <c r="W4" s="236">
        <f>'Financial Modeling'!Y20</f>
        <v>4201360.6327693406</v>
      </c>
      <c r="X4" s="236">
        <f>'Financial Modeling'!Z20</f>
        <v>4285387.8454247275</v>
      </c>
      <c r="Y4" s="236">
        <f>'Financial Modeling'!AA20</f>
        <v>4371095.6023332207</v>
      </c>
      <c r="Z4" s="236">
        <f>'Financial Modeling'!AB20</f>
        <v>4458517.514379886</v>
      </c>
      <c r="AA4" s="236">
        <f>'Financial Modeling'!AC20</f>
        <v>4547687.8646674836</v>
      </c>
      <c r="AB4" s="236">
        <f>'Financial Modeling'!AD20</f>
        <v>4638641.6219608337</v>
      </c>
      <c r="AC4" s="236">
        <f>'Financial Modeling'!AE20</f>
        <v>4731414.4544000495</v>
      </c>
      <c r="AD4" s="236">
        <f>'Financial Modeling'!AF20</f>
        <v>4826042.743488051</v>
      </c>
      <c r="AE4" s="236">
        <f>'Financial Modeling'!AG20</f>
        <v>4922563.5983578116</v>
      </c>
      <c r="AF4" s="236">
        <f>'Financial Modeling'!AH20</f>
        <v>5021014.8703249684</v>
      </c>
      <c r="AG4" s="236">
        <f>'Financial Modeling'!AI20</f>
        <v>5121435.1677314667</v>
      </c>
      <c r="AH4" s="236">
        <f>'Financial Modeling'!AJ20</f>
        <v>5223863.8710860973</v>
      </c>
      <c r="AI4" s="236">
        <f>'Financial Modeling'!AK20</f>
        <v>5328341.1485078195</v>
      </c>
      <c r="AJ4" s="236">
        <f>'Financial Modeling'!AL20</f>
        <v>5434907.9714779751</v>
      </c>
      <c r="AK4" s="236">
        <f>'Financial Modeling'!AM20</f>
        <v>5543606.1309075346</v>
      </c>
      <c r="AL4" s="236">
        <f>'Financial Modeling'!AN20</f>
        <v>5654478.2535256846</v>
      </c>
      <c r="AM4" s="236">
        <f>'Financial Modeling'!AO20</f>
        <v>5767567.8185961992</v>
      </c>
      <c r="AN4" s="236">
        <f>'Financial Modeling'!AP20</f>
        <v>5882919.1749681244</v>
      </c>
      <c r="AO4" s="236">
        <f>'Financial Modeling'!AQ20</f>
        <v>6000577.5584674841</v>
      </c>
      <c r="AP4" s="236">
        <f>'Financial Modeling'!AR20</f>
        <v>6120589.1096368358</v>
      </c>
      <c r="AQ4" s="236">
        <f>'Financial Modeling'!AS20</f>
        <v>6243000.8918295717</v>
      </c>
      <c r="AR4" s="236">
        <f>'Financial Modeling'!AT20</f>
        <v>6367860.9096661629</v>
      </c>
      <c r="AS4" s="236">
        <f>'Financial Modeling'!AU20</f>
        <v>6495218.1278594853</v>
      </c>
      <c r="AT4" s="236">
        <f>'Financial Modeling'!AV20</f>
        <v>6625122.4904166767</v>
      </c>
      <c r="AU4" s="236">
        <f>'Financial Modeling'!AW20</f>
        <v>6757624.9402250098</v>
      </c>
      <c r="AV4" s="236">
        <f>'Financial Modeling'!AX20</f>
        <v>6892777.4390295111</v>
      </c>
      <c r="AW4" s="236">
        <f>'Financial Modeling'!AY20</f>
        <v>7030632.9878100986</v>
      </c>
      <c r="AX4" s="236">
        <f>'Financial Modeling'!AZ20</f>
        <v>7171245.6475663017</v>
      </c>
      <c r="AY4" s="236">
        <f>'Financial Modeling'!BA20</f>
        <v>7314670.5605176277</v>
      </c>
      <c r="AZ4" s="236">
        <f>'Financial Modeling'!BB20</f>
        <v>7460963.9717279803</v>
      </c>
      <c r="BA4" s="236">
        <f>'Financial Modeling'!BC20</f>
        <v>7610183.2511625392</v>
      </c>
      <c r="BB4" s="236">
        <f>'Financial Modeling'!BD20</f>
        <v>7762386.9161857916</v>
      </c>
      <c r="BC4" s="236">
        <f>'Financial Modeling'!BE20</f>
        <v>7917634.6545095062</v>
      </c>
      <c r="BD4" s="236">
        <f>'Financial Modeling'!BF20</f>
        <v>8075987.3475996973</v>
      </c>
      <c r="BE4" s="236">
        <f>'Financial Modeling'!BG20</f>
        <v>8237507.094551689</v>
      </c>
      <c r="BF4" s="236">
        <f>'Financial Modeling'!BH20</f>
        <v>8402257.2364427224</v>
      </c>
      <c r="BG4" s="236">
        <f>'Financial Modeling'!BI20</f>
        <v>8570302.3811715767</v>
      </c>
      <c r="BH4" s="236">
        <f>'Financial Modeling'!BJ20</f>
        <v>8741708.4287950099</v>
      </c>
      <c r="BI4" s="236">
        <f>'Financial Modeling'!BK20</f>
        <v>8916542.5973709095</v>
      </c>
      <c r="BJ4" s="236">
        <f>'Financial Modeling'!BL20</f>
        <v>9094873.4493183289</v>
      </c>
      <c r="BK4" s="236">
        <f>'Financial Modeling'!BM20</f>
        <v>9276770.9183046948</v>
      </c>
      <c r="BL4" s="236">
        <f>'Financial Modeling'!BN20</f>
        <v>9462306.336670788</v>
      </c>
      <c r="BM4" s="236">
        <f>'Financial Modeling'!BO20</f>
        <v>9651552.4634042028</v>
      </c>
      <c r="BN4" s="236">
        <f>'Financial Modeling'!BP20</f>
        <v>9844583.5126722883</v>
      </c>
      <c r="BO4" s="236">
        <f>'Financial Modeling'!BQ20</f>
        <v>10041475.182925735</v>
      </c>
      <c r="BP4" s="236">
        <f>'Financial Modeling'!BR20</f>
        <v>10242304.686584249</v>
      </c>
      <c r="BQ4" s="236">
        <f>'Financial Modeling'!BS20</f>
        <v>10447150.780315934</v>
      </c>
      <c r="BR4" s="236">
        <f>'Financial Modeling'!BT20</f>
        <v>10656093.795922251</v>
      </c>
      <c r="BS4" s="236">
        <f>'Financial Modeling'!BU20</f>
        <v>10869215.671840698</v>
      </c>
      <c r="BT4" s="236">
        <f>'Financial Modeling'!BV20</f>
        <v>11086599.985277513</v>
      </c>
      <c r="BU4" s="236">
        <f>'Financial Modeling'!BW20</f>
        <v>11308331.984983061</v>
      </c>
      <c r="BV4" s="236">
        <f>'Financial Modeling'!BX20</f>
        <v>11534498.624682723</v>
      </c>
      <c r="BW4" s="236">
        <f>'Financial Modeling'!BY20</f>
        <v>11765188.597176377</v>
      </c>
      <c r="BX4" s="236">
        <f>'Financial Modeling'!BZ20</f>
        <v>12000492.369119905</v>
      </c>
      <c r="BY4" s="236">
        <f>'Financial Modeling'!CA20</f>
        <v>12240502.2165023</v>
      </c>
      <c r="BZ4" s="236">
        <f>'Financial Modeling'!CB20</f>
        <v>12485312.260832349</v>
      </c>
      <c r="CA4" s="236">
        <f>'Financial Modeling'!CC20</f>
        <v>12735018.506048996</v>
      </c>
      <c r="CB4" s="236">
        <f>'Financial Modeling'!CD20</f>
        <v>12989718.876169976</v>
      </c>
      <c r="CC4" s="236">
        <f>'Financial Modeling'!CE20</f>
        <v>13249513.253693372</v>
      </c>
      <c r="CD4" s="236">
        <f>'Financial Modeling'!CF20</f>
        <v>13514503.518767241</v>
      </c>
      <c r="CE4" s="236">
        <f>'Financial Modeling'!CG20</f>
        <v>13784793.589142587</v>
      </c>
      <c r="CF4" s="236">
        <f>'Financial Modeling'!CH20</f>
        <v>14060489.460925438</v>
      </c>
      <c r="CG4" s="236">
        <f>'Financial Modeling'!CI20</f>
        <v>14341699.250143945</v>
      </c>
      <c r="CH4" s="236">
        <f>'Financial Modeling'!CJ20</f>
        <v>14628533.235146826</v>
      </c>
      <c r="CI4" s="236">
        <f>'Financial Modeling'!CK20</f>
        <v>14921103.899849763</v>
      </c>
      <c r="CJ4" s="236">
        <f>'Financial Modeling'!CL20</f>
        <v>15219525.977846758</v>
      </c>
      <c r="CK4" s="236">
        <f>'Financial Modeling'!CM20</f>
        <v>15523916.497403689</v>
      </c>
      <c r="CL4" s="236">
        <f>'Financial Modeling'!CN20</f>
        <v>15834394.827351764</v>
      </c>
      <c r="CM4" s="236">
        <f>'Financial Modeling'!CO20</f>
        <v>16151082.723898802</v>
      </c>
      <c r="CN4" s="236">
        <f>'Financial Modeling'!CP20</f>
        <v>16474104.378376778</v>
      </c>
      <c r="CO4" s="236">
        <f>'Financial Modeling'!CQ20</f>
        <v>16803586.465944309</v>
      </c>
      <c r="CP4" s="236">
        <f>'Financial Modeling'!CR20</f>
        <v>17139658.1952632</v>
      </c>
      <c r="CQ4" s="236">
        <f>'Financial Modeling'!CS20</f>
        <v>17482451.359168462</v>
      </c>
      <c r="CR4" s="236">
        <f>'Financial Modeling'!CT20</f>
        <v>17832100.386351831</v>
      </c>
      <c r="CS4" s="236">
        <f>'Financial Modeling'!CU20</f>
        <v>18188742.394078866</v>
      </c>
      <c r="CT4" s="236">
        <f>'Financial Modeling'!CV20</f>
        <v>18552517.241960444</v>
      </c>
      <c r="CU4" s="236">
        <f>'Financial Modeling'!CW20</f>
        <v>18923567.586799655</v>
      </c>
      <c r="CV4" s="236">
        <f>'Financial Modeling'!CX20</f>
        <v>19302038.938535646</v>
      </c>
      <c r="CW4" s="236">
        <f>'Financial Modeling'!CY20</f>
        <v>19688079.717306361</v>
      </c>
    </row>
    <row r="5" spans="1:101" ht="12.75" customHeight="1" x14ac:dyDescent="0.2">
      <c r="A5" s="221" t="s">
        <v>176</v>
      </c>
      <c r="B5" s="236">
        <f t="shared" ref="B5:CW5" si="0">SUM(B3:B4)</f>
        <v>83158684.291249871</v>
      </c>
      <c r="C5" s="236">
        <f t="shared" si="0"/>
        <v>2827395.2659024964</v>
      </c>
      <c r="D5" s="236">
        <f t="shared" si="0"/>
        <v>2883943.1712205461</v>
      </c>
      <c r="E5" s="236">
        <f t="shared" si="0"/>
        <v>2941622.0346449567</v>
      </c>
      <c r="F5" s="236">
        <f t="shared" si="0"/>
        <v>3000454.475337856</v>
      </c>
      <c r="G5" s="236">
        <f t="shared" si="0"/>
        <v>3060463.5648446134</v>
      </c>
      <c r="H5" s="236">
        <f t="shared" si="0"/>
        <v>3121672.8361415057</v>
      </c>
      <c r="I5" s="236">
        <f t="shared" si="0"/>
        <v>3184106.2928643352</v>
      </c>
      <c r="J5" s="236">
        <f t="shared" si="0"/>
        <v>3247788.4187216223</v>
      </c>
      <c r="K5" s="236">
        <f t="shared" si="0"/>
        <v>3312744.1870960547</v>
      </c>
      <c r="L5" s="236">
        <f t="shared" si="0"/>
        <v>3378999.0708379759</v>
      </c>
      <c r="M5" s="236">
        <f t="shared" si="0"/>
        <v>3446579.0522547346</v>
      </c>
      <c r="N5" s="236">
        <f t="shared" si="0"/>
        <v>3515510.6332998299</v>
      </c>
      <c r="O5" s="236">
        <f t="shared" si="0"/>
        <v>3585820.8459658264</v>
      </c>
      <c r="P5" s="236">
        <f t="shared" si="0"/>
        <v>3657537.262885143</v>
      </c>
      <c r="Q5" s="236">
        <f t="shared" si="0"/>
        <v>3730688.0081428452</v>
      </c>
      <c r="R5" s="236">
        <f t="shared" si="0"/>
        <v>3805301.7683057026</v>
      </c>
      <c r="S5" s="236">
        <f t="shared" si="0"/>
        <v>3881407.8036718168</v>
      </c>
      <c r="T5" s="236">
        <f t="shared" si="0"/>
        <v>3959035.959745253</v>
      </c>
      <c r="U5" s="236">
        <f t="shared" si="0"/>
        <v>4038216.6789401579</v>
      </c>
      <c r="V5" s="236">
        <f t="shared" si="0"/>
        <v>4118981.0125189614</v>
      </c>
      <c r="W5" s="236">
        <f t="shared" si="0"/>
        <v>4201360.6327693406</v>
      </c>
      <c r="X5" s="236">
        <f t="shared" si="0"/>
        <v>4285387.8454247275</v>
      </c>
      <c r="Y5" s="236">
        <f t="shared" si="0"/>
        <v>4371095.6023332207</v>
      </c>
      <c r="Z5" s="236">
        <f t="shared" si="0"/>
        <v>4458517.514379886</v>
      </c>
      <c r="AA5" s="236">
        <f t="shared" si="0"/>
        <v>4547687.8646674836</v>
      </c>
      <c r="AB5" s="236">
        <f t="shared" si="0"/>
        <v>4638641.6219608337</v>
      </c>
      <c r="AC5" s="236">
        <f t="shared" si="0"/>
        <v>4731414.4544000495</v>
      </c>
      <c r="AD5" s="236">
        <f t="shared" si="0"/>
        <v>4826042.743488051</v>
      </c>
      <c r="AE5" s="236">
        <f t="shared" si="0"/>
        <v>4922563.5983578116</v>
      </c>
      <c r="AF5" s="236">
        <f t="shared" si="0"/>
        <v>5021014.8703249684</v>
      </c>
      <c r="AG5" s="236">
        <f t="shared" si="0"/>
        <v>5121435.1677314667</v>
      </c>
      <c r="AH5" s="236">
        <f t="shared" si="0"/>
        <v>5223863.8710860973</v>
      </c>
      <c r="AI5" s="236">
        <f t="shared" si="0"/>
        <v>5328341.1485078195</v>
      </c>
      <c r="AJ5" s="236">
        <f t="shared" si="0"/>
        <v>5434907.9714779751</v>
      </c>
      <c r="AK5" s="236">
        <f t="shared" si="0"/>
        <v>5543606.1309075346</v>
      </c>
      <c r="AL5" s="236">
        <f t="shared" si="0"/>
        <v>5654478.2535256846</v>
      </c>
      <c r="AM5" s="236">
        <f t="shared" si="0"/>
        <v>5767567.8185961992</v>
      </c>
      <c r="AN5" s="236">
        <f t="shared" si="0"/>
        <v>5882919.1749681244</v>
      </c>
      <c r="AO5" s="236">
        <f t="shared" si="0"/>
        <v>6000577.5584674841</v>
      </c>
      <c r="AP5" s="236">
        <f t="shared" si="0"/>
        <v>6120589.1096368358</v>
      </c>
      <c r="AQ5" s="236">
        <f t="shared" si="0"/>
        <v>6243000.8918295717</v>
      </c>
      <c r="AR5" s="236">
        <f t="shared" si="0"/>
        <v>6367860.9096661629</v>
      </c>
      <c r="AS5" s="236">
        <f t="shared" si="0"/>
        <v>6495218.1278594853</v>
      </c>
      <c r="AT5" s="236">
        <f t="shared" si="0"/>
        <v>6625122.4904166767</v>
      </c>
      <c r="AU5" s="236">
        <f t="shared" si="0"/>
        <v>6757624.9402250098</v>
      </c>
      <c r="AV5" s="236">
        <f t="shared" si="0"/>
        <v>6892777.4390295111</v>
      </c>
      <c r="AW5" s="236">
        <f t="shared" si="0"/>
        <v>7030632.9878100986</v>
      </c>
      <c r="AX5" s="236">
        <f t="shared" si="0"/>
        <v>7171245.6475663017</v>
      </c>
      <c r="AY5" s="236">
        <f t="shared" si="0"/>
        <v>7314670.5605176277</v>
      </c>
      <c r="AZ5" s="236">
        <f t="shared" si="0"/>
        <v>7460963.9717279803</v>
      </c>
      <c r="BA5" s="236">
        <f t="shared" si="0"/>
        <v>7610183.2511625392</v>
      </c>
      <c r="BB5" s="236">
        <f t="shared" si="0"/>
        <v>7762386.9161857916</v>
      </c>
      <c r="BC5" s="236">
        <f t="shared" si="0"/>
        <v>7917634.6545095062</v>
      </c>
      <c r="BD5" s="236">
        <f t="shared" si="0"/>
        <v>8075987.3475996973</v>
      </c>
      <c r="BE5" s="236">
        <f t="shared" si="0"/>
        <v>8237507.094551689</v>
      </c>
      <c r="BF5" s="236">
        <f t="shared" si="0"/>
        <v>8402257.2364427224</v>
      </c>
      <c r="BG5" s="236">
        <f t="shared" si="0"/>
        <v>8570302.3811715767</v>
      </c>
      <c r="BH5" s="236">
        <f t="shared" si="0"/>
        <v>8741708.4287950099</v>
      </c>
      <c r="BI5" s="236">
        <f t="shared" si="0"/>
        <v>8916542.5973709095</v>
      </c>
      <c r="BJ5" s="236">
        <f t="shared" si="0"/>
        <v>9094873.4493183289</v>
      </c>
      <c r="BK5" s="236">
        <f t="shared" si="0"/>
        <v>9276770.9183046948</v>
      </c>
      <c r="BL5" s="236">
        <f t="shared" si="0"/>
        <v>9462306.336670788</v>
      </c>
      <c r="BM5" s="236">
        <f t="shared" si="0"/>
        <v>9651552.4634042028</v>
      </c>
      <c r="BN5" s="236">
        <f t="shared" si="0"/>
        <v>9844583.5126722883</v>
      </c>
      <c r="BO5" s="236">
        <f t="shared" si="0"/>
        <v>10041475.182925735</v>
      </c>
      <c r="BP5" s="236">
        <f t="shared" si="0"/>
        <v>10242304.686584249</v>
      </c>
      <c r="BQ5" s="236">
        <f t="shared" si="0"/>
        <v>10447150.780315934</v>
      </c>
      <c r="BR5" s="236">
        <f t="shared" si="0"/>
        <v>10656093.795922251</v>
      </c>
      <c r="BS5" s="236">
        <f t="shared" si="0"/>
        <v>10869215.671840698</v>
      </c>
      <c r="BT5" s="236">
        <f t="shared" si="0"/>
        <v>11086599.985277513</v>
      </c>
      <c r="BU5" s="236">
        <f t="shared" si="0"/>
        <v>11308331.984983061</v>
      </c>
      <c r="BV5" s="236">
        <f t="shared" si="0"/>
        <v>11534498.624682723</v>
      </c>
      <c r="BW5" s="236">
        <f t="shared" si="0"/>
        <v>11765188.597176377</v>
      </c>
      <c r="BX5" s="236">
        <f t="shared" si="0"/>
        <v>12000492.369119905</v>
      </c>
      <c r="BY5" s="236">
        <f t="shared" si="0"/>
        <v>12240502.2165023</v>
      </c>
      <c r="BZ5" s="236">
        <f t="shared" si="0"/>
        <v>12485312.260832349</v>
      </c>
      <c r="CA5" s="236">
        <f t="shared" si="0"/>
        <v>12735018.506048996</v>
      </c>
      <c r="CB5" s="236">
        <f t="shared" si="0"/>
        <v>12989718.876169976</v>
      </c>
      <c r="CC5" s="236">
        <f t="shared" si="0"/>
        <v>13249513.253693372</v>
      </c>
      <c r="CD5" s="236">
        <f t="shared" si="0"/>
        <v>13514503.518767241</v>
      </c>
      <c r="CE5" s="236">
        <f t="shared" si="0"/>
        <v>13784793.589142587</v>
      </c>
      <c r="CF5" s="236">
        <f t="shared" si="0"/>
        <v>14060489.460925438</v>
      </c>
      <c r="CG5" s="236">
        <f t="shared" si="0"/>
        <v>14341699.250143945</v>
      </c>
      <c r="CH5" s="236">
        <f t="shared" si="0"/>
        <v>14628533.235146826</v>
      </c>
      <c r="CI5" s="236">
        <f t="shared" si="0"/>
        <v>14921103.899849763</v>
      </c>
      <c r="CJ5" s="236">
        <f t="shared" si="0"/>
        <v>15219525.977846758</v>
      </c>
      <c r="CK5" s="236">
        <f t="shared" si="0"/>
        <v>15523916.497403689</v>
      </c>
      <c r="CL5" s="236">
        <f t="shared" si="0"/>
        <v>15834394.827351764</v>
      </c>
      <c r="CM5" s="236">
        <f t="shared" si="0"/>
        <v>16151082.723898802</v>
      </c>
      <c r="CN5" s="236">
        <f t="shared" si="0"/>
        <v>16474104.378376778</v>
      </c>
      <c r="CO5" s="236">
        <f t="shared" si="0"/>
        <v>16803586.465944309</v>
      </c>
      <c r="CP5" s="236">
        <f t="shared" si="0"/>
        <v>17139658.1952632</v>
      </c>
      <c r="CQ5" s="236">
        <f t="shared" si="0"/>
        <v>17482451.359168462</v>
      </c>
      <c r="CR5" s="236">
        <f t="shared" si="0"/>
        <v>17832100.386351831</v>
      </c>
      <c r="CS5" s="236">
        <f t="shared" si="0"/>
        <v>18188742.394078866</v>
      </c>
      <c r="CT5" s="236">
        <f t="shared" si="0"/>
        <v>18552517.241960444</v>
      </c>
      <c r="CU5" s="236">
        <f t="shared" si="0"/>
        <v>18923567.586799655</v>
      </c>
      <c r="CV5" s="236">
        <f t="shared" si="0"/>
        <v>19302038.938535646</v>
      </c>
      <c r="CW5" s="236">
        <f t="shared" si="0"/>
        <v>19688079.717306361</v>
      </c>
    </row>
    <row r="6" spans="1:101" ht="12.75" customHeight="1" x14ac:dyDescent="0.2">
      <c r="A6" s="221" t="s">
        <v>177</v>
      </c>
      <c r="B6" s="236">
        <v>0</v>
      </c>
      <c r="C6" s="236">
        <f>'Financial Modeling'!C16</f>
        <v>6000000</v>
      </c>
      <c r="D6" s="236">
        <f>'Financial Modeling'!D16</f>
        <v>6000000</v>
      </c>
      <c r="E6" s="236">
        <f>'Financial Modeling'!E16</f>
        <v>6000000</v>
      </c>
      <c r="F6" s="236">
        <f>'Financial Modeling'!F16</f>
        <v>6000000</v>
      </c>
      <c r="G6" s="236">
        <f>'Financial Modeling'!G16</f>
        <v>6000000</v>
      </c>
      <c r="H6" s="236">
        <f>'Financial Modeling'!J16</f>
        <v>6750000</v>
      </c>
      <c r="I6" s="236">
        <f>'Financial Modeling'!K16</f>
        <v>6750000</v>
      </c>
      <c r="J6" s="236">
        <f>'Financial Modeling'!L16</f>
        <v>6750000</v>
      </c>
      <c r="K6" s="236">
        <f>'Financial Modeling'!M16</f>
        <v>6750000</v>
      </c>
      <c r="L6" s="236">
        <f>'Financial Modeling'!N16</f>
        <v>6750000</v>
      </c>
      <c r="M6" s="236">
        <f>'Financial Modeling'!O16</f>
        <v>6750000</v>
      </c>
      <c r="N6" s="236">
        <f>'Financial Modeling'!P16</f>
        <v>6750000</v>
      </c>
      <c r="O6" s="236">
        <f>'Financial Modeling'!Q16</f>
        <v>6750000</v>
      </c>
      <c r="P6" s="236">
        <f>'Financial Modeling'!R16</f>
        <v>6750000</v>
      </c>
      <c r="Q6" s="236">
        <f>'Financial Modeling'!S16</f>
        <v>6750000</v>
      </c>
      <c r="R6" s="236">
        <f>'Financial Modeling'!T16</f>
        <v>6750000</v>
      </c>
      <c r="S6" s="236">
        <f>'Financial Modeling'!U16</f>
        <v>6750000</v>
      </c>
      <c r="T6" s="236">
        <f>'Financial Modeling'!V16</f>
        <v>6750000</v>
      </c>
      <c r="U6" s="236">
        <f>'Financial Modeling'!W16</f>
        <v>6750000</v>
      </c>
      <c r="V6" s="236">
        <f>'Financial Modeling'!X16</f>
        <v>6750000</v>
      </c>
      <c r="W6" s="236">
        <f>'Financial Modeling'!Y16</f>
        <v>6750000</v>
      </c>
      <c r="X6" s="236">
        <f>'Financial Modeling'!Z16</f>
        <v>6750000</v>
      </c>
      <c r="Y6" s="236">
        <f>'Financial Modeling'!AA16</f>
        <v>6750000</v>
      </c>
      <c r="Z6" s="236">
        <f>'Financial Modeling'!AB16</f>
        <v>6750000</v>
      </c>
      <c r="AA6" s="236">
        <f>'Financial Modeling'!AC16</f>
        <v>6750000</v>
      </c>
      <c r="AB6" s="236">
        <f>'Financial Modeling'!AD16</f>
        <v>6750000</v>
      </c>
      <c r="AC6" s="236">
        <f>'Financial Modeling'!AE16</f>
        <v>6750000</v>
      </c>
      <c r="AD6" s="236">
        <f>'Financial Modeling'!AF16</f>
        <v>6750000</v>
      </c>
      <c r="AE6" s="236">
        <f>'Financial Modeling'!AG16</f>
        <v>6750000</v>
      </c>
      <c r="AF6" s="236">
        <f>'Financial Modeling'!AH16</f>
        <v>6750000</v>
      </c>
      <c r="AG6" s="236">
        <f>'Financial Modeling'!AI16</f>
        <v>5500000</v>
      </c>
      <c r="AH6" s="236">
        <f>'Financial Modeling'!AJ16</f>
        <v>5500000</v>
      </c>
      <c r="AI6" s="236">
        <f>'Financial Modeling'!AK16</f>
        <v>5500000</v>
      </c>
      <c r="AJ6" s="236">
        <f>'Financial Modeling'!AL16</f>
        <v>5500000</v>
      </c>
      <c r="AK6" s="236">
        <f>'Financial Modeling'!AM16</f>
        <v>5500000</v>
      </c>
      <c r="AL6" s="236">
        <f>'Financial Modeling'!AN16</f>
        <v>5500000</v>
      </c>
      <c r="AM6" s="236">
        <f>'Financial Modeling'!AO16</f>
        <v>5500000</v>
      </c>
      <c r="AN6" s="236">
        <f>'Financial Modeling'!AP16</f>
        <v>5500000</v>
      </c>
      <c r="AO6" s="236">
        <f>'Financial Modeling'!AQ16</f>
        <v>5500000</v>
      </c>
      <c r="AP6" s="236">
        <f>'Financial Modeling'!AR16</f>
        <v>5500000</v>
      </c>
      <c r="AQ6" s="236">
        <f>'Financial Modeling'!AS16</f>
        <v>5500000</v>
      </c>
      <c r="AR6" s="236">
        <f>'Financial Modeling'!AT16</f>
        <v>5500000</v>
      </c>
      <c r="AS6" s="236">
        <f>'Financial Modeling'!AU16</f>
        <v>5500000</v>
      </c>
      <c r="AT6" s="236">
        <f>'Financial Modeling'!AV16</f>
        <v>5500000</v>
      </c>
      <c r="AU6" s="236">
        <f>'Financial Modeling'!AW16</f>
        <v>5500000</v>
      </c>
      <c r="AV6" s="236">
        <f>'Financial Modeling'!AX16</f>
        <v>5500000</v>
      </c>
      <c r="AW6" s="236">
        <f>'Financial Modeling'!AY16</f>
        <v>5500000</v>
      </c>
      <c r="AX6" s="236">
        <f>'Financial Modeling'!AZ16</f>
        <v>5500000</v>
      </c>
      <c r="AY6" s="236">
        <f>'Financial Modeling'!BA16</f>
        <v>5500000</v>
      </c>
      <c r="AZ6" s="236">
        <f>'Financial Modeling'!BB16</f>
        <v>5500000</v>
      </c>
      <c r="BA6" s="236">
        <f>'Financial Modeling'!BC16</f>
        <v>0</v>
      </c>
      <c r="BB6" s="236">
        <f>'Financial Modeling'!BD16</f>
        <v>0</v>
      </c>
      <c r="BC6" s="236">
        <f>'Financial Modeling'!BE16</f>
        <v>0</v>
      </c>
      <c r="BD6" s="236">
        <f>'Financial Modeling'!BF16</f>
        <v>0</v>
      </c>
      <c r="BE6" s="236">
        <f>'Financial Modeling'!BG16</f>
        <v>0</v>
      </c>
      <c r="BF6" s="236">
        <f>'Financial Modeling'!BH16</f>
        <v>0</v>
      </c>
      <c r="BG6" s="236">
        <f>'Financial Modeling'!BI16</f>
        <v>0</v>
      </c>
      <c r="BH6" s="236">
        <f>'Financial Modeling'!BJ16</f>
        <v>0</v>
      </c>
      <c r="BI6" s="236">
        <f>'Financial Modeling'!BK16</f>
        <v>0</v>
      </c>
      <c r="BJ6" s="236">
        <f>'Financial Modeling'!BL16</f>
        <v>0</v>
      </c>
      <c r="BK6" s="236">
        <f>'Financial Modeling'!BM16</f>
        <v>0</v>
      </c>
      <c r="BL6" s="236">
        <f>'Financial Modeling'!BN16</f>
        <v>0</v>
      </c>
      <c r="BM6" s="236">
        <f>'Financial Modeling'!BO16</f>
        <v>0</v>
      </c>
      <c r="BN6" s="236">
        <f>'Financial Modeling'!BP16</f>
        <v>0</v>
      </c>
      <c r="BO6" s="236">
        <f>'Financial Modeling'!BQ16</f>
        <v>0</v>
      </c>
      <c r="BP6" s="236">
        <f>'Financial Modeling'!BR16</f>
        <v>0</v>
      </c>
      <c r="BQ6" s="236">
        <f>'Financial Modeling'!BS16</f>
        <v>0</v>
      </c>
      <c r="BR6" s="236">
        <f>'Financial Modeling'!BT16</f>
        <v>0</v>
      </c>
      <c r="BS6" s="236">
        <f>'Financial Modeling'!BU16</f>
        <v>0</v>
      </c>
      <c r="BT6" s="236">
        <f>'Financial Modeling'!BV16</f>
        <v>0</v>
      </c>
      <c r="BU6" s="236">
        <f>'Financial Modeling'!BW16</f>
        <v>0</v>
      </c>
      <c r="BV6" s="236">
        <f>'Financial Modeling'!BX16</f>
        <v>0</v>
      </c>
      <c r="BW6" s="236">
        <f>'Financial Modeling'!BY16</f>
        <v>0</v>
      </c>
      <c r="BX6" s="236">
        <f>'Financial Modeling'!BZ16</f>
        <v>0</v>
      </c>
      <c r="BY6" s="236">
        <f>'Financial Modeling'!CA16</f>
        <v>0</v>
      </c>
      <c r="BZ6" s="236">
        <f>'Financial Modeling'!CB16</f>
        <v>0</v>
      </c>
      <c r="CA6" s="236">
        <f>'Financial Modeling'!CC16</f>
        <v>0</v>
      </c>
      <c r="CB6" s="236">
        <f>'Financial Modeling'!CD16</f>
        <v>0</v>
      </c>
      <c r="CC6" s="236">
        <f>'Financial Modeling'!CE16</f>
        <v>0</v>
      </c>
      <c r="CD6" s="236">
        <f>'Financial Modeling'!CF16</f>
        <v>0</v>
      </c>
      <c r="CE6" s="236">
        <f>'Financial Modeling'!CG16</f>
        <v>0</v>
      </c>
      <c r="CF6" s="236">
        <f>'Financial Modeling'!CH16</f>
        <v>0</v>
      </c>
      <c r="CG6" s="236">
        <f>'Financial Modeling'!CI16</f>
        <v>0</v>
      </c>
      <c r="CH6" s="236">
        <f>'Financial Modeling'!CJ16</f>
        <v>0</v>
      </c>
      <c r="CI6" s="236">
        <f>'Financial Modeling'!CK16</f>
        <v>0</v>
      </c>
      <c r="CJ6" s="236">
        <f>'Financial Modeling'!CL16</f>
        <v>0</v>
      </c>
      <c r="CK6" s="236">
        <f>'Financial Modeling'!CM16</f>
        <v>0</v>
      </c>
      <c r="CL6" s="236">
        <f>'Financial Modeling'!CN16</f>
        <v>0</v>
      </c>
      <c r="CM6" s="236">
        <f>'Financial Modeling'!CO16</f>
        <v>0</v>
      </c>
      <c r="CN6" s="236">
        <f>'Financial Modeling'!CP16</f>
        <v>0</v>
      </c>
      <c r="CO6" s="236">
        <f>'Financial Modeling'!CQ16</f>
        <v>0</v>
      </c>
      <c r="CP6" s="236">
        <f>'Financial Modeling'!CR16</f>
        <v>0</v>
      </c>
      <c r="CQ6" s="236">
        <f>'Financial Modeling'!CS16</f>
        <v>0</v>
      </c>
      <c r="CR6" s="236">
        <f>'Financial Modeling'!CT16</f>
        <v>0</v>
      </c>
      <c r="CS6" s="236">
        <f>'Financial Modeling'!CU16</f>
        <v>0</v>
      </c>
      <c r="CT6" s="236">
        <f>'Financial Modeling'!CV16</f>
        <v>0</v>
      </c>
      <c r="CU6" s="236">
        <f>'Financial Modeling'!CW16</f>
        <v>0</v>
      </c>
      <c r="CV6" s="236">
        <f>'Financial Modeling'!CX16</f>
        <v>0</v>
      </c>
      <c r="CW6" s="236">
        <f>'Financial Modeling'!CY16</f>
        <v>0</v>
      </c>
    </row>
    <row r="7" spans="1:101" ht="12.75" customHeight="1" x14ac:dyDescent="0.2">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c r="CC7" s="221"/>
      <c r="CD7" s="221"/>
      <c r="CE7" s="221"/>
      <c r="CF7" s="221"/>
      <c r="CG7" s="221"/>
      <c r="CH7" s="221"/>
      <c r="CI7" s="221"/>
      <c r="CJ7" s="221"/>
      <c r="CK7" s="221"/>
      <c r="CL7" s="221"/>
      <c r="CM7" s="221"/>
      <c r="CN7" s="221"/>
      <c r="CO7" s="221"/>
      <c r="CP7" s="221"/>
      <c r="CQ7" s="221"/>
      <c r="CR7" s="221"/>
      <c r="CS7" s="221"/>
      <c r="CT7" s="221"/>
      <c r="CU7" s="221"/>
      <c r="CV7" s="221"/>
      <c r="CW7" s="221"/>
    </row>
    <row r="8" spans="1:101" ht="12.75" customHeight="1" x14ac:dyDescent="0.2">
      <c r="A8" s="221" t="s">
        <v>178</v>
      </c>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row>
    <row r="9" spans="1:101" ht="12.75" customHeight="1" x14ac:dyDescent="0.2">
      <c r="A9" s="221" t="s">
        <v>100</v>
      </c>
      <c r="B9" s="236">
        <f>B2</f>
        <v>0</v>
      </c>
      <c r="C9" s="236">
        <f t="shared" ref="C9:CW9" si="1">B9+C2</f>
        <v>0</v>
      </c>
      <c r="D9" s="236">
        <f t="shared" si="1"/>
        <v>0</v>
      </c>
      <c r="E9" s="236">
        <f t="shared" si="1"/>
        <v>0</v>
      </c>
      <c r="F9" s="236">
        <f t="shared" si="1"/>
        <v>0</v>
      </c>
      <c r="G9" s="236">
        <f t="shared" si="1"/>
        <v>0</v>
      </c>
      <c r="H9" s="236">
        <f t="shared" si="1"/>
        <v>8542537.3457316849</v>
      </c>
      <c r="I9" s="236">
        <f t="shared" si="1"/>
        <v>17299392.419005156</v>
      </c>
      <c r="J9" s="236">
        <f t="shared" si="1"/>
        <v>26275943.507900558</v>
      </c>
      <c r="K9" s="236">
        <f t="shared" si="1"/>
        <v>35477704.00000681</v>
      </c>
      <c r="L9" s="236">
        <f t="shared" si="1"/>
        <v>44910325.792917855</v>
      </c>
      <c r="M9" s="236">
        <f t="shared" si="1"/>
        <v>54579602.793122649</v>
      </c>
      <c r="N9" s="236">
        <f t="shared" si="1"/>
        <v>64491474.505894043</v>
      </c>
      <c r="O9" s="236">
        <f t="shared" si="1"/>
        <v>74652029.718900934</v>
      </c>
      <c r="P9" s="236">
        <f t="shared" si="1"/>
        <v>85067510.282396689</v>
      </c>
      <c r="Q9" s="236">
        <f t="shared" si="1"/>
        <v>95744314.988977879</v>
      </c>
      <c r="R9" s="236">
        <f t="shared" si="1"/>
        <v>106689003.55606095</v>
      </c>
      <c r="S9" s="236">
        <f t="shared" si="1"/>
        <v>117908300.71439292</v>
      </c>
      <c r="T9" s="236">
        <f t="shared" si="1"/>
        <v>129409100.40609714</v>
      </c>
      <c r="U9" s="236">
        <f t="shared" si="1"/>
        <v>141198470.09595913</v>
      </c>
      <c r="V9" s="236">
        <f t="shared" si="1"/>
        <v>153283655.19988167</v>
      </c>
      <c r="W9" s="236">
        <f t="shared" si="1"/>
        <v>165672083.63468772</v>
      </c>
      <c r="X9" s="236">
        <f t="shared" si="1"/>
        <v>178371370.49372426</v>
      </c>
      <c r="Y9" s="236">
        <f t="shared" si="1"/>
        <v>191389322.8530269</v>
      </c>
      <c r="Z9" s="236">
        <f t="shared" si="1"/>
        <v>204733815.65507659</v>
      </c>
      <c r="AA9" s="236">
        <f t="shared" si="1"/>
        <v>218345070.30731431</v>
      </c>
      <c r="AB9" s="236">
        <f t="shared" si="1"/>
        <v>232228422.06778812</v>
      </c>
      <c r="AC9" s="236">
        <f t="shared" si="1"/>
        <v>246389312.90012798</v>
      </c>
      <c r="AD9" s="236">
        <f t="shared" si="1"/>
        <v>260833293.60766566</v>
      </c>
      <c r="AE9" s="236">
        <f t="shared" si="1"/>
        <v>275566026.01023751</v>
      </c>
      <c r="AF9" s="236">
        <f t="shared" si="1"/>
        <v>290593285.1645233</v>
      </c>
      <c r="AG9" s="236">
        <f t="shared" si="1"/>
        <v>305920961.62879193</v>
      </c>
      <c r="AH9" s="236">
        <f t="shared" si="1"/>
        <v>321555063.7729423</v>
      </c>
      <c r="AI9" s="236">
        <f t="shared" si="1"/>
        <v>337501720.13474536</v>
      </c>
      <c r="AJ9" s="236">
        <f t="shared" si="1"/>
        <v>353767181.82321095</v>
      </c>
      <c r="AK9" s="236">
        <f t="shared" si="1"/>
        <v>370357824.9700222</v>
      </c>
      <c r="AL9" s="236">
        <f t="shared" si="1"/>
        <v>387280153.22999895</v>
      </c>
      <c r="AM9" s="236">
        <f t="shared" si="1"/>
        <v>404540800.33157045</v>
      </c>
      <c r="AN9" s="236">
        <f t="shared" si="1"/>
        <v>422146532.67825782</v>
      </c>
      <c r="AO9" s="236">
        <f t="shared" si="1"/>
        <v>440104252.00218648</v>
      </c>
      <c r="AP9" s="236">
        <f t="shared" si="1"/>
        <v>458420998.07066876</v>
      </c>
      <c r="AQ9" s="236">
        <f t="shared" si="1"/>
        <v>477103951.44691861</v>
      </c>
      <c r="AR9" s="236">
        <f t="shared" si="1"/>
        <v>496160436.30598068</v>
      </c>
      <c r="AS9" s="236">
        <f t="shared" si="1"/>
        <v>515597923.3069784</v>
      </c>
      <c r="AT9" s="236">
        <f t="shared" si="1"/>
        <v>535424032.52280688</v>
      </c>
      <c r="AU9" s="236">
        <f t="shared" si="1"/>
        <v>555646536.42842031</v>
      </c>
      <c r="AV9" s="236">
        <f t="shared" si="1"/>
        <v>576273362.9488852</v>
      </c>
      <c r="AW9" s="236">
        <f t="shared" si="1"/>
        <v>597312598.56839466</v>
      </c>
      <c r="AX9" s="236">
        <f t="shared" si="1"/>
        <v>618772491.50146365</v>
      </c>
      <c r="AY9" s="236">
        <f t="shared" si="1"/>
        <v>640661454.92754817</v>
      </c>
      <c r="AZ9" s="236">
        <f t="shared" si="1"/>
        <v>662988070.29035699</v>
      </c>
      <c r="BA9" s="236">
        <f t="shared" si="1"/>
        <v>685761090.66314995</v>
      </c>
      <c r="BB9" s="236">
        <f t="shared" si="1"/>
        <v>708989444.18134272</v>
      </c>
      <c r="BC9" s="236">
        <f t="shared" si="1"/>
        <v>732682237.54376352</v>
      </c>
      <c r="BD9" s="236">
        <f t="shared" si="1"/>
        <v>756848759.5839355</v>
      </c>
      <c r="BE9" s="236">
        <f t="shared" si="1"/>
        <v>781498484.91278517</v>
      </c>
      <c r="BF9" s="236">
        <f t="shared" si="1"/>
        <v>806641077.63420486</v>
      </c>
      <c r="BG9" s="236">
        <f t="shared" si="1"/>
        <v>832286395.13492739</v>
      </c>
      <c r="BH9" s="236">
        <f t="shared" si="1"/>
        <v>858444491.95019746</v>
      </c>
      <c r="BI9" s="236">
        <f t="shared" si="1"/>
        <v>885125623.70675814</v>
      </c>
      <c r="BJ9" s="236">
        <f t="shared" si="1"/>
        <v>912340251.14469635</v>
      </c>
      <c r="BK9" s="236">
        <f t="shared" si="1"/>
        <v>940099044.21972597</v>
      </c>
      <c r="BL9" s="236">
        <f t="shared" si="1"/>
        <v>968412886.28751671</v>
      </c>
      <c r="BM9" s="236">
        <f t="shared" si="1"/>
        <v>997292878.37171042</v>
      </c>
      <c r="BN9" s="236">
        <f t="shared" si="1"/>
        <v>1026750343.5172975</v>
      </c>
      <c r="BO9" s="236">
        <f t="shared" si="1"/>
        <v>1056796831.2310615</v>
      </c>
      <c r="BP9" s="236">
        <f t="shared" si="1"/>
        <v>1087444122.0108323</v>
      </c>
      <c r="BQ9" s="236">
        <f t="shared" si="1"/>
        <v>1118704231.9653263</v>
      </c>
      <c r="BR9" s="236">
        <f t="shared" si="1"/>
        <v>1150589417.526382</v>
      </c>
      <c r="BS9" s="236">
        <f t="shared" si="1"/>
        <v>1183112180.2554412</v>
      </c>
      <c r="BT9" s="236">
        <f t="shared" si="1"/>
        <v>1216285271.746161</v>
      </c>
      <c r="BU9" s="236">
        <f t="shared" si="1"/>
        <v>1250121698.6250777</v>
      </c>
      <c r="BV9" s="236">
        <f t="shared" si="1"/>
        <v>1284634727.6522841</v>
      </c>
      <c r="BW9" s="236">
        <f t="shared" si="1"/>
        <v>1319837890.9241216</v>
      </c>
      <c r="BX9" s="236">
        <f t="shared" si="1"/>
        <v>1355744991.1799262</v>
      </c>
      <c r="BY9" s="236">
        <f t="shared" si="1"/>
        <v>1392370107.2149088</v>
      </c>
      <c r="BZ9" s="236">
        <f t="shared" si="1"/>
        <v>1429727599.4012959</v>
      </c>
      <c r="CA9" s="236">
        <f t="shared" si="1"/>
        <v>1467832115.319891</v>
      </c>
      <c r="CB9" s="236">
        <f t="shared" si="1"/>
        <v>1506698595.5042691</v>
      </c>
      <c r="CC9" s="236">
        <f t="shared" si="1"/>
        <v>1546342279.2998555</v>
      </c>
      <c r="CD9" s="236">
        <f t="shared" si="1"/>
        <v>1586778710.8401861</v>
      </c>
      <c r="CE9" s="236">
        <f t="shared" si="1"/>
        <v>1628023745.142694</v>
      </c>
      <c r="CF9" s="236">
        <f t="shared" si="1"/>
        <v>1670093554.3264112</v>
      </c>
      <c r="CG9" s="236">
        <f t="shared" si="1"/>
        <v>1713004633.9540267</v>
      </c>
      <c r="CH9" s="236">
        <f t="shared" si="1"/>
        <v>1756773809.5007842</v>
      </c>
      <c r="CI9" s="236">
        <f t="shared" si="1"/>
        <v>1801418242.9527597</v>
      </c>
      <c r="CJ9" s="236">
        <f t="shared" si="1"/>
        <v>1846955439.5371048</v>
      </c>
      <c r="CK9" s="236">
        <f t="shared" si="1"/>
        <v>1893403254.5868948</v>
      </c>
      <c r="CL9" s="236">
        <f t="shared" si="1"/>
        <v>1940779900.5432749</v>
      </c>
      <c r="CM9" s="236">
        <f t="shared" si="1"/>
        <v>1989103954.0976503</v>
      </c>
      <c r="CN9" s="236">
        <f t="shared" si="1"/>
        <v>2038394363.4767196</v>
      </c>
      <c r="CO9" s="236">
        <f t="shared" si="1"/>
        <v>2088670455.8732102</v>
      </c>
      <c r="CP9" s="236">
        <f t="shared" si="1"/>
        <v>2139951945.0252285</v>
      </c>
      <c r="CQ9" s="236">
        <f t="shared" si="1"/>
        <v>2192258938.9471989</v>
      </c>
      <c r="CR9" s="236">
        <f t="shared" si="1"/>
        <v>2245611947.8154192</v>
      </c>
      <c r="CS9" s="236">
        <f t="shared" si="1"/>
        <v>2300031892.0113325</v>
      </c>
      <c r="CT9" s="236">
        <f t="shared" si="1"/>
        <v>2355540110.3256607</v>
      </c>
      <c r="CU9" s="236">
        <f t="shared" si="1"/>
        <v>2412158368.3266234</v>
      </c>
      <c r="CV9" s="236">
        <f t="shared" si="1"/>
        <v>2469908866.8955216</v>
      </c>
      <c r="CW9" s="236">
        <f t="shared" si="1"/>
        <v>2528814250.9330335</v>
      </c>
    </row>
    <row r="10" spans="1:101" ht="12.75" customHeight="1" x14ac:dyDescent="0.2">
      <c r="A10" s="221" t="s">
        <v>176</v>
      </c>
      <c r="B10" s="236">
        <f t="shared" ref="B10:B11" si="2">B5</f>
        <v>83158684.291249871</v>
      </c>
      <c r="C10" s="236">
        <f t="shared" ref="C10:CW10" si="3">B10+C5</f>
        <v>85986079.557152361</v>
      </c>
      <c r="D10" s="236">
        <f t="shared" si="3"/>
        <v>88870022.728372902</v>
      </c>
      <c r="E10" s="236">
        <f t="shared" si="3"/>
        <v>91811644.763017863</v>
      </c>
      <c r="F10" s="236">
        <f t="shared" si="3"/>
        <v>94812099.238355726</v>
      </c>
      <c r="G10" s="236">
        <f t="shared" si="3"/>
        <v>97872562.803200334</v>
      </c>
      <c r="H10" s="236">
        <f t="shared" si="3"/>
        <v>100994235.63934185</v>
      </c>
      <c r="I10" s="236">
        <f t="shared" si="3"/>
        <v>104178341.93220618</v>
      </c>
      <c r="J10" s="236">
        <f t="shared" si="3"/>
        <v>107426130.3509278</v>
      </c>
      <c r="K10" s="236">
        <f t="shared" si="3"/>
        <v>110738874.53802386</v>
      </c>
      <c r="L10" s="236">
        <f t="shared" si="3"/>
        <v>114117873.60886183</v>
      </c>
      <c r="M10" s="236">
        <f t="shared" si="3"/>
        <v>117564452.66111657</v>
      </c>
      <c r="N10" s="236">
        <f t="shared" si="3"/>
        <v>121079963.2944164</v>
      </c>
      <c r="O10" s="236">
        <f t="shared" si="3"/>
        <v>124665784.14038223</v>
      </c>
      <c r="P10" s="236">
        <f t="shared" si="3"/>
        <v>128323321.40326737</v>
      </c>
      <c r="Q10" s="236">
        <f t="shared" si="3"/>
        <v>132054009.41141021</v>
      </c>
      <c r="R10" s="236">
        <f t="shared" si="3"/>
        <v>135859311.1797159</v>
      </c>
      <c r="S10" s="236">
        <f t="shared" si="3"/>
        <v>139740718.98338771</v>
      </c>
      <c r="T10" s="236">
        <f t="shared" si="3"/>
        <v>143699754.94313297</v>
      </c>
      <c r="U10" s="236">
        <f t="shared" si="3"/>
        <v>147737971.62207311</v>
      </c>
      <c r="V10" s="236">
        <f t="shared" si="3"/>
        <v>151856952.63459209</v>
      </c>
      <c r="W10" s="236">
        <f t="shared" si="3"/>
        <v>156058313.26736143</v>
      </c>
      <c r="X10" s="236">
        <f t="shared" si="3"/>
        <v>160343701.11278617</v>
      </c>
      <c r="Y10" s="236">
        <f t="shared" si="3"/>
        <v>164714796.71511939</v>
      </c>
      <c r="Z10" s="236">
        <f t="shared" si="3"/>
        <v>169173314.22949928</v>
      </c>
      <c r="AA10" s="236">
        <f t="shared" si="3"/>
        <v>173721002.09416676</v>
      </c>
      <c r="AB10" s="236">
        <f t="shared" si="3"/>
        <v>178359643.71612757</v>
      </c>
      <c r="AC10" s="236">
        <f t="shared" si="3"/>
        <v>183091058.17052764</v>
      </c>
      <c r="AD10" s="236">
        <f t="shared" si="3"/>
        <v>187917100.91401568</v>
      </c>
      <c r="AE10" s="236">
        <f t="shared" si="3"/>
        <v>192839664.51237351</v>
      </c>
      <c r="AF10" s="236">
        <f t="shared" si="3"/>
        <v>197860679.38269848</v>
      </c>
      <c r="AG10" s="236">
        <f t="shared" si="3"/>
        <v>202982114.55042994</v>
      </c>
      <c r="AH10" s="236">
        <f t="shared" si="3"/>
        <v>208205978.42151603</v>
      </c>
      <c r="AI10" s="236">
        <f t="shared" si="3"/>
        <v>213534319.57002386</v>
      </c>
      <c r="AJ10" s="236">
        <f t="shared" si="3"/>
        <v>218969227.54150185</v>
      </c>
      <c r="AK10" s="236">
        <f t="shared" si="3"/>
        <v>224512833.67240939</v>
      </c>
      <c r="AL10" s="236">
        <f t="shared" si="3"/>
        <v>230167311.92593506</v>
      </c>
      <c r="AM10" s="236">
        <f t="shared" si="3"/>
        <v>235934879.74453127</v>
      </c>
      <c r="AN10" s="236">
        <f t="shared" si="3"/>
        <v>241817798.9194994</v>
      </c>
      <c r="AO10" s="236">
        <f t="shared" si="3"/>
        <v>247818376.47796687</v>
      </c>
      <c r="AP10" s="236">
        <f t="shared" si="3"/>
        <v>253938965.58760372</v>
      </c>
      <c r="AQ10" s="236">
        <f t="shared" si="3"/>
        <v>260181966.4794333</v>
      </c>
      <c r="AR10" s="236">
        <f t="shared" si="3"/>
        <v>266549827.38909945</v>
      </c>
      <c r="AS10" s="236">
        <f t="shared" si="3"/>
        <v>273045045.51695895</v>
      </c>
      <c r="AT10" s="236">
        <f t="shared" si="3"/>
        <v>279670168.00737566</v>
      </c>
      <c r="AU10" s="236">
        <f t="shared" si="3"/>
        <v>286427792.94760066</v>
      </c>
      <c r="AV10" s="236">
        <f t="shared" si="3"/>
        <v>293320570.38663018</v>
      </c>
      <c r="AW10" s="236">
        <f t="shared" si="3"/>
        <v>300351203.37444025</v>
      </c>
      <c r="AX10" s="236">
        <f t="shared" si="3"/>
        <v>307522449.02200657</v>
      </c>
      <c r="AY10" s="236">
        <f t="shared" si="3"/>
        <v>314837119.58252418</v>
      </c>
      <c r="AZ10" s="236">
        <f t="shared" si="3"/>
        <v>322298083.55425215</v>
      </c>
      <c r="BA10" s="236">
        <f t="shared" si="3"/>
        <v>329908266.80541468</v>
      </c>
      <c r="BB10" s="236">
        <f t="shared" si="3"/>
        <v>337670653.72160047</v>
      </c>
      <c r="BC10" s="236">
        <f t="shared" si="3"/>
        <v>345588288.37610996</v>
      </c>
      <c r="BD10" s="236">
        <f t="shared" si="3"/>
        <v>353664275.72370964</v>
      </c>
      <c r="BE10" s="236">
        <f t="shared" si="3"/>
        <v>361901782.81826133</v>
      </c>
      <c r="BF10" s="236">
        <f t="shared" si="3"/>
        <v>370304040.05470407</v>
      </c>
      <c r="BG10" s="236">
        <f t="shared" si="3"/>
        <v>378874342.43587565</v>
      </c>
      <c r="BH10" s="236">
        <f t="shared" si="3"/>
        <v>387616050.86467063</v>
      </c>
      <c r="BI10" s="236">
        <f t="shared" si="3"/>
        <v>396532593.46204156</v>
      </c>
      <c r="BJ10" s="236">
        <f t="shared" si="3"/>
        <v>405627466.91135991</v>
      </c>
      <c r="BK10" s="236">
        <f t="shared" si="3"/>
        <v>414904237.82966459</v>
      </c>
      <c r="BL10" s="236">
        <f t="shared" si="3"/>
        <v>424366544.1663354</v>
      </c>
      <c r="BM10" s="236">
        <f t="shared" si="3"/>
        <v>434018096.62973958</v>
      </c>
      <c r="BN10" s="236">
        <f t="shared" si="3"/>
        <v>443862680.14241189</v>
      </c>
      <c r="BO10" s="236">
        <f t="shared" si="3"/>
        <v>453904155.32533765</v>
      </c>
      <c r="BP10" s="236">
        <f t="shared" si="3"/>
        <v>464146460.01192188</v>
      </c>
      <c r="BQ10" s="236">
        <f t="shared" si="3"/>
        <v>474593610.79223782</v>
      </c>
      <c r="BR10" s="236">
        <f t="shared" si="3"/>
        <v>485249704.5881601</v>
      </c>
      <c r="BS10" s="236">
        <f t="shared" si="3"/>
        <v>496118920.26000082</v>
      </c>
      <c r="BT10" s="236">
        <f t="shared" si="3"/>
        <v>507205520.24527836</v>
      </c>
      <c r="BU10" s="236">
        <f t="shared" si="3"/>
        <v>518513852.23026145</v>
      </c>
      <c r="BV10" s="236">
        <f t="shared" si="3"/>
        <v>530048350.85494417</v>
      </c>
      <c r="BW10" s="236">
        <f t="shared" si="3"/>
        <v>541813539.45212054</v>
      </c>
      <c r="BX10" s="236">
        <f t="shared" si="3"/>
        <v>553814031.82124043</v>
      </c>
      <c r="BY10" s="236">
        <f t="shared" si="3"/>
        <v>566054534.03774273</v>
      </c>
      <c r="BZ10" s="236">
        <f t="shared" si="3"/>
        <v>578539846.29857504</v>
      </c>
      <c r="CA10" s="236">
        <f t="shared" si="3"/>
        <v>591274864.80462408</v>
      </c>
      <c r="CB10" s="236">
        <f t="shared" si="3"/>
        <v>604264583.680794</v>
      </c>
      <c r="CC10" s="236">
        <f t="shared" si="3"/>
        <v>617514096.93448734</v>
      </c>
      <c r="CD10" s="236">
        <f t="shared" si="3"/>
        <v>631028600.45325458</v>
      </c>
      <c r="CE10" s="236">
        <f t="shared" si="3"/>
        <v>644813394.04239714</v>
      </c>
      <c r="CF10" s="236">
        <f t="shared" si="3"/>
        <v>658873883.5033226</v>
      </c>
      <c r="CG10" s="236">
        <f t="shared" si="3"/>
        <v>673215582.75346661</v>
      </c>
      <c r="CH10" s="236">
        <f t="shared" si="3"/>
        <v>687844115.98861349</v>
      </c>
      <c r="CI10" s="236">
        <f t="shared" si="3"/>
        <v>702765219.88846326</v>
      </c>
      <c r="CJ10" s="236">
        <f t="shared" si="3"/>
        <v>717984745.86631</v>
      </c>
      <c r="CK10" s="236">
        <f t="shared" si="3"/>
        <v>733508662.36371374</v>
      </c>
      <c r="CL10" s="236">
        <f t="shared" si="3"/>
        <v>749343057.19106555</v>
      </c>
      <c r="CM10" s="236">
        <f t="shared" si="3"/>
        <v>765494139.91496432</v>
      </c>
      <c r="CN10" s="236">
        <f t="shared" si="3"/>
        <v>781968244.29334104</v>
      </c>
      <c r="CO10" s="236">
        <f t="shared" si="3"/>
        <v>798771830.75928533</v>
      </c>
      <c r="CP10" s="236">
        <f t="shared" si="3"/>
        <v>815911488.95454848</v>
      </c>
      <c r="CQ10" s="236">
        <f t="shared" si="3"/>
        <v>833393940.31371689</v>
      </c>
      <c r="CR10" s="236">
        <f t="shared" si="3"/>
        <v>851226040.70006871</v>
      </c>
      <c r="CS10" s="236">
        <f t="shared" si="3"/>
        <v>869414783.09414756</v>
      </c>
      <c r="CT10" s="236">
        <f t="shared" si="3"/>
        <v>887967300.33610797</v>
      </c>
      <c r="CU10" s="236">
        <f t="shared" si="3"/>
        <v>906890867.92290759</v>
      </c>
      <c r="CV10" s="236">
        <f t="shared" si="3"/>
        <v>926192906.86144328</v>
      </c>
      <c r="CW10" s="236">
        <f t="shared" si="3"/>
        <v>945880986.57874966</v>
      </c>
    </row>
    <row r="11" spans="1:101" ht="12.75" customHeight="1" x14ac:dyDescent="0.2">
      <c r="A11" s="221" t="s">
        <v>177</v>
      </c>
      <c r="B11" s="236">
        <f t="shared" si="2"/>
        <v>0</v>
      </c>
      <c r="C11" s="236">
        <f t="shared" ref="C11:CW11" si="4">B11+C6</f>
        <v>6000000</v>
      </c>
      <c r="D11" s="236">
        <f t="shared" si="4"/>
        <v>12000000</v>
      </c>
      <c r="E11" s="236">
        <f t="shared" si="4"/>
        <v>18000000</v>
      </c>
      <c r="F11" s="236">
        <f t="shared" si="4"/>
        <v>24000000</v>
      </c>
      <c r="G11" s="236">
        <f t="shared" si="4"/>
        <v>30000000</v>
      </c>
      <c r="H11" s="236">
        <f t="shared" si="4"/>
        <v>36750000</v>
      </c>
      <c r="I11" s="236">
        <f t="shared" si="4"/>
        <v>43500000</v>
      </c>
      <c r="J11" s="236">
        <f t="shared" si="4"/>
        <v>50250000</v>
      </c>
      <c r="K11" s="236">
        <f t="shared" si="4"/>
        <v>57000000</v>
      </c>
      <c r="L11" s="236">
        <f t="shared" si="4"/>
        <v>63750000</v>
      </c>
      <c r="M11" s="236">
        <f t="shared" si="4"/>
        <v>70500000</v>
      </c>
      <c r="N11" s="236">
        <f t="shared" si="4"/>
        <v>77250000</v>
      </c>
      <c r="O11" s="236">
        <f t="shared" si="4"/>
        <v>84000000</v>
      </c>
      <c r="P11" s="236">
        <f t="shared" si="4"/>
        <v>90750000</v>
      </c>
      <c r="Q11" s="236">
        <f t="shared" si="4"/>
        <v>97500000</v>
      </c>
      <c r="R11" s="236">
        <f t="shared" si="4"/>
        <v>104250000</v>
      </c>
      <c r="S11" s="236">
        <f t="shared" si="4"/>
        <v>111000000</v>
      </c>
      <c r="T11" s="236">
        <f t="shared" si="4"/>
        <v>117750000</v>
      </c>
      <c r="U11" s="236">
        <f t="shared" si="4"/>
        <v>124500000</v>
      </c>
      <c r="V11" s="236">
        <f t="shared" si="4"/>
        <v>131250000</v>
      </c>
      <c r="W11" s="236">
        <f t="shared" si="4"/>
        <v>138000000</v>
      </c>
      <c r="X11" s="236">
        <f t="shared" si="4"/>
        <v>144750000</v>
      </c>
      <c r="Y11" s="236">
        <f t="shared" si="4"/>
        <v>151500000</v>
      </c>
      <c r="Z11" s="236">
        <f t="shared" si="4"/>
        <v>158250000</v>
      </c>
      <c r="AA11" s="236">
        <f t="shared" si="4"/>
        <v>165000000</v>
      </c>
      <c r="AB11" s="236">
        <f t="shared" si="4"/>
        <v>171750000</v>
      </c>
      <c r="AC11" s="236">
        <f t="shared" si="4"/>
        <v>178500000</v>
      </c>
      <c r="AD11" s="236">
        <f t="shared" si="4"/>
        <v>185250000</v>
      </c>
      <c r="AE11" s="236">
        <f t="shared" si="4"/>
        <v>192000000</v>
      </c>
      <c r="AF11" s="236">
        <f t="shared" si="4"/>
        <v>198750000</v>
      </c>
      <c r="AG11" s="236">
        <f t="shared" si="4"/>
        <v>204250000</v>
      </c>
      <c r="AH11" s="236">
        <f t="shared" si="4"/>
        <v>209750000</v>
      </c>
      <c r="AI11" s="236">
        <f t="shared" si="4"/>
        <v>215250000</v>
      </c>
      <c r="AJ11" s="236">
        <f t="shared" si="4"/>
        <v>220750000</v>
      </c>
      <c r="AK11" s="236">
        <f t="shared" si="4"/>
        <v>226250000</v>
      </c>
      <c r="AL11" s="236">
        <f t="shared" si="4"/>
        <v>231750000</v>
      </c>
      <c r="AM11" s="236">
        <f t="shared" si="4"/>
        <v>237250000</v>
      </c>
      <c r="AN11" s="236">
        <f t="shared" si="4"/>
        <v>242750000</v>
      </c>
      <c r="AO11" s="236">
        <f t="shared" si="4"/>
        <v>248250000</v>
      </c>
      <c r="AP11" s="236">
        <f t="shared" si="4"/>
        <v>253750000</v>
      </c>
      <c r="AQ11" s="236">
        <f t="shared" si="4"/>
        <v>259250000</v>
      </c>
      <c r="AR11" s="236">
        <f t="shared" si="4"/>
        <v>264750000</v>
      </c>
      <c r="AS11" s="236">
        <f t="shared" si="4"/>
        <v>270250000</v>
      </c>
      <c r="AT11" s="236">
        <f t="shared" si="4"/>
        <v>275750000</v>
      </c>
      <c r="AU11" s="236">
        <f t="shared" si="4"/>
        <v>281250000</v>
      </c>
      <c r="AV11" s="236">
        <f t="shared" si="4"/>
        <v>286750000</v>
      </c>
      <c r="AW11" s="236">
        <f t="shared" si="4"/>
        <v>292250000</v>
      </c>
      <c r="AX11" s="236">
        <f t="shared" si="4"/>
        <v>297750000</v>
      </c>
      <c r="AY11" s="236">
        <f t="shared" si="4"/>
        <v>303250000</v>
      </c>
      <c r="AZ11" s="236">
        <f t="shared" si="4"/>
        <v>308750000</v>
      </c>
      <c r="BA11" s="236">
        <f t="shared" si="4"/>
        <v>308750000</v>
      </c>
      <c r="BB11" s="236">
        <f t="shared" si="4"/>
        <v>308750000</v>
      </c>
      <c r="BC11" s="236">
        <f t="shared" si="4"/>
        <v>308750000</v>
      </c>
      <c r="BD11" s="236">
        <f t="shared" si="4"/>
        <v>308750000</v>
      </c>
      <c r="BE11" s="236">
        <f t="shared" si="4"/>
        <v>308750000</v>
      </c>
      <c r="BF11" s="236">
        <f t="shared" si="4"/>
        <v>308750000</v>
      </c>
      <c r="BG11" s="236">
        <f t="shared" si="4"/>
        <v>308750000</v>
      </c>
      <c r="BH11" s="236">
        <f t="shared" si="4"/>
        <v>308750000</v>
      </c>
      <c r="BI11" s="236">
        <f t="shared" si="4"/>
        <v>308750000</v>
      </c>
      <c r="BJ11" s="236">
        <f t="shared" si="4"/>
        <v>308750000</v>
      </c>
      <c r="BK11" s="236">
        <f t="shared" si="4"/>
        <v>308750000</v>
      </c>
      <c r="BL11" s="236">
        <f t="shared" si="4"/>
        <v>308750000</v>
      </c>
      <c r="BM11" s="236">
        <f t="shared" si="4"/>
        <v>308750000</v>
      </c>
      <c r="BN11" s="236">
        <f t="shared" si="4"/>
        <v>308750000</v>
      </c>
      <c r="BO11" s="236">
        <f t="shared" si="4"/>
        <v>308750000</v>
      </c>
      <c r="BP11" s="236">
        <f t="shared" si="4"/>
        <v>308750000</v>
      </c>
      <c r="BQ11" s="236">
        <f t="shared" si="4"/>
        <v>308750000</v>
      </c>
      <c r="BR11" s="236">
        <f t="shared" si="4"/>
        <v>308750000</v>
      </c>
      <c r="BS11" s="236">
        <f t="shared" si="4"/>
        <v>308750000</v>
      </c>
      <c r="BT11" s="236">
        <f t="shared" si="4"/>
        <v>308750000</v>
      </c>
      <c r="BU11" s="236">
        <f t="shared" si="4"/>
        <v>308750000</v>
      </c>
      <c r="BV11" s="236">
        <f t="shared" si="4"/>
        <v>308750000</v>
      </c>
      <c r="BW11" s="236">
        <f t="shared" si="4"/>
        <v>308750000</v>
      </c>
      <c r="BX11" s="236">
        <f t="shared" si="4"/>
        <v>308750000</v>
      </c>
      <c r="BY11" s="236">
        <f t="shared" si="4"/>
        <v>308750000</v>
      </c>
      <c r="BZ11" s="236">
        <f t="shared" si="4"/>
        <v>308750000</v>
      </c>
      <c r="CA11" s="236">
        <f t="shared" si="4"/>
        <v>308750000</v>
      </c>
      <c r="CB11" s="236">
        <f t="shared" si="4"/>
        <v>308750000</v>
      </c>
      <c r="CC11" s="236">
        <f t="shared" si="4"/>
        <v>308750000</v>
      </c>
      <c r="CD11" s="236">
        <f t="shared" si="4"/>
        <v>308750000</v>
      </c>
      <c r="CE11" s="236">
        <f t="shared" si="4"/>
        <v>308750000</v>
      </c>
      <c r="CF11" s="236">
        <f t="shared" si="4"/>
        <v>308750000</v>
      </c>
      <c r="CG11" s="236">
        <f t="shared" si="4"/>
        <v>308750000</v>
      </c>
      <c r="CH11" s="236">
        <f t="shared" si="4"/>
        <v>308750000</v>
      </c>
      <c r="CI11" s="236">
        <f t="shared" si="4"/>
        <v>308750000</v>
      </c>
      <c r="CJ11" s="236">
        <f t="shared" si="4"/>
        <v>308750000</v>
      </c>
      <c r="CK11" s="236">
        <f t="shared" si="4"/>
        <v>308750000</v>
      </c>
      <c r="CL11" s="236">
        <f t="shared" si="4"/>
        <v>308750000</v>
      </c>
      <c r="CM11" s="236">
        <f t="shared" si="4"/>
        <v>308750000</v>
      </c>
      <c r="CN11" s="236">
        <f t="shared" si="4"/>
        <v>308750000</v>
      </c>
      <c r="CO11" s="236">
        <f t="shared" si="4"/>
        <v>308750000</v>
      </c>
      <c r="CP11" s="236">
        <f t="shared" si="4"/>
        <v>308750000</v>
      </c>
      <c r="CQ11" s="236">
        <f t="shared" si="4"/>
        <v>308750000</v>
      </c>
      <c r="CR11" s="236">
        <f t="shared" si="4"/>
        <v>308750000</v>
      </c>
      <c r="CS11" s="236">
        <f t="shared" si="4"/>
        <v>308750000</v>
      </c>
      <c r="CT11" s="236">
        <f t="shared" si="4"/>
        <v>308750000</v>
      </c>
      <c r="CU11" s="236">
        <f t="shared" si="4"/>
        <v>308750000</v>
      </c>
      <c r="CV11" s="236">
        <f t="shared" si="4"/>
        <v>308750000</v>
      </c>
      <c r="CW11" s="236">
        <f t="shared" si="4"/>
        <v>308750000</v>
      </c>
    </row>
    <row r="12" spans="1:101" ht="12.75" customHeight="1" x14ac:dyDescent="0.2">
      <c r="A12" s="221" t="s">
        <v>179</v>
      </c>
      <c r="B12" s="236">
        <f t="shared" ref="B12:CW12" si="5">SUM(B10:B11)</f>
        <v>83158684.291249871</v>
      </c>
      <c r="C12" s="236">
        <f t="shared" si="5"/>
        <v>91986079.557152361</v>
      </c>
      <c r="D12" s="236">
        <f t="shared" si="5"/>
        <v>100870022.7283729</v>
      </c>
      <c r="E12" s="236">
        <f t="shared" si="5"/>
        <v>109811644.76301786</v>
      </c>
      <c r="F12" s="236">
        <f t="shared" si="5"/>
        <v>118812099.23835573</v>
      </c>
      <c r="G12" s="236">
        <f t="shared" si="5"/>
        <v>127872562.80320033</v>
      </c>
      <c r="H12" s="236">
        <f t="shared" si="5"/>
        <v>137744235.63934183</v>
      </c>
      <c r="I12" s="236">
        <f t="shared" si="5"/>
        <v>147678341.93220618</v>
      </c>
      <c r="J12" s="236">
        <f t="shared" si="5"/>
        <v>157676130.3509278</v>
      </c>
      <c r="K12" s="236">
        <f t="shared" si="5"/>
        <v>167738874.53802386</v>
      </c>
      <c r="L12" s="236">
        <f t="shared" si="5"/>
        <v>177867873.60886183</v>
      </c>
      <c r="M12" s="236">
        <f t="shared" si="5"/>
        <v>188064452.66111657</v>
      </c>
      <c r="N12" s="236">
        <f t="shared" si="5"/>
        <v>198329963.2944164</v>
      </c>
      <c r="O12" s="236">
        <f t="shared" si="5"/>
        <v>208665784.14038223</v>
      </c>
      <c r="P12" s="236">
        <f t="shared" si="5"/>
        <v>219073321.40326738</v>
      </c>
      <c r="Q12" s="236">
        <f t="shared" si="5"/>
        <v>229554009.41141021</v>
      </c>
      <c r="R12" s="236">
        <f t="shared" si="5"/>
        <v>240109311.1797159</v>
      </c>
      <c r="S12" s="236">
        <f t="shared" si="5"/>
        <v>250740718.98338771</v>
      </c>
      <c r="T12" s="236">
        <f t="shared" si="5"/>
        <v>261449754.94313297</v>
      </c>
      <c r="U12" s="236">
        <f t="shared" si="5"/>
        <v>272237971.62207311</v>
      </c>
      <c r="V12" s="236">
        <f t="shared" si="5"/>
        <v>283106952.63459206</v>
      </c>
      <c r="W12" s="236">
        <f t="shared" si="5"/>
        <v>294058313.2673614</v>
      </c>
      <c r="X12" s="236">
        <f t="shared" si="5"/>
        <v>305093701.11278617</v>
      </c>
      <c r="Y12" s="236">
        <f t="shared" si="5"/>
        <v>316214796.71511936</v>
      </c>
      <c r="Z12" s="236">
        <f t="shared" si="5"/>
        <v>327423314.22949928</v>
      </c>
      <c r="AA12" s="236">
        <f t="shared" si="5"/>
        <v>338721002.09416676</v>
      </c>
      <c r="AB12" s="236">
        <f t="shared" si="5"/>
        <v>350109643.71612757</v>
      </c>
      <c r="AC12" s="236">
        <f t="shared" si="5"/>
        <v>361591058.17052764</v>
      </c>
      <c r="AD12" s="236">
        <f t="shared" si="5"/>
        <v>373167100.91401565</v>
      </c>
      <c r="AE12" s="236">
        <f t="shared" si="5"/>
        <v>384839664.51237351</v>
      </c>
      <c r="AF12" s="236">
        <f t="shared" si="5"/>
        <v>396610679.38269848</v>
      </c>
      <c r="AG12" s="236">
        <f t="shared" si="5"/>
        <v>407232114.55042994</v>
      </c>
      <c r="AH12" s="236">
        <f t="shared" si="5"/>
        <v>417955978.42151606</v>
      </c>
      <c r="AI12" s="236">
        <f t="shared" si="5"/>
        <v>428784319.57002389</v>
      </c>
      <c r="AJ12" s="236">
        <f t="shared" si="5"/>
        <v>439719227.54150188</v>
      </c>
      <c r="AK12" s="236">
        <f t="shared" si="5"/>
        <v>450762833.67240942</v>
      </c>
      <c r="AL12" s="236">
        <f t="shared" si="5"/>
        <v>461917311.92593503</v>
      </c>
      <c r="AM12" s="236">
        <f t="shared" si="5"/>
        <v>473184879.74453127</v>
      </c>
      <c r="AN12" s="236">
        <f t="shared" si="5"/>
        <v>484567798.9194994</v>
      </c>
      <c r="AO12" s="236">
        <f t="shared" si="5"/>
        <v>496068376.4779669</v>
      </c>
      <c r="AP12" s="236">
        <f t="shared" si="5"/>
        <v>507688965.58760369</v>
      </c>
      <c r="AQ12" s="236">
        <f t="shared" si="5"/>
        <v>519431966.4794333</v>
      </c>
      <c r="AR12" s="236">
        <f t="shared" si="5"/>
        <v>531299827.38909948</v>
      </c>
      <c r="AS12" s="236">
        <f t="shared" si="5"/>
        <v>543295045.51695895</v>
      </c>
      <c r="AT12" s="236">
        <f t="shared" si="5"/>
        <v>555420168.00737572</v>
      </c>
      <c r="AU12" s="236">
        <f t="shared" si="5"/>
        <v>567677792.9476006</v>
      </c>
      <c r="AV12" s="236">
        <f t="shared" si="5"/>
        <v>580070570.38663018</v>
      </c>
      <c r="AW12" s="236">
        <f t="shared" si="5"/>
        <v>592601203.37444019</v>
      </c>
      <c r="AX12" s="236">
        <f t="shared" si="5"/>
        <v>605272449.02200651</v>
      </c>
      <c r="AY12" s="236">
        <f t="shared" si="5"/>
        <v>618087119.58252418</v>
      </c>
      <c r="AZ12" s="236">
        <f t="shared" si="5"/>
        <v>631048083.55425215</v>
      </c>
      <c r="BA12" s="236">
        <f t="shared" si="5"/>
        <v>638658266.80541468</v>
      </c>
      <c r="BB12" s="236">
        <f t="shared" si="5"/>
        <v>646420653.72160053</v>
      </c>
      <c r="BC12" s="236">
        <f t="shared" si="5"/>
        <v>654338288.37610996</v>
      </c>
      <c r="BD12" s="236">
        <f t="shared" si="5"/>
        <v>662414275.72370958</v>
      </c>
      <c r="BE12" s="236">
        <f t="shared" si="5"/>
        <v>670651782.81826138</v>
      </c>
      <c r="BF12" s="236">
        <f t="shared" si="5"/>
        <v>679054040.05470407</v>
      </c>
      <c r="BG12" s="236">
        <f t="shared" si="5"/>
        <v>687624342.43587565</v>
      </c>
      <c r="BH12" s="236">
        <f t="shared" si="5"/>
        <v>696366050.86467063</v>
      </c>
      <c r="BI12" s="236">
        <f t="shared" si="5"/>
        <v>705282593.46204162</v>
      </c>
      <c r="BJ12" s="236">
        <f t="shared" si="5"/>
        <v>714377466.91135991</v>
      </c>
      <c r="BK12" s="236">
        <f t="shared" si="5"/>
        <v>723654237.82966459</v>
      </c>
      <c r="BL12" s="236">
        <f t="shared" si="5"/>
        <v>733116544.16633534</v>
      </c>
      <c r="BM12" s="236">
        <f t="shared" si="5"/>
        <v>742768096.62973952</v>
      </c>
      <c r="BN12" s="236">
        <f t="shared" si="5"/>
        <v>752612680.14241195</v>
      </c>
      <c r="BO12" s="236">
        <f t="shared" si="5"/>
        <v>762654155.32533765</v>
      </c>
      <c r="BP12" s="236">
        <f t="shared" si="5"/>
        <v>772896460.01192188</v>
      </c>
      <c r="BQ12" s="236">
        <f t="shared" si="5"/>
        <v>783343610.79223776</v>
      </c>
      <c r="BR12" s="236">
        <f t="shared" si="5"/>
        <v>793999704.58816004</v>
      </c>
      <c r="BS12" s="236">
        <f t="shared" si="5"/>
        <v>804868920.26000082</v>
      </c>
      <c r="BT12" s="236">
        <f t="shared" si="5"/>
        <v>815955520.24527836</v>
      </c>
      <c r="BU12" s="236">
        <f t="shared" si="5"/>
        <v>827263852.23026145</v>
      </c>
      <c r="BV12" s="236">
        <f t="shared" si="5"/>
        <v>838798350.85494423</v>
      </c>
      <c r="BW12" s="236">
        <f t="shared" si="5"/>
        <v>850563539.45212054</v>
      </c>
      <c r="BX12" s="236">
        <f t="shared" si="5"/>
        <v>862564031.82124043</v>
      </c>
      <c r="BY12" s="236">
        <f t="shared" si="5"/>
        <v>874804534.03774273</v>
      </c>
      <c r="BZ12" s="236">
        <f t="shared" si="5"/>
        <v>887289846.29857504</v>
      </c>
      <c r="CA12" s="236">
        <f t="shared" si="5"/>
        <v>900024864.80462408</v>
      </c>
      <c r="CB12" s="236">
        <f t="shared" si="5"/>
        <v>913014583.680794</v>
      </c>
      <c r="CC12" s="236">
        <f t="shared" si="5"/>
        <v>926264096.93448734</v>
      </c>
      <c r="CD12" s="236">
        <f t="shared" si="5"/>
        <v>939778600.45325458</v>
      </c>
      <c r="CE12" s="236">
        <f t="shared" si="5"/>
        <v>953563394.04239714</v>
      </c>
      <c r="CF12" s="236">
        <f t="shared" si="5"/>
        <v>967623883.5033226</v>
      </c>
      <c r="CG12" s="236">
        <f t="shared" si="5"/>
        <v>981965582.75346661</v>
      </c>
      <c r="CH12" s="236">
        <f t="shared" si="5"/>
        <v>996594115.98861349</v>
      </c>
      <c r="CI12" s="236">
        <f t="shared" si="5"/>
        <v>1011515219.8884633</v>
      </c>
      <c r="CJ12" s="236">
        <f t="shared" si="5"/>
        <v>1026734745.86631</v>
      </c>
      <c r="CK12" s="236">
        <f t="shared" si="5"/>
        <v>1042258662.3637137</v>
      </c>
      <c r="CL12" s="236">
        <f t="shared" si="5"/>
        <v>1058093057.1910655</v>
      </c>
      <c r="CM12" s="236">
        <f t="shared" si="5"/>
        <v>1074244139.9149642</v>
      </c>
      <c r="CN12" s="236">
        <f t="shared" si="5"/>
        <v>1090718244.2933412</v>
      </c>
      <c r="CO12" s="236">
        <f t="shared" si="5"/>
        <v>1107521830.7592854</v>
      </c>
      <c r="CP12" s="236">
        <f t="shared" si="5"/>
        <v>1124661488.9545484</v>
      </c>
      <c r="CQ12" s="236">
        <f t="shared" si="5"/>
        <v>1142143940.3137169</v>
      </c>
      <c r="CR12" s="236">
        <f t="shared" si="5"/>
        <v>1159976040.7000687</v>
      </c>
      <c r="CS12" s="236">
        <f t="shared" si="5"/>
        <v>1178164783.0941477</v>
      </c>
      <c r="CT12" s="236">
        <f t="shared" si="5"/>
        <v>1196717300.336108</v>
      </c>
      <c r="CU12" s="236">
        <f t="shared" si="5"/>
        <v>1215640867.9229076</v>
      </c>
      <c r="CV12" s="236">
        <f t="shared" si="5"/>
        <v>1234942906.8614433</v>
      </c>
      <c r="CW12" s="236">
        <f t="shared" si="5"/>
        <v>1254630986.5787497</v>
      </c>
    </row>
    <row r="13" spans="1:101" ht="12.75" customHeight="1" x14ac:dyDescent="0.2">
      <c r="A13" s="221" t="s">
        <v>180</v>
      </c>
      <c r="B13" s="236">
        <v>0</v>
      </c>
      <c r="C13" s="236">
        <v>0</v>
      </c>
      <c r="D13" s="236">
        <v>0</v>
      </c>
      <c r="E13" s="236">
        <v>0</v>
      </c>
      <c r="F13" s="236">
        <v>0</v>
      </c>
      <c r="G13" s="236">
        <v>0</v>
      </c>
      <c r="H13" s="236">
        <v>6390916.0602578698</v>
      </c>
      <c r="I13" s="236">
        <v>12942244.233983621</v>
      </c>
      <c r="J13" s="236">
        <v>19658010.86575377</v>
      </c>
      <c r="K13" s="236">
        <v>26542343.361366712</v>
      </c>
      <c r="L13" s="236">
        <v>33599472.724478066</v>
      </c>
      <c r="M13" s="236">
        <v>40833736.156905606</v>
      </c>
      <c r="N13" s="236">
        <v>48249579.724201716</v>
      </c>
      <c r="O13" s="236">
        <v>55851561.088131726</v>
      </c>
      <c r="P13" s="236">
        <v>63644352.307737395</v>
      </c>
      <c r="Q13" s="236">
        <v>71632742.710707054</v>
      </c>
      <c r="R13" s="236">
        <v>79821641.836817041</v>
      </c>
      <c r="S13" s="236">
        <v>88216082.455253571</v>
      </c>
      <c r="T13" s="236">
        <v>96821223.657669216</v>
      </c>
      <c r="U13" s="236">
        <v>105642354.02887514</v>
      </c>
      <c r="V13" s="236">
        <v>114684894.89711761</v>
      </c>
      <c r="W13" s="236">
        <v>123954403.66593641</v>
      </c>
      <c r="X13" s="236">
        <v>133456577.22965287</v>
      </c>
      <c r="Y13" s="236">
        <v>143197255.47458652</v>
      </c>
      <c r="Z13" s="236">
        <v>153182424.86815232</v>
      </c>
      <c r="AA13" s="236">
        <v>163367298.17569718</v>
      </c>
      <c r="AB13" s="236">
        <v>173755869.48602283</v>
      </c>
      <c r="AC13" s="236">
        <v>184352212.76991746</v>
      </c>
      <c r="AD13" s="236">
        <v>195160483.47779971</v>
      </c>
      <c r="AE13" s="236">
        <v>206184920.16931555</v>
      </c>
      <c r="AF13" s="236">
        <v>217429846.17552713</v>
      </c>
      <c r="AG13" s="236">
        <v>228899671.29434571</v>
      </c>
      <c r="AH13" s="236">
        <v>240598893.51987305</v>
      </c>
      <c r="AI13" s="236">
        <v>252532100.80633003</v>
      </c>
      <c r="AJ13" s="236">
        <v>264703972.86726356</v>
      </c>
      <c r="AK13" s="236">
        <v>277119283.01073813</v>
      </c>
      <c r="AL13" s="236">
        <v>289782900.01123106</v>
      </c>
      <c r="AM13" s="236">
        <v>302699790.01896566</v>
      </c>
      <c r="AN13" s="236">
        <v>315875018.50743139</v>
      </c>
      <c r="AO13" s="236">
        <v>329313752.25985444</v>
      </c>
      <c r="AP13" s="236">
        <v>343021261.39539766</v>
      </c>
      <c r="AQ13" s="236">
        <v>357002921.43588495</v>
      </c>
      <c r="AR13" s="236">
        <v>371264215.41385978</v>
      </c>
      <c r="AS13" s="236">
        <v>385810736.02280551</v>
      </c>
      <c r="AT13" s="236">
        <v>400648187.81036979</v>
      </c>
      <c r="AU13" s="236">
        <v>415782389.41545373</v>
      </c>
      <c r="AV13" s="236">
        <v>431219275.85004312</v>
      </c>
      <c r="AW13" s="236">
        <v>446964900.82667619</v>
      </c>
      <c r="AX13" s="236">
        <v>463025439.13246083</v>
      </c>
      <c r="AY13" s="236">
        <v>479407189.0505724</v>
      </c>
      <c r="AZ13" s="236">
        <v>496116574.83018172</v>
      </c>
      <c r="BA13" s="236">
        <v>513160149.2057814</v>
      </c>
      <c r="BB13" s="236">
        <v>530544595.96689928</v>
      </c>
      <c r="BC13" s="236">
        <v>548276732.57920575</v>
      </c>
      <c r="BD13" s="236">
        <v>566363512.85804403</v>
      </c>
      <c r="BE13" s="236">
        <v>584812029.6954304</v>
      </c>
      <c r="BF13" s="236">
        <v>603629517.84159517</v>
      </c>
      <c r="BG13" s="236">
        <v>622823356.74215472</v>
      </c>
      <c r="BH13" s="236">
        <v>642401073.43202627</v>
      </c>
      <c r="BI13" s="236">
        <v>662370345.48722196</v>
      </c>
      <c r="BJ13" s="236">
        <v>682739004.03567898</v>
      </c>
      <c r="BK13" s="236">
        <v>703515036.8283056</v>
      </c>
      <c r="BL13" s="236">
        <v>724706591.37144923</v>
      </c>
      <c r="BM13" s="236">
        <v>746321978.12201357</v>
      </c>
      <c r="BN13" s="236">
        <v>768369673.7464782</v>
      </c>
      <c r="BO13" s="236">
        <v>790858324.44509888</v>
      </c>
      <c r="BP13" s="236">
        <v>813796749.342592</v>
      </c>
      <c r="BQ13" s="236">
        <v>837193943.9466331</v>
      </c>
      <c r="BR13" s="236">
        <v>861059083.67552507</v>
      </c>
      <c r="BS13" s="236">
        <v>885401527.4564203</v>
      </c>
      <c r="BT13" s="236">
        <v>910230821.39550734</v>
      </c>
      <c r="BU13" s="236">
        <v>935556702.52160156</v>
      </c>
      <c r="BV13" s="236">
        <v>961389102.60460758</v>
      </c>
      <c r="BW13" s="236">
        <v>987738152.05035138</v>
      </c>
      <c r="BX13" s="236">
        <v>1014614183.8733094</v>
      </c>
      <c r="BY13" s="236">
        <v>1042027737.7487918</v>
      </c>
      <c r="BZ13" s="236">
        <v>1069989564.1461705</v>
      </c>
      <c r="CA13" s="236">
        <v>1098510628.544771</v>
      </c>
      <c r="CB13" s="236">
        <v>1127602115.7340832</v>
      </c>
      <c r="CC13" s="236">
        <v>1157275434.1999764</v>
      </c>
      <c r="CD13" s="236">
        <v>1187542220.5986381</v>
      </c>
      <c r="CE13" s="236">
        <v>1218414344.3199923</v>
      </c>
      <c r="CF13" s="236">
        <v>1249903912.1423874</v>
      </c>
      <c r="CG13" s="236">
        <v>1282023272.9803767</v>
      </c>
      <c r="CH13" s="236">
        <v>1314785022.7274549</v>
      </c>
      <c r="CI13" s="236">
        <v>1348202009.1956503</v>
      </c>
      <c r="CJ13" s="236">
        <v>1382287337.1539087</v>
      </c>
      <c r="CK13" s="236">
        <v>1417054373.4672456</v>
      </c>
      <c r="CL13" s="236">
        <v>1452516752.3386805</v>
      </c>
      <c r="CM13" s="236">
        <v>1488688380.6560121</v>
      </c>
      <c r="CN13" s="236">
        <v>1525583443.4455278</v>
      </c>
      <c r="CO13" s="236">
        <v>1563216409.434788</v>
      </c>
      <c r="CP13" s="236">
        <v>1601602036.7266667</v>
      </c>
      <c r="CQ13" s="236">
        <v>1640755378.5868728</v>
      </c>
      <c r="CR13" s="236">
        <v>1680691789.3472228</v>
      </c>
      <c r="CS13" s="236">
        <v>1721426930.4269781</v>
      </c>
      <c r="CT13" s="236">
        <v>1762976776.474611</v>
      </c>
      <c r="CU13" s="236">
        <v>1805357621.6324048</v>
      </c>
      <c r="CV13" s="236">
        <v>1848586085.9263468</v>
      </c>
      <c r="CW13" s="236">
        <v>1892679121.7838197</v>
      </c>
    </row>
    <row r="14" spans="1:101" ht="12.75" customHeight="1" x14ac:dyDescent="0.2">
      <c r="A14" s="221" t="s">
        <v>181</v>
      </c>
      <c r="B14" s="236">
        <v>0</v>
      </c>
      <c r="C14" s="236">
        <v>6000000</v>
      </c>
      <c r="D14" s="236">
        <v>12000000</v>
      </c>
      <c r="E14" s="236">
        <v>18000000</v>
      </c>
      <c r="F14" s="236">
        <v>24000000</v>
      </c>
      <c r="G14" s="236">
        <v>30000000</v>
      </c>
      <c r="H14" s="236">
        <v>38000000</v>
      </c>
      <c r="I14" s="236">
        <v>46000000</v>
      </c>
      <c r="J14" s="236">
        <v>54000000</v>
      </c>
      <c r="K14" s="236">
        <v>62000000</v>
      </c>
      <c r="L14" s="236">
        <v>70000000</v>
      </c>
      <c r="M14" s="236">
        <v>78000000</v>
      </c>
      <c r="N14" s="236">
        <v>86000000</v>
      </c>
      <c r="O14" s="236">
        <v>94000000</v>
      </c>
      <c r="P14" s="236">
        <v>102000000</v>
      </c>
      <c r="Q14" s="236">
        <v>110000000</v>
      </c>
      <c r="R14" s="236">
        <v>118000000</v>
      </c>
      <c r="S14" s="236">
        <v>126000000</v>
      </c>
      <c r="T14" s="236">
        <v>134000000</v>
      </c>
      <c r="U14" s="236">
        <v>142000000</v>
      </c>
      <c r="V14" s="236">
        <v>150000000</v>
      </c>
      <c r="W14" s="236">
        <v>158000000</v>
      </c>
      <c r="X14" s="236">
        <v>166000000</v>
      </c>
      <c r="Y14" s="236">
        <v>174000000</v>
      </c>
      <c r="Z14" s="236">
        <v>182000000</v>
      </c>
      <c r="AA14" s="236">
        <v>190000000</v>
      </c>
      <c r="AB14" s="236">
        <v>198000000</v>
      </c>
      <c r="AC14" s="236">
        <v>206000000</v>
      </c>
      <c r="AD14" s="236">
        <v>214000000</v>
      </c>
      <c r="AE14" s="236">
        <v>222000000</v>
      </c>
      <c r="AF14" s="236">
        <v>230000000</v>
      </c>
      <c r="AG14" s="236">
        <v>237500000</v>
      </c>
      <c r="AH14" s="236">
        <v>245000000</v>
      </c>
      <c r="AI14" s="236">
        <v>252500000</v>
      </c>
      <c r="AJ14" s="236">
        <v>260000000</v>
      </c>
      <c r="AK14" s="236">
        <v>267500000</v>
      </c>
      <c r="AL14" s="236">
        <v>275000000</v>
      </c>
      <c r="AM14" s="236">
        <v>282500000</v>
      </c>
      <c r="AN14" s="236">
        <v>290000000</v>
      </c>
      <c r="AO14" s="236">
        <v>297500000</v>
      </c>
      <c r="AP14" s="236">
        <v>305000000</v>
      </c>
      <c r="AQ14" s="236">
        <v>312500000</v>
      </c>
      <c r="AR14" s="236">
        <v>320000000</v>
      </c>
      <c r="AS14" s="236">
        <v>327500000</v>
      </c>
      <c r="AT14" s="236">
        <v>335000000</v>
      </c>
      <c r="AU14" s="236">
        <v>342500000</v>
      </c>
      <c r="AV14" s="236">
        <v>350000000</v>
      </c>
      <c r="AW14" s="236">
        <v>357500000</v>
      </c>
      <c r="AX14" s="236">
        <v>365000000</v>
      </c>
      <c r="AY14" s="236">
        <v>372500000</v>
      </c>
      <c r="AZ14" s="236">
        <v>380000000</v>
      </c>
      <c r="BA14" s="236">
        <v>380000000</v>
      </c>
      <c r="BB14" s="236">
        <v>380000000</v>
      </c>
      <c r="BC14" s="236">
        <v>380000000</v>
      </c>
      <c r="BD14" s="236">
        <v>380000000</v>
      </c>
      <c r="BE14" s="236">
        <v>380000000</v>
      </c>
      <c r="BF14" s="236">
        <v>380000000</v>
      </c>
      <c r="BG14" s="236">
        <v>380000000</v>
      </c>
      <c r="BH14" s="236">
        <v>380000000</v>
      </c>
      <c r="BI14" s="236">
        <v>380000000</v>
      </c>
      <c r="BJ14" s="236">
        <v>380000000</v>
      </c>
      <c r="BK14" s="236">
        <v>380000000</v>
      </c>
      <c r="BL14" s="236">
        <v>380000000</v>
      </c>
      <c r="BM14" s="236">
        <v>380000000</v>
      </c>
      <c r="BN14" s="236">
        <v>380000000</v>
      </c>
      <c r="BO14" s="236">
        <v>380000000</v>
      </c>
      <c r="BP14" s="236">
        <v>380000000</v>
      </c>
      <c r="BQ14" s="236">
        <v>380000000</v>
      </c>
      <c r="BR14" s="236">
        <v>380000000</v>
      </c>
      <c r="BS14" s="236">
        <v>380000000</v>
      </c>
      <c r="BT14" s="236">
        <v>380000000</v>
      </c>
      <c r="BU14" s="236">
        <v>380000000</v>
      </c>
      <c r="BV14" s="236">
        <v>380000000</v>
      </c>
      <c r="BW14" s="236">
        <v>380000000</v>
      </c>
      <c r="BX14" s="236">
        <v>380000000</v>
      </c>
      <c r="BY14" s="236">
        <v>380000000</v>
      </c>
      <c r="BZ14" s="236">
        <v>380000000</v>
      </c>
      <c r="CA14" s="236">
        <v>380000000</v>
      </c>
      <c r="CB14" s="236">
        <v>380000000</v>
      </c>
      <c r="CC14" s="236">
        <v>380000000</v>
      </c>
      <c r="CD14" s="236">
        <v>380000000</v>
      </c>
      <c r="CE14" s="236">
        <v>380000000</v>
      </c>
      <c r="CF14" s="236">
        <v>380000000</v>
      </c>
      <c r="CG14" s="236">
        <v>380000000</v>
      </c>
      <c r="CH14" s="236">
        <v>380000000</v>
      </c>
      <c r="CI14" s="236">
        <v>380000000</v>
      </c>
      <c r="CJ14" s="236">
        <v>380000000</v>
      </c>
      <c r="CK14" s="236">
        <v>380000000</v>
      </c>
      <c r="CL14" s="236">
        <v>380000000</v>
      </c>
      <c r="CM14" s="236">
        <v>380000000</v>
      </c>
      <c r="CN14" s="236">
        <v>380000000</v>
      </c>
      <c r="CO14" s="236">
        <v>380000000</v>
      </c>
      <c r="CP14" s="236">
        <v>380000000</v>
      </c>
      <c r="CQ14" s="236">
        <v>380000000</v>
      </c>
      <c r="CR14" s="236">
        <v>380000000</v>
      </c>
      <c r="CS14" s="236">
        <v>380000000</v>
      </c>
      <c r="CT14" s="236">
        <v>380000000</v>
      </c>
      <c r="CU14" s="236">
        <v>380000000</v>
      </c>
      <c r="CV14" s="236">
        <v>380000000</v>
      </c>
      <c r="CW14" s="236">
        <v>380000000</v>
      </c>
    </row>
    <row r="15" spans="1:101" ht="12.75" customHeight="1" x14ac:dyDescent="0.2">
      <c r="A15" s="221" t="s">
        <v>182</v>
      </c>
      <c r="B15" s="236">
        <v>83158684.291249871</v>
      </c>
      <c r="C15" s="236">
        <v>91986079.557152361</v>
      </c>
      <c r="D15" s="236">
        <v>100870022.7283729</v>
      </c>
      <c r="E15" s="236">
        <v>109811644.76301786</v>
      </c>
      <c r="F15" s="236">
        <v>118812099.23835573</v>
      </c>
      <c r="G15" s="236">
        <v>127872562.80320033</v>
      </c>
      <c r="H15" s="236">
        <v>138994235.63934183</v>
      </c>
      <c r="I15" s="236">
        <v>150178341.93220618</v>
      </c>
      <c r="J15" s="236">
        <v>161426130.3509278</v>
      </c>
      <c r="K15" s="236">
        <v>172738874.53802386</v>
      </c>
      <c r="L15" s="236">
        <v>184117873.60886183</v>
      </c>
      <c r="M15" s="236">
        <v>195564452.66111657</v>
      </c>
      <c r="N15" s="236">
        <v>207079963.2944164</v>
      </c>
      <c r="O15" s="236">
        <v>218665784.14038223</v>
      </c>
      <c r="P15" s="236">
        <v>230323321.40326738</v>
      </c>
      <c r="Q15" s="236">
        <v>242054009.41141021</v>
      </c>
      <c r="R15" s="236">
        <v>253859311.1797159</v>
      </c>
      <c r="S15" s="236">
        <v>265740718.98338771</v>
      </c>
      <c r="T15" s="236">
        <v>277699754.943133</v>
      </c>
      <c r="U15" s="236">
        <v>289737971.62207311</v>
      </c>
      <c r="V15" s="236">
        <v>301856952.63459206</v>
      </c>
      <c r="W15" s="236">
        <v>314058313.2673614</v>
      </c>
      <c r="X15" s="236">
        <v>326343701.11278617</v>
      </c>
      <c r="Y15" s="236">
        <v>338714796.71511936</v>
      </c>
      <c r="Z15" s="236">
        <v>351173314.22949928</v>
      </c>
      <c r="AA15" s="236">
        <v>363721002.09416676</v>
      </c>
      <c r="AB15" s="236">
        <v>376359643.71612757</v>
      </c>
      <c r="AC15" s="236">
        <v>389091058.17052764</v>
      </c>
      <c r="AD15" s="236">
        <v>401917100.91401565</v>
      </c>
      <c r="AE15" s="236">
        <v>414839664.51237351</v>
      </c>
      <c r="AF15" s="236">
        <v>427860679.38269848</v>
      </c>
      <c r="AG15" s="236">
        <v>440482114.55042994</v>
      </c>
      <c r="AH15" s="236">
        <v>453205978.42151606</v>
      </c>
      <c r="AI15" s="236">
        <v>466034319.57002389</v>
      </c>
      <c r="AJ15" s="236">
        <v>478969227.54150188</v>
      </c>
      <c r="AK15" s="236">
        <v>492012833.67240942</v>
      </c>
      <c r="AL15" s="236">
        <v>505167311.92593503</v>
      </c>
      <c r="AM15" s="236">
        <v>518434879.74453127</v>
      </c>
      <c r="AN15" s="236">
        <v>531817798.9194994</v>
      </c>
      <c r="AO15" s="236">
        <v>545318376.4779669</v>
      </c>
      <c r="AP15" s="236">
        <v>558938965.58760369</v>
      </c>
      <c r="AQ15" s="236">
        <v>572681966.4794333</v>
      </c>
      <c r="AR15" s="236">
        <v>586549827.38909948</v>
      </c>
      <c r="AS15" s="236">
        <v>600545045.51695895</v>
      </c>
      <c r="AT15" s="236">
        <v>614670168.00737572</v>
      </c>
      <c r="AU15" s="236">
        <v>628927792.9476006</v>
      </c>
      <c r="AV15" s="236">
        <v>643320570.38663018</v>
      </c>
      <c r="AW15" s="236">
        <v>657851203.37444019</v>
      </c>
      <c r="AX15" s="236">
        <v>672522449.02200651</v>
      </c>
      <c r="AY15" s="236">
        <v>687337119.58252418</v>
      </c>
      <c r="AZ15" s="236">
        <v>702298083.55425215</v>
      </c>
      <c r="BA15" s="236">
        <v>709908266.80541468</v>
      </c>
      <c r="BB15" s="236">
        <v>717670653.72160053</v>
      </c>
      <c r="BC15" s="236">
        <v>725588288.37610996</v>
      </c>
      <c r="BD15" s="236">
        <v>733664275.72370958</v>
      </c>
      <c r="BE15" s="236">
        <v>741901782.81826138</v>
      </c>
      <c r="BF15" s="236">
        <v>750304040.05470407</v>
      </c>
      <c r="BG15" s="236">
        <v>758874342.43587565</v>
      </c>
      <c r="BH15" s="236">
        <v>767616050.86467063</v>
      </c>
      <c r="BI15" s="236">
        <v>776532593.46204162</v>
      </c>
      <c r="BJ15" s="236">
        <v>785627466.91135991</v>
      </c>
      <c r="BK15" s="236">
        <v>794904237.82966459</v>
      </c>
      <c r="BL15" s="236">
        <v>804366544.16633534</v>
      </c>
      <c r="BM15" s="236">
        <v>814018096.62973952</v>
      </c>
      <c r="BN15" s="236">
        <v>823862680.14241195</v>
      </c>
      <c r="BO15" s="236">
        <v>833904155.32533765</v>
      </c>
      <c r="BP15" s="236">
        <v>844146460.01192188</v>
      </c>
      <c r="BQ15" s="236">
        <v>854593610.79223776</v>
      </c>
      <c r="BR15" s="236">
        <v>865249704.58816004</v>
      </c>
      <c r="BS15" s="236">
        <v>876118920.26000082</v>
      </c>
      <c r="BT15" s="236">
        <v>887205520.24527836</v>
      </c>
      <c r="BU15" s="236">
        <v>898513852.23026145</v>
      </c>
      <c r="BV15" s="236">
        <v>910048350.85494423</v>
      </c>
      <c r="BW15" s="236">
        <v>921813539.45212054</v>
      </c>
      <c r="BX15" s="236">
        <v>933814031.82124043</v>
      </c>
      <c r="BY15" s="236">
        <v>946054534.03774273</v>
      </c>
      <c r="BZ15" s="236">
        <v>958539846.29857504</v>
      </c>
      <c r="CA15" s="236">
        <v>971274864.80462408</v>
      </c>
      <c r="CB15" s="236">
        <v>984264583.680794</v>
      </c>
      <c r="CC15" s="236">
        <v>997514096.93448734</v>
      </c>
      <c r="CD15" s="236">
        <v>1011028600.4532546</v>
      </c>
      <c r="CE15" s="236">
        <v>1024813394.0423971</v>
      </c>
      <c r="CF15" s="236">
        <v>1038873883.5033226</v>
      </c>
      <c r="CG15" s="236">
        <v>1053215582.7534666</v>
      </c>
      <c r="CH15" s="236">
        <v>1067844115.9886135</v>
      </c>
      <c r="CI15" s="236">
        <v>1082765219.8884633</v>
      </c>
      <c r="CJ15" s="236">
        <v>1097984745.8663101</v>
      </c>
      <c r="CK15" s="236">
        <v>1113508662.3637137</v>
      </c>
      <c r="CL15" s="236">
        <v>1129343057.1910655</v>
      </c>
      <c r="CM15" s="236">
        <v>1145494139.9149642</v>
      </c>
      <c r="CN15" s="236">
        <v>1161968244.2933412</v>
      </c>
      <c r="CO15" s="236">
        <v>1178771830.7592854</v>
      </c>
      <c r="CP15" s="236">
        <v>1195911488.9545484</v>
      </c>
      <c r="CQ15" s="236">
        <v>1213393940.3137169</v>
      </c>
      <c r="CR15" s="236">
        <v>1231226040.7000687</v>
      </c>
      <c r="CS15" s="236">
        <v>1249414783.0941477</v>
      </c>
      <c r="CT15" s="236">
        <v>1267967300.336108</v>
      </c>
      <c r="CU15" s="236">
        <v>1286890867.9229076</v>
      </c>
      <c r="CV15" s="236">
        <v>1306192906.8614433</v>
      </c>
      <c r="CW15" s="236">
        <v>1325880986.5787497</v>
      </c>
    </row>
    <row r="16" spans="1:101" ht="12.75" customHeight="1" x14ac:dyDescent="0.2">
      <c r="A16" s="221"/>
      <c r="B16" s="236"/>
      <c r="C16" s="236"/>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row>
    <row r="17" spans="1:101" ht="12.75" customHeight="1" x14ac:dyDescent="0.2">
      <c r="A17" s="221" t="s">
        <v>183</v>
      </c>
      <c r="B17" s="236">
        <f>'Financial Modeling'!B10</f>
        <v>120000000</v>
      </c>
      <c r="C17" s="236">
        <f t="shared" ref="C17:F17" si="6">B17</f>
        <v>120000000</v>
      </c>
      <c r="D17" s="236">
        <f t="shared" si="6"/>
        <v>120000000</v>
      </c>
      <c r="E17" s="236">
        <f t="shared" si="6"/>
        <v>120000000</v>
      </c>
      <c r="F17" s="236">
        <f t="shared" si="6"/>
        <v>120000000</v>
      </c>
      <c r="G17" s="236">
        <v>0</v>
      </c>
      <c r="H17" s="236">
        <v>0</v>
      </c>
      <c r="I17" s="236">
        <v>0</v>
      </c>
      <c r="J17" s="236">
        <v>0</v>
      </c>
      <c r="K17" s="236">
        <v>0</v>
      </c>
      <c r="L17" s="236">
        <v>0</v>
      </c>
      <c r="M17" s="236">
        <v>0</v>
      </c>
      <c r="N17" s="236">
        <v>0</v>
      </c>
      <c r="O17" s="236">
        <v>0</v>
      </c>
      <c r="P17" s="236">
        <v>0</v>
      </c>
      <c r="Q17" s="236">
        <v>0</v>
      </c>
      <c r="R17" s="236">
        <v>0</v>
      </c>
      <c r="S17" s="236">
        <v>0</v>
      </c>
      <c r="T17" s="236">
        <v>0</v>
      </c>
      <c r="U17" s="236">
        <v>0</v>
      </c>
      <c r="V17" s="236">
        <v>0</v>
      </c>
      <c r="W17" s="236">
        <v>0</v>
      </c>
      <c r="X17" s="236">
        <v>0</v>
      </c>
      <c r="Y17" s="236">
        <v>0</v>
      </c>
      <c r="Z17" s="236">
        <v>0</v>
      </c>
      <c r="AA17" s="236">
        <v>0</v>
      </c>
      <c r="AB17" s="236">
        <v>0</v>
      </c>
      <c r="AC17" s="236">
        <v>0</v>
      </c>
      <c r="AD17" s="236">
        <v>0</v>
      </c>
      <c r="AE17" s="236">
        <v>0</v>
      </c>
      <c r="AF17" s="236">
        <v>0</v>
      </c>
      <c r="AG17" s="236">
        <v>0</v>
      </c>
      <c r="AH17" s="236">
        <v>0</v>
      </c>
      <c r="AI17" s="236">
        <v>0</v>
      </c>
      <c r="AJ17" s="236">
        <v>0</v>
      </c>
      <c r="AK17" s="236">
        <v>0</v>
      </c>
      <c r="AL17" s="236">
        <v>0</v>
      </c>
      <c r="AM17" s="236">
        <v>0</v>
      </c>
      <c r="AN17" s="236">
        <v>0</v>
      </c>
      <c r="AO17" s="236">
        <v>0</v>
      </c>
      <c r="AP17" s="236">
        <v>0</v>
      </c>
      <c r="AQ17" s="236">
        <v>0</v>
      </c>
      <c r="AR17" s="236">
        <v>0</v>
      </c>
      <c r="AS17" s="236">
        <v>0</v>
      </c>
      <c r="AT17" s="236">
        <v>0</v>
      </c>
      <c r="AU17" s="236">
        <v>0</v>
      </c>
      <c r="AV17" s="236">
        <v>0</v>
      </c>
      <c r="AW17" s="236">
        <v>0</v>
      </c>
      <c r="AX17" s="236">
        <v>0</v>
      </c>
      <c r="AY17" s="236">
        <v>0</v>
      </c>
      <c r="AZ17" s="236">
        <v>0</v>
      </c>
      <c r="BA17" s="236">
        <v>0</v>
      </c>
      <c r="BB17" s="236">
        <v>0</v>
      </c>
      <c r="BC17" s="236">
        <v>0</v>
      </c>
      <c r="BD17" s="236">
        <v>0</v>
      </c>
      <c r="BE17" s="236">
        <v>0</v>
      </c>
      <c r="BF17" s="236">
        <v>0</v>
      </c>
      <c r="BG17" s="236">
        <v>0</v>
      </c>
      <c r="BH17" s="236">
        <v>0</v>
      </c>
      <c r="BI17" s="236">
        <v>0</v>
      </c>
      <c r="BJ17" s="236">
        <v>0</v>
      </c>
      <c r="BK17" s="236">
        <v>0</v>
      </c>
      <c r="BL17" s="236">
        <v>0</v>
      </c>
      <c r="BM17" s="236">
        <v>0</v>
      </c>
      <c r="BN17" s="236">
        <v>0</v>
      </c>
      <c r="BO17" s="236">
        <v>0</v>
      </c>
      <c r="BP17" s="236">
        <v>0</v>
      </c>
      <c r="BQ17" s="236">
        <v>0</v>
      </c>
      <c r="BR17" s="236">
        <v>0</v>
      </c>
      <c r="BS17" s="236">
        <v>0</v>
      </c>
      <c r="BT17" s="236">
        <v>0</v>
      </c>
      <c r="BU17" s="236">
        <v>0</v>
      </c>
      <c r="BV17" s="236">
        <v>0</v>
      </c>
      <c r="BW17" s="236">
        <v>0</v>
      </c>
      <c r="BX17" s="236">
        <v>0</v>
      </c>
      <c r="BY17" s="236">
        <v>0</v>
      </c>
      <c r="BZ17" s="236">
        <v>0</v>
      </c>
      <c r="CA17" s="236">
        <v>0</v>
      </c>
      <c r="CB17" s="236">
        <v>0</v>
      </c>
      <c r="CC17" s="236">
        <v>0</v>
      </c>
      <c r="CD17" s="236">
        <v>0</v>
      </c>
      <c r="CE17" s="236">
        <v>0</v>
      </c>
      <c r="CF17" s="236">
        <v>0</v>
      </c>
      <c r="CG17" s="236">
        <v>0</v>
      </c>
      <c r="CH17" s="236">
        <v>0</v>
      </c>
      <c r="CI17" s="236">
        <v>0</v>
      </c>
      <c r="CJ17" s="236">
        <v>0</v>
      </c>
      <c r="CK17" s="236">
        <v>0</v>
      </c>
      <c r="CL17" s="236">
        <v>0</v>
      </c>
      <c r="CM17" s="236">
        <v>0</v>
      </c>
      <c r="CN17" s="236">
        <v>0</v>
      </c>
      <c r="CO17" s="236">
        <v>0</v>
      </c>
      <c r="CP17" s="236">
        <v>0</v>
      </c>
      <c r="CQ17" s="236">
        <v>0</v>
      </c>
      <c r="CR17" s="236">
        <v>0</v>
      </c>
      <c r="CS17" s="236">
        <v>0</v>
      </c>
      <c r="CT17" s="236">
        <v>0</v>
      </c>
      <c r="CU17" s="236">
        <v>0</v>
      </c>
      <c r="CV17" s="236">
        <v>0</v>
      </c>
      <c r="CW17" s="236">
        <v>0</v>
      </c>
    </row>
    <row r="18" spans="1:101" ht="12.75" customHeight="1" x14ac:dyDescent="0.2">
      <c r="A18" s="221" t="s">
        <v>184</v>
      </c>
      <c r="B18" s="236">
        <v>0</v>
      </c>
      <c r="C18" s="236">
        <v>0</v>
      </c>
      <c r="D18" s="236">
        <v>0</v>
      </c>
      <c r="E18" s="236">
        <v>0</v>
      </c>
      <c r="F18" s="236">
        <v>0</v>
      </c>
      <c r="G18" s="236">
        <f>'Financial Modeling'!J10</f>
        <v>135000000</v>
      </c>
      <c r="H18" s="236">
        <f t="shared" ref="H18:AE18" si="7">G18</f>
        <v>135000000</v>
      </c>
      <c r="I18" s="236">
        <f t="shared" si="7"/>
        <v>135000000</v>
      </c>
      <c r="J18" s="236">
        <f t="shared" si="7"/>
        <v>135000000</v>
      </c>
      <c r="K18" s="236">
        <f t="shared" si="7"/>
        <v>135000000</v>
      </c>
      <c r="L18" s="236">
        <f t="shared" si="7"/>
        <v>135000000</v>
      </c>
      <c r="M18" s="236">
        <f t="shared" si="7"/>
        <v>135000000</v>
      </c>
      <c r="N18" s="236">
        <f t="shared" si="7"/>
        <v>135000000</v>
      </c>
      <c r="O18" s="236">
        <f t="shared" si="7"/>
        <v>135000000</v>
      </c>
      <c r="P18" s="236">
        <f t="shared" si="7"/>
        <v>135000000</v>
      </c>
      <c r="Q18" s="236">
        <f t="shared" si="7"/>
        <v>135000000</v>
      </c>
      <c r="R18" s="236">
        <f t="shared" si="7"/>
        <v>135000000</v>
      </c>
      <c r="S18" s="236">
        <f t="shared" si="7"/>
        <v>135000000</v>
      </c>
      <c r="T18" s="236">
        <f t="shared" si="7"/>
        <v>135000000</v>
      </c>
      <c r="U18" s="236">
        <f t="shared" si="7"/>
        <v>135000000</v>
      </c>
      <c r="V18" s="236">
        <f t="shared" si="7"/>
        <v>135000000</v>
      </c>
      <c r="W18" s="236">
        <f t="shared" si="7"/>
        <v>135000000</v>
      </c>
      <c r="X18" s="236">
        <f t="shared" si="7"/>
        <v>135000000</v>
      </c>
      <c r="Y18" s="236">
        <f t="shared" si="7"/>
        <v>135000000</v>
      </c>
      <c r="Z18" s="236">
        <f t="shared" si="7"/>
        <v>135000000</v>
      </c>
      <c r="AA18" s="236">
        <f t="shared" si="7"/>
        <v>135000000</v>
      </c>
      <c r="AB18" s="236">
        <f t="shared" si="7"/>
        <v>135000000</v>
      </c>
      <c r="AC18" s="236">
        <f t="shared" si="7"/>
        <v>135000000</v>
      </c>
      <c r="AD18" s="236">
        <f t="shared" si="7"/>
        <v>135000000</v>
      </c>
      <c r="AE18" s="236">
        <f t="shared" si="7"/>
        <v>135000000</v>
      </c>
      <c r="AF18" s="236"/>
      <c r="AG18" s="236">
        <v>0</v>
      </c>
      <c r="AH18" s="236">
        <v>0</v>
      </c>
      <c r="AI18" s="236">
        <v>0</v>
      </c>
      <c r="AJ18" s="236">
        <v>0</v>
      </c>
      <c r="AK18" s="236">
        <v>0</v>
      </c>
      <c r="AL18" s="236">
        <v>0</v>
      </c>
      <c r="AM18" s="236">
        <v>0</v>
      </c>
      <c r="AN18" s="236">
        <v>0</v>
      </c>
      <c r="AO18" s="236">
        <v>0</v>
      </c>
      <c r="AP18" s="236">
        <v>0</v>
      </c>
      <c r="AQ18" s="236">
        <v>0</v>
      </c>
      <c r="AR18" s="236">
        <v>0</v>
      </c>
      <c r="AS18" s="236">
        <v>0</v>
      </c>
      <c r="AT18" s="236">
        <v>0</v>
      </c>
      <c r="AU18" s="236">
        <v>0</v>
      </c>
      <c r="AV18" s="236">
        <v>0</v>
      </c>
      <c r="AW18" s="236">
        <v>0</v>
      </c>
      <c r="AX18" s="236">
        <v>0</v>
      </c>
      <c r="AY18" s="236">
        <v>0</v>
      </c>
      <c r="AZ18" s="236">
        <v>0</v>
      </c>
      <c r="BA18" s="236">
        <v>0</v>
      </c>
      <c r="BB18" s="236">
        <v>0</v>
      </c>
      <c r="BC18" s="236">
        <v>0</v>
      </c>
      <c r="BD18" s="236">
        <v>0</v>
      </c>
      <c r="BE18" s="236">
        <v>0</v>
      </c>
      <c r="BF18" s="236">
        <v>0</v>
      </c>
      <c r="BG18" s="236">
        <v>0</v>
      </c>
      <c r="BH18" s="236">
        <v>0</v>
      </c>
      <c r="BI18" s="236">
        <v>0</v>
      </c>
      <c r="BJ18" s="236">
        <v>0</v>
      </c>
      <c r="BK18" s="236">
        <v>0</v>
      </c>
      <c r="BL18" s="236">
        <v>0</v>
      </c>
      <c r="BM18" s="236">
        <v>0</v>
      </c>
      <c r="BN18" s="236">
        <v>0</v>
      </c>
      <c r="BO18" s="236">
        <v>0</v>
      </c>
      <c r="BP18" s="236">
        <v>0</v>
      </c>
      <c r="BQ18" s="236">
        <v>0</v>
      </c>
      <c r="BR18" s="236">
        <v>0</v>
      </c>
      <c r="BS18" s="236">
        <v>0</v>
      </c>
      <c r="BT18" s="236">
        <v>0</v>
      </c>
      <c r="BU18" s="236">
        <v>0</v>
      </c>
      <c r="BV18" s="236">
        <v>0</v>
      </c>
      <c r="BW18" s="236">
        <v>0</v>
      </c>
      <c r="BX18" s="236">
        <v>0</v>
      </c>
      <c r="BY18" s="236">
        <v>0</v>
      </c>
      <c r="BZ18" s="236">
        <v>0</v>
      </c>
      <c r="CA18" s="236">
        <v>0</v>
      </c>
      <c r="CB18" s="236">
        <v>0</v>
      </c>
      <c r="CC18" s="236">
        <v>0</v>
      </c>
      <c r="CD18" s="236">
        <v>0</v>
      </c>
      <c r="CE18" s="236">
        <v>0</v>
      </c>
      <c r="CF18" s="236">
        <v>0</v>
      </c>
      <c r="CG18" s="236">
        <v>0</v>
      </c>
      <c r="CH18" s="236">
        <v>0</v>
      </c>
      <c r="CI18" s="236">
        <v>0</v>
      </c>
      <c r="CJ18" s="236">
        <v>0</v>
      </c>
      <c r="CK18" s="236">
        <v>0</v>
      </c>
      <c r="CL18" s="236">
        <v>0</v>
      </c>
      <c r="CM18" s="236">
        <v>0</v>
      </c>
      <c r="CN18" s="236">
        <v>0</v>
      </c>
      <c r="CO18" s="236">
        <v>0</v>
      </c>
      <c r="CP18" s="236">
        <v>0</v>
      </c>
      <c r="CQ18" s="236">
        <v>0</v>
      </c>
      <c r="CR18" s="236">
        <v>0</v>
      </c>
      <c r="CS18" s="236">
        <v>0</v>
      </c>
      <c r="CT18" s="236">
        <v>0</v>
      </c>
      <c r="CU18" s="236">
        <v>0</v>
      </c>
      <c r="CV18" s="236">
        <v>0</v>
      </c>
      <c r="CW18" s="236">
        <v>0</v>
      </c>
    </row>
    <row r="19" spans="1:101" ht="12.75" customHeight="1" x14ac:dyDescent="0.2">
      <c r="A19" s="221" t="s">
        <v>185</v>
      </c>
      <c r="B19" s="236">
        <v>0</v>
      </c>
      <c r="C19" s="236">
        <v>0</v>
      </c>
      <c r="D19" s="236">
        <v>0</v>
      </c>
      <c r="E19" s="236">
        <v>0</v>
      </c>
      <c r="F19" s="236">
        <v>0</v>
      </c>
      <c r="G19" s="236">
        <v>0</v>
      </c>
      <c r="H19" s="236">
        <v>0</v>
      </c>
      <c r="I19" s="236">
        <v>0</v>
      </c>
      <c r="J19" s="236">
        <v>0</v>
      </c>
      <c r="K19" s="236">
        <v>0</v>
      </c>
      <c r="L19" s="236">
        <v>0</v>
      </c>
      <c r="M19" s="236">
        <v>0</v>
      </c>
      <c r="N19" s="236">
        <v>0</v>
      </c>
      <c r="O19" s="236">
        <v>0</v>
      </c>
      <c r="P19" s="236">
        <v>0</v>
      </c>
      <c r="Q19" s="236">
        <v>0</v>
      </c>
      <c r="R19" s="236">
        <v>0</v>
      </c>
      <c r="S19" s="236">
        <v>0</v>
      </c>
      <c r="T19" s="236">
        <v>0</v>
      </c>
      <c r="U19" s="236">
        <v>0</v>
      </c>
      <c r="V19" s="236">
        <v>0</v>
      </c>
      <c r="W19" s="236">
        <v>0</v>
      </c>
      <c r="X19" s="236">
        <v>0</v>
      </c>
      <c r="Y19" s="236">
        <v>0</v>
      </c>
      <c r="Z19" s="236">
        <v>0</v>
      </c>
      <c r="AA19" s="236">
        <v>0</v>
      </c>
      <c r="AB19" s="236">
        <v>0</v>
      </c>
      <c r="AC19" s="236">
        <v>0</v>
      </c>
      <c r="AD19" s="236">
        <v>0</v>
      </c>
      <c r="AE19" s="236">
        <v>0</v>
      </c>
      <c r="AF19" s="236">
        <f>'Financial Modeling'!K10</f>
        <v>110000000</v>
      </c>
      <c r="AG19" s="236">
        <f t="shared" ref="AG19:BD19" si="8">AF19</f>
        <v>110000000</v>
      </c>
      <c r="AH19" s="236">
        <f t="shared" si="8"/>
        <v>110000000</v>
      </c>
      <c r="AI19" s="236">
        <f t="shared" si="8"/>
        <v>110000000</v>
      </c>
      <c r="AJ19" s="236">
        <f t="shared" si="8"/>
        <v>110000000</v>
      </c>
      <c r="AK19" s="236">
        <f t="shared" si="8"/>
        <v>110000000</v>
      </c>
      <c r="AL19" s="236">
        <f t="shared" si="8"/>
        <v>110000000</v>
      </c>
      <c r="AM19" s="236">
        <f t="shared" si="8"/>
        <v>110000000</v>
      </c>
      <c r="AN19" s="236">
        <f t="shared" si="8"/>
        <v>110000000</v>
      </c>
      <c r="AO19" s="236">
        <f t="shared" si="8"/>
        <v>110000000</v>
      </c>
      <c r="AP19" s="236">
        <f t="shared" si="8"/>
        <v>110000000</v>
      </c>
      <c r="AQ19" s="236">
        <f t="shared" si="8"/>
        <v>110000000</v>
      </c>
      <c r="AR19" s="236">
        <f t="shared" si="8"/>
        <v>110000000</v>
      </c>
      <c r="AS19" s="236">
        <f t="shared" si="8"/>
        <v>110000000</v>
      </c>
      <c r="AT19" s="236">
        <f t="shared" si="8"/>
        <v>110000000</v>
      </c>
      <c r="AU19" s="236">
        <f t="shared" si="8"/>
        <v>110000000</v>
      </c>
      <c r="AV19" s="236">
        <f t="shared" si="8"/>
        <v>110000000</v>
      </c>
      <c r="AW19" s="236">
        <f t="shared" si="8"/>
        <v>110000000</v>
      </c>
      <c r="AX19" s="236">
        <f t="shared" si="8"/>
        <v>110000000</v>
      </c>
      <c r="AY19" s="236">
        <f t="shared" si="8"/>
        <v>110000000</v>
      </c>
      <c r="AZ19" s="236">
        <f t="shared" si="8"/>
        <v>110000000</v>
      </c>
      <c r="BA19" s="236">
        <f t="shared" si="8"/>
        <v>110000000</v>
      </c>
      <c r="BB19" s="236">
        <f t="shared" si="8"/>
        <v>110000000</v>
      </c>
      <c r="BC19" s="236">
        <f t="shared" si="8"/>
        <v>110000000</v>
      </c>
      <c r="BD19" s="236">
        <f t="shared" si="8"/>
        <v>110000000</v>
      </c>
      <c r="BE19" s="236">
        <v>0</v>
      </c>
      <c r="BF19" s="236">
        <v>0</v>
      </c>
      <c r="BG19" s="236">
        <v>0</v>
      </c>
      <c r="BH19" s="236">
        <v>0</v>
      </c>
      <c r="BI19" s="236">
        <v>0</v>
      </c>
      <c r="BJ19" s="236">
        <v>0</v>
      </c>
      <c r="BK19" s="236">
        <v>0</v>
      </c>
      <c r="BL19" s="236">
        <v>0</v>
      </c>
      <c r="BM19" s="236">
        <v>0</v>
      </c>
      <c r="BN19" s="236">
        <v>0</v>
      </c>
      <c r="BO19" s="236">
        <v>0</v>
      </c>
      <c r="BP19" s="236">
        <v>0</v>
      </c>
      <c r="BQ19" s="236">
        <v>0</v>
      </c>
      <c r="BR19" s="236">
        <v>0</v>
      </c>
      <c r="BS19" s="236">
        <v>0</v>
      </c>
      <c r="BT19" s="236">
        <v>0</v>
      </c>
      <c r="BU19" s="236">
        <v>0</v>
      </c>
      <c r="BV19" s="236">
        <v>0</v>
      </c>
      <c r="BW19" s="236">
        <v>0</v>
      </c>
      <c r="BX19" s="236">
        <v>0</v>
      </c>
      <c r="BY19" s="236">
        <v>0</v>
      </c>
      <c r="BZ19" s="236">
        <v>0</v>
      </c>
      <c r="CA19" s="236">
        <v>0</v>
      </c>
      <c r="CB19" s="236">
        <v>0</v>
      </c>
      <c r="CC19" s="236">
        <v>0</v>
      </c>
      <c r="CD19" s="236">
        <v>0</v>
      </c>
      <c r="CE19" s="236">
        <v>0</v>
      </c>
      <c r="CF19" s="236">
        <v>0</v>
      </c>
      <c r="CG19" s="236">
        <v>0</v>
      </c>
      <c r="CH19" s="236">
        <v>0</v>
      </c>
      <c r="CI19" s="236">
        <v>0</v>
      </c>
      <c r="CJ19" s="236">
        <v>0</v>
      </c>
      <c r="CK19" s="236">
        <v>0</v>
      </c>
      <c r="CL19" s="236">
        <v>0</v>
      </c>
      <c r="CM19" s="236">
        <v>0</v>
      </c>
      <c r="CN19" s="236">
        <v>0</v>
      </c>
      <c r="CO19" s="236">
        <v>0</v>
      </c>
      <c r="CP19" s="236">
        <v>0</v>
      </c>
      <c r="CQ19" s="236">
        <v>0</v>
      </c>
      <c r="CR19" s="236">
        <v>0</v>
      </c>
      <c r="CS19" s="236">
        <v>0</v>
      </c>
      <c r="CT19" s="236">
        <v>0</v>
      </c>
      <c r="CU19" s="236">
        <v>0</v>
      </c>
      <c r="CV19" s="236">
        <v>0</v>
      </c>
      <c r="CW19" s="236">
        <v>0</v>
      </c>
    </row>
    <row r="20" spans="1:101" ht="12.75" customHeight="1" x14ac:dyDescent="0.2">
      <c r="A20" s="221" t="s">
        <v>186</v>
      </c>
      <c r="B20" s="236">
        <v>120000000</v>
      </c>
      <c r="C20" s="236">
        <v>120000000</v>
      </c>
      <c r="D20" s="236">
        <v>120000000</v>
      </c>
      <c r="E20" s="236">
        <v>120000000</v>
      </c>
      <c r="F20" s="236">
        <v>120000000</v>
      </c>
      <c r="G20" s="236">
        <v>160000000</v>
      </c>
      <c r="H20" s="236">
        <v>160000000</v>
      </c>
      <c r="I20" s="236">
        <v>160000000</v>
      </c>
      <c r="J20" s="236">
        <v>160000000</v>
      </c>
      <c r="K20" s="236">
        <v>160000000</v>
      </c>
      <c r="L20" s="236">
        <v>160000000</v>
      </c>
      <c r="M20" s="236">
        <v>160000000</v>
      </c>
      <c r="N20" s="236">
        <v>160000000</v>
      </c>
      <c r="O20" s="236">
        <v>160000000</v>
      </c>
      <c r="P20" s="236">
        <v>160000000</v>
      </c>
      <c r="Q20" s="236">
        <v>160000000</v>
      </c>
      <c r="R20" s="236">
        <v>160000000</v>
      </c>
      <c r="S20" s="236">
        <v>160000000</v>
      </c>
      <c r="T20" s="236">
        <v>160000000</v>
      </c>
      <c r="U20" s="236">
        <v>160000000</v>
      </c>
      <c r="V20" s="236">
        <v>160000000</v>
      </c>
      <c r="W20" s="236">
        <v>160000000</v>
      </c>
      <c r="X20" s="236">
        <v>160000000</v>
      </c>
      <c r="Y20" s="236">
        <v>160000000</v>
      </c>
      <c r="Z20" s="236">
        <v>160000000</v>
      </c>
      <c r="AA20" s="236">
        <v>160000000</v>
      </c>
      <c r="AB20" s="236">
        <v>160000000</v>
      </c>
      <c r="AC20" s="236">
        <v>160000000</v>
      </c>
      <c r="AD20" s="236">
        <v>160000000</v>
      </c>
      <c r="AE20" s="236">
        <v>160000000</v>
      </c>
      <c r="AF20" s="236">
        <v>150000000</v>
      </c>
      <c r="AG20" s="236">
        <v>150000000</v>
      </c>
      <c r="AH20" s="236">
        <v>150000000</v>
      </c>
      <c r="AI20" s="236">
        <v>150000000</v>
      </c>
      <c r="AJ20" s="236">
        <v>150000000</v>
      </c>
      <c r="AK20" s="236">
        <v>150000000</v>
      </c>
      <c r="AL20" s="236">
        <v>150000000</v>
      </c>
      <c r="AM20" s="236">
        <v>150000000</v>
      </c>
      <c r="AN20" s="236">
        <v>150000000</v>
      </c>
      <c r="AO20" s="236">
        <v>150000000</v>
      </c>
      <c r="AP20" s="236">
        <v>150000000</v>
      </c>
      <c r="AQ20" s="236">
        <v>150000000</v>
      </c>
      <c r="AR20" s="236">
        <v>150000000</v>
      </c>
      <c r="AS20" s="236">
        <v>150000000</v>
      </c>
      <c r="AT20" s="236">
        <v>150000000</v>
      </c>
      <c r="AU20" s="236">
        <v>150000000</v>
      </c>
      <c r="AV20" s="236">
        <v>150000000</v>
      </c>
      <c r="AW20" s="236">
        <v>150000000</v>
      </c>
      <c r="AX20" s="236">
        <v>150000000</v>
      </c>
      <c r="AY20" s="236">
        <v>150000000</v>
      </c>
      <c r="AZ20" s="236">
        <v>150000000</v>
      </c>
      <c r="BA20" s="236">
        <v>150000000</v>
      </c>
      <c r="BB20" s="236">
        <v>150000000</v>
      </c>
      <c r="BC20" s="236">
        <v>150000000</v>
      </c>
      <c r="BD20" s="236">
        <v>150000000</v>
      </c>
      <c r="BE20" s="236">
        <v>0</v>
      </c>
      <c r="BF20" s="236">
        <v>0</v>
      </c>
      <c r="BG20" s="236">
        <v>0</v>
      </c>
      <c r="BH20" s="236">
        <v>0</v>
      </c>
      <c r="BI20" s="236">
        <v>0</v>
      </c>
      <c r="BJ20" s="236">
        <v>0</v>
      </c>
      <c r="BK20" s="236">
        <v>0</v>
      </c>
      <c r="BL20" s="236">
        <v>0</v>
      </c>
      <c r="BM20" s="236">
        <v>0</v>
      </c>
      <c r="BN20" s="236">
        <v>0</v>
      </c>
      <c r="BO20" s="236">
        <v>0</v>
      </c>
      <c r="BP20" s="236">
        <v>0</v>
      </c>
      <c r="BQ20" s="236">
        <v>0</v>
      </c>
      <c r="BR20" s="236">
        <v>0</v>
      </c>
      <c r="BS20" s="236">
        <v>0</v>
      </c>
      <c r="BT20" s="236">
        <v>0</v>
      </c>
      <c r="BU20" s="236">
        <v>0</v>
      </c>
      <c r="BV20" s="236">
        <v>0</v>
      </c>
      <c r="BW20" s="236">
        <v>0</v>
      </c>
      <c r="BX20" s="236">
        <v>0</v>
      </c>
      <c r="BY20" s="236">
        <v>0</v>
      </c>
      <c r="BZ20" s="236">
        <v>0</v>
      </c>
      <c r="CA20" s="236">
        <v>0</v>
      </c>
      <c r="CB20" s="236">
        <v>0</v>
      </c>
      <c r="CC20" s="236">
        <v>0</v>
      </c>
      <c r="CD20" s="236">
        <v>0</v>
      </c>
      <c r="CE20" s="236">
        <v>0</v>
      </c>
      <c r="CF20" s="236">
        <v>0</v>
      </c>
      <c r="CG20" s="236">
        <v>0</v>
      </c>
      <c r="CH20" s="236">
        <v>0</v>
      </c>
      <c r="CI20" s="236">
        <v>0</v>
      </c>
      <c r="CJ20" s="236">
        <v>0</v>
      </c>
      <c r="CK20" s="236">
        <v>0</v>
      </c>
      <c r="CL20" s="236">
        <v>0</v>
      </c>
      <c r="CM20" s="236">
        <v>0</v>
      </c>
      <c r="CN20" s="236">
        <v>0</v>
      </c>
      <c r="CO20" s="236">
        <v>0</v>
      </c>
      <c r="CP20" s="236">
        <v>0</v>
      </c>
      <c r="CQ20" s="236">
        <v>0</v>
      </c>
      <c r="CR20" s="236">
        <v>0</v>
      </c>
      <c r="CS20" s="236">
        <v>0</v>
      </c>
      <c r="CT20" s="236">
        <v>0</v>
      </c>
      <c r="CU20" s="236">
        <v>0</v>
      </c>
      <c r="CV20" s="236">
        <v>0</v>
      </c>
      <c r="CW20" s="236">
        <v>0</v>
      </c>
    </row>
    <row r="21" spans="1:101" ht="12.75" customHeight="1" x14ac:dyDescent="0.2">
      <c r="A21" s="221"/>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row>
    <row r="22" spans="1:101" ht="12.75" customHeight="1" x14ac:dyDescent="0.2">
      <c r="A22" s="221" t="s">
        <v>187</v>
      </c>
      <c r="B22" s="236">
        <f t="shared" ref="B22:CW22" si="9">-B10</f>
        <v>-83158684.291249871</v>
      </c>
      <c r="C22" s="236">
        <f t="shared" si="9"/>
        <v>-85986079.557152361</v>
      </c>
      <c r="D22" s="236">
        <f t="shared" si="9"/>
        <v>-88870022.728372902</v>
      </c>
      <c r="E22" s="236">
        <f t="shared" si="9"/>
        <v>-91811644.763017863</v>
      </c>
      <c r="F22" s="236">
        <f t="shared" si="9"/>
        <v>-94812099.238355726</v>
      </c>
      <c r="G22" s="236">
        <f t="shared" si="9"/>
        <v>-97872562.803200334</v>
      </c>
      <c r="H22" s="236">
        <f t="shared" si="9"/>
        <v>-100994235.63934185</v>
      </c>
      <c r="I22" s="236">
        <f t="shared" si="9"/>
        <v>-104178341.93220618</v>
      </c>
      <c r="J22" s="236">
        <f t="shared" si="9"/>
        <v>-107426130.3509278</v>
      </c>
      <c r="K22" s="236">
        <f t="shared" si="9"/>
        <v>-110738874.53802386</v>
      </c>
      <c r="L22" s="236">
        <f t="shared" si="9"/>
        <v>-114117873.60886183</v>
      </c>
      <c r="M22" s="236">
        <f t="shared" si="9"/>
        <v>-117564452.66111657</v>
      </c>
      <c r="N22" s="236">
        <f t="shared" si="9"/>
        <v>-121079963.2944164</v>
      </c>
      <c r="O22" s="236">
        <f t="shared" si="9"/>
        <v>-124665784.14038223</v>
      </c>
      <c r="P22" s="236">
        <f t="shared" si="9"/>
        <v>-128323321.40326737</v>
      </c>
      <c r="Q22" s="236">
        <f t="shared" si="9"/>
        <v>-132054009.41141021</v>
      </c>
      <c r="R22" s="236">
        <f t="shared" si="9"/>
        <v>-135859311.1797159</v>
      </c>
      <c r="S22" s="236">
        <f t="shared" si="9"/>
        <v>-139740718.98338771</v>
      </c>
      <c r="T22" s="236">
        <f t="shared" si="9"/>
        <v>-143699754.94313297</v>
      </c>
      <c r="U22" s="236">
        <f t="shared" si="9"/>
        <v>-147737971.62207311</v>
      </c>
      <c r="V22" s="236">
        <f t="shared" si="9"/>
        <v>-151856952.63459209</v>
      </c>
      <c r="W22" s="236">
        <f t="shared" si="9"/>
        <v>-156058313.26736143</v>
      </c>
      <c r="X22" s="236">
        <f t="shared" si="9"/>
        <v>-160343701.11278617</v>
      </c>
      <c r="Y22" s="236">
        <f t="shared" si="9"/>
        <v>-164714796.71511939</v>
      </c>
      <c r="Z22" s="236">
        <f t="shared" si="9"/>
        <v>-169173314.22949928</v>
      </c>
      <c r="AA22" s="236">
        <f t="shared" si="9"/>
        <v>-173721002.09416676</v>
      </c>
      <c r="AB22" s="236">
        <f t="shared" si="9"/>
        <v>-178359643.71612757</v>
      </c>
      <c r="AC22" s="236">
        <f t="shared" si="9"/>
        <v>-183091058.17052764</v>
      </c>
      <c r="AD22" s="236">
        <f t="shared" si="9"/>
        <v>-187917100.91401568</v>
      </c>
      <c r="AE22" s="236">
        <f t="shared" si="9"/>
        <v>-192839664.51237351</v>
      </c>
      <c r="AF22" s="236">
        <f t="shared" si="9"/>
        <v>-197860679.38269848</v>
      </c>
      <c r="AG22" s="236">
        <f t="shared" si="9"/>
        <v>-202982114.55042994</v>
      </c>
      <c r="AH22" s="236">
        <f t="shared" si="9"/>
        <v>-208205978.42151603</v>
      </c>
      <c r="AI22" s="236">
        <f t="shared" si="9"/>
        <v>-213534319.57002386</v>
      </c>
      <c r="AJ22" s="236">
        <f t="shared" si="9"/>
        <v>-218969227.54150185</v>
      </c>
      <c r="AK22" s="236">
        <f t="shared" si="9"/>
        <v>-224512833.67240939</v>
      </c>
      <c r="AL22" s="236">
        <f t="shared" si="9"/>
        <v>-230167311.92593506</v>
      </c>
      <c r="AM22" s="236">
        <f t="shared" si="9"/>
        <v>-235934879.74453127</v>
      </c>
      <c r="AN22" s="236">
        <f t="shared" si="9"/>
        <v>-241817798.9194994</v>
      </c>
      <c r="AO22" s="236">
        <f t="shared" si="9"/>
        <v>-247818376.47796687</v>
      </c>
      <c r="AP22" s="236">
        <f t="shared" si="9"/>
        <v>-253938965.58760372</v>
      </c>
      <c r="AQ22" s="236">
        <f t="shared" si="9"/>
        <v>-260181966.4794333</v>
      </c>
      <c r="AR22" s="236">
        <f t="shared" si="9"/>
        <v>-266549827.38909945</v>
      </c>
      <c r="AS22" s="236">
        <f t="shared" si="9"/>
        <v>-273045045.51695895</v>
      </c>
      <c r="AT22" s="236">
        <f t="shared" si="9"/>
        <v>-279670168.00737566</v>
      </c>
      <c r="AU22" s="236">
        <f t="shared" si="9"/>
        <v>-286427792.94760066</v>
      </c>
      <c r="AV22" s="236">
        <f t="shared" si="9"/>
        <v>-293320570.38663018</v>
      </c>
      <c r="AW22" s="236">
        <f t="shared" si="9"/>
        <v>-300351203.37444025</v>
      </c>
      <c r="AX22" s="236">
        <f t="shared" si="9"/>
        <v>-307522449.02200657</v>
      </c>
      <c r="AY22" s="236">
        <f t="shared" si="9"/>
        <v>-314837119.58252418</v>
      </c>
      <c r="AZ22" s="236">
        <f t="shared" si="9"/>
        <v>-322298083.55425215</v>
      </c>
      <c r="BA22" s="236">
        <f t="shared" si="9"/>
        <v>-329908266.80541468</v>
      </c>
      <c r="BB22" s="236">
        <f t="shared" si="9"/>
        <v>-337670653.72160047</v>
      </c>
      <c r="BC22" s="236">
        <f t="shared" si="9"/>
        <v>-345588288.37610996</v>
      </c>
      <c r="BD22" s="236">
        <f t="shared" si="9"/>
        <v>-353664275.72370964</v>
      </c>
      <c r="BE22" s="236">
        <f t="shared" si="9"/>
        <v>-361901782.81826133</v>
      </c>
      <c r="BF22" s="236">
        <f t="shared" si="9"/>
        <v>-370304040.05470407</v>
      </c>
      <c r="BG22" s="236">
        <f t="shared" si="9"/>
        <v>-378874342.43587565</v>
      </c>
      <c r="BH22" s="236">
        <f t="shared" si="9"/>
        <v>-387616050.86467063</v>
      </c>
      <c r="BI22" s="236">
        <f t="shared" si="9"/>
        <v>-396532593.46204156</v>
      </c>
      <c r="BJ22" s="236">
        <f t="shared" si="9"/>
        <v>-405627466.91135991</v>
      </c>
      <c r="BK22" s="236">
        <f t="shared" si="9"/>
        <v>-414904237.82966459</v>
      </c>
      <c r="BL22" s="236">
        <f t="shared" si="9"/>
        <v>-424366544.1663354</v>
      </c>
      <c r="BM22" s="236">
        <f t="shared" si="9"/>
        <v>-434018096.62973958</v>
      </c>
      <c r="BN22" s="236">
        <f t="shared" si="9"/>
        <v>-443862680.14241189</v>
      </c>
      <c r="BO22" s="236">
        <f t="shared" si="9"/>
        <v>-453904155.32533765</v>
      </c>
      <c r="BP22" s="236">
        <f t="shared" si="9"/>
        <v>-464146460.01192188</v>
      </c>
      <c r="BQ22" s="236">
        <f t="shared" si="9"/>
        <v>-474593610.79223782</v>
      </c>
      <c r="BR22" s="236">
        <f t="shared" si="9"/>
        <v>-485249704.5881601</v>
      </c>
      <c r="BS22" s="236">
        <f t="shared" si="9"/>
        <v>-496118920.26000082</v>
      </c>
      <c r="BT22" s="236">
        <f t="shared" si="9"/>
        <v>-507205520.24527836</v>
      </c>
      <c r="BU22" s="236">
        <f t="shared" si="9"/>
        <v>-518513852.23026145</v>
      </c>
      <c r="BV22" s="236">
        <f t="shared" si="9"/>
        <v>-530048350.85494417</v>
      </c>
      <c r="BW22" s="236">
        <f t="shared" si="9"/>
        <v>-541813539.45212054</v>
      </c>
      <c r="BX22" s="236">
        <f t="shared" si="9"/>
        <v>-553814031.82124043</v>
      </c>
      <c r="BY22" s="236">
        <f t="shared" si="9"/>
        <v>-566054534.03774273</v>
      </c>
      <c r="BZ22" s="236">
        <f t="shared" si="9"/>
        <v>-578539846.29857504</v>
      </c>
      <c r="CA22" s="236">
        <f t="shared" si="9"/>
        <v>-591274864.80462408</v>
      </c>
      <c r="CB22" s="236">
        <f t="shared" si="9"/>
        <v>-604264583.680794</v>
      </c>
      <c r="CC22" s="236">
        <f t="shared" si="9"/>
        <v>-617514096.93448734</v>
      </c>
      <c r="CD22" s="236">
        <f t="shared" si="9"/>
        <v>-631028600.45325458</v>
      </c>
      <c r="CE22" s="236">
        <f t="shared" si="9"/>
        <v>-644813394.04239714</v>
      </c>
      <c r="CF22" s="236">
        <f t="shared" si="9"/>
        <v>-658873883.5033226</v>
      </c>
      <c r="CG22" s="236">
        <f t="shared" si="9"/>
        <v>-673215582.75346661</v>
      </c>
      <c r="CH22" s="236">
        <f t="shared" si="9"/>
        <v>-687844115.98861349</v>
      </c>
      <c r="CI22" s="236">
        <f t="shared" si="9"/>
        <v>-702765219.88846326</v>
      </c>
      <c r="CJ22" s="236">
        <f t="shared" si="9"/>
        <v>-717984745.86631</v>
      </c>
      <c r="CK22" s="236">
        <f t="shared" si="9"/>
        <v>-733508662.36371374</v>
      </c>
      <c r="CL22" s="236">
        <f t="shared" si="9"/>
        <v>-749343057.19106555</v>
      </c>
      <c r="CM22" s="236">
        <f t="shared" si="9"/>
        <v>-765494139.91496432</v>
      </c>
      <c r="CN22" s="236">
        <f t="shared" si="9"/>
        <v>-781968244.29334104</v>
      </c>
      <c r="CO22" s="236">
        <f t="shared" si="9"/>
        <v>-798771830.75928533</v>
      </c>
      <c r="CP22" s="236">
        <f t="shared" si="9"/>
        <v>-815911488.95454848</v>
      </c>
      <c r="CQ22" s="236">
        <f t="shared" si="9"/>
        <v>-833393940.31371689</v>
      </c>
      <c r="CR22" s="236">
        <f t="shared" si="9"/>
        <v>-851226040.70006871</v>
      </c>
      <c r="CS22" s="236">
        <f t="shared" si="9"/>
        <v>-869414783.09414756</v>
      </c>
      <c r="CT22" s="236">
        <f t="shared" si="9"/>
        <v>-887967300.33610797</v>
      </c>
      <c r="CU22" s="236">
        <f t="shared" si="9"/>
        <v>-906890867.92290759</v>
      </c>
      <c r="CV22" s="236">
        <f t="shared" si="9"/>
        <v>-926192906.86144328</v>
      </c>
      <c r="CW22" s="236">
        <f t="shared" si="9"/>
        <v>-945880986.57874966</v>
      </c>
    </row>
    <row r="23" spans="1:101" ht="12.75" customHeight="1" x14ac:dyDescent="0.2">
      <c r="A23" s="221" t="s">
        <v>188</v>
      </c>
      <c r="B23" s="236">
        <f t="shared" ref="B23:CW23" si="10">B9+B22</f>
        <v>-83158684.291249871</v>
      </c>
      <c r="C23" s="236">
        <f t="shared" si="10"/>
        <v>-85986079.557152361</v>
      </c>
      <c r="D23" s="236">
        <f t="shared" si="10"/>
        <v>-88870022.728372902</v>
      </c>
      <c r="E23" s="236">
        <f t="shared" si="10"/>
        <v>-91811644.763017863</v>
      </c>
      <c r="F23" s="236">
        <f t="shared" si="10"/>
        <v>-94812099.238355726</v>
      </c>
      <c r="G23" s="236">
        <f t="shared" si="10"/>
        <v>-97872562.803200334</v>
      </c>
      <c r="H23" s="236">
        <f t="shared" si="10"/>
        <v>-92451698.293610156</v>
      </c>
      <c r="I23" s="236">
        <f t="shared" si="10"/>
        <v>-86878949.513201028</v>
      </c>
      <c r="J23" s="236">
        <f t="shared" si="10"/>
        <v>-81150186.843027234</v>
      </c>
      <c r="K23" s="236">
        <f t="shared" si="10"/>
        <v>-75261170.538017049</v>
      </c>
      <c r="L23" s="236">
        <f t="shared" si="10"/>
        <v>-69207547.815943986</v>
      </c>
      <c r="M23" s="236">
        <f t="shared" si="10"/>
        <v>-62984849.867993921</v>
      </c>
      <c r="N23" s="236">
        <f t="shared" si="10"/>
        <v>-56588488.788522355</v>
      </c>
      <c r="O23" s="236">
        <f t="shared" si="10"/>
        <v>-50013754.421481296</v>
      </c>
      <c r="P23" s="236">
        <f t="shared" si="10"/>
        <v>-43255811.12087068</v>
      </c>
      <c r="Q23" s="236">
        <f t="shared" si="10"/>
        <v>-36309694.422432333</v>
      </c>
      <c r="R23" s="236">
        <f t="shared" si="10"/>
        <v>-29170307.623654947</v>
      </c>
      <c r="S23" s="236">
        <f t="shared" si="10"/>
        <v>-21832418.268994793</v>
      </c>
      <c r="T23" s="236">
        <f t="shared" si="10"/>
        <v>-14290654.537035823</v>
      </c>
      <c r="U23" s="236">
        <f t="shared" si="10"/>
        <v>-6539501.526113987</v>
      </c>
      <c r="V23" s="236">
        <f t="shared" si="10"/>
        <v>1426702.5652895868</v>
      </c>
      <c r="W23" s="236">
        <f t="shared" si="10"/>
        <v>9613770.3673262894</v>
      </c>
      <c r="X23" s="236">
        <f t="shared" si="10"/>
        <v>18027669.380938083</v>
      </c>
      <c r="Y23" s="236">
        <f t="shared" si="10"/>
        <v>26674526.137907505</v>
      </c>
      <c r="Z23" s="236">
        <f t="shared" si="10"/>
        <v>35560501.425577313</v>
      </c>
      <c r="AA23" s="236">
        <f t="shared" si="10"/>
        <v>44624068.213147551</v>
      </c>
      <c r="AB23" s="236">
        <f t="shared" si="10"/>
        <v>53868778.35166055</v>
      </c>
      <c r="AC23" s="236">
        <f t="shared" si="10"/>
        <v>63298254.72960034</v>
      </c>
      <c r="AD23" s="236">
        <f t="shared" si="10"/>
        <v>72916192.693649977</v>
      </c>
      <c r="AE23" s="236">
        <f t="shared" si="10"/>
        <v>82726361.497864008</v>
      </c>
      <c r="AF23" s="236">
        <f t="shared" si="10"/>
        <v>92732605.781824827</v>
      </c>
      <c r="AG23" s="236">
        <f t="shared" si="10"/>
        <v>102938847.07836199</v>
      </c>
      <c r="AH23" s="236">
        <f t="shared" si="10"/>
        <v>113349085.35142627</v>
      </c>
      <c r="AI23" s="236">
        <f t="shared" si="10"/>
        <v>123967400.56472149</v>
      </c>
      <c r="AJ23" s="236">
        <f t="shared" si="10"/>
        <v>134797954.2817091</v>
      </c>
      <c r="AK23" s="236">
        <f t="shared" si="10"/>
        <v>145844991.29761282</v>
      </c>
      <c r="AL23" s="236">
        <f t="shared" si="10"/>
        <v>157112841.30406389</v>
      </c>
      <c r="AM23" s="236">
        <f t="shared" si="10"/>
        <v>168605920.58703917</v>
      </c>
      <c r="AN23" s="236">
        <f t="shared" si="10"/>
        <v>180328733.75875843</v>
      </c>
      <c r="AO23" s="236">
        <f t="shared" si="10"/>
        <v>192285875.5242196</v>
      </c>
      <c r="AP23" s="236">
        <f t="shared" si="10"/>
        <v>204482032.48306504</v>
      </c>
      <c r="AQ23" s="236">
        <f t="shared" si="10"/>
        <v>216921984.96748531</v>
      </c>
      <c r="AR23" s="236">
        <f t="shared" si="10"/>
        <v>229610608.91688123</v>
      </c>
      <c r="AS23" s="236">
        <f t="shared" si="10"/>
        <v>242552877.79001945</v>
      </c>
      <c r="AT23" s="236">
        <f t="shared" si="10"/>
        <v>255753864.51543123</v>
      </c>
      <c r="AU23" s="236">
        <f t="shared" si="10"/>
        <v>269218743.48081964</v>
      </c>
      <c r="AV23" s="236">
        <f t="shared" si="10"/>
        <v>282952792.56225502</v>
      </c>
      <c r="AW23" s="236">
        <f t="shared" si="10"/>
        <v>296961395.19395441</v>
      </c>
      <c r="AX23" s="236">
        <f t="shared" si="10"/>
        <v>311250042.47945708</v>
      </c>
      <c r="AY23" s="236">
        <f t="shared" si="10"/>
        <v>325824335.34502399</v>
      </c>
      <c r="AZ23" s="236">
        <f t="shared" si="10"/>
        <v>340689986.73610485</v>
      </c>
      <c r="BA23" s="236">
        <f t="shared" si="10"/>
        <v>355852823.85773528</v>
      </c>
      <c r="BB23" s="236">
        <f t="shared" si="10"/>
        <v>371318790.45974225</v>
      </c>
      <c r="BC23" s="236">
        <f t="shared" si="10"/>
        <v>387093949.16765356</v>
      </c>
      <c r="BD23" s="236">
        <f t="shared" si="10"/>
        <v>403184483.86022586</v>
      </c>
      <c r="BE23" s="236">
        <f t="shared" si="10"/>
        <v>419596702.09452385</v>
      </c>
      <c r="BF23" s="236">
        <f t="shared" si="10"/>
        <v>436337037.57950079</v>
      </c>
      <c r="BG23" s="236">
        <f t="shared" si="10"/>
        <v>453412052.69905174</v>
      </c>
      <c r="BH23" s="236">
        <f t="shared" si="10"/>
        <v>470828441.08552682</v>
      </c>
      <c r="BI23" s="236">
        <f t="shared" si="10"/>
        <v>488593030.24471658</v>
      </c>
      <c r="BJ23" s="236">
        <f t="shared" si="10"/>
        <v>506712784.23333645</v>
      </c>
      <c r="BK23" s="236">
        <f t="shared" si="10"/>
        <v>525194806.39006138</v>
      </c>
      <c r="BL23" s="236">
        <f t="shared" si="10"/>
        <v>544046342.12118125</v>
      </c>
      <c r="BM23" s="236">
        <f t="shared" si="10"/>
        <v>563274781.74197078</v>
      </c>
      <c r="BN23" s="236">
        <f t="shared" si="10"/>
        <v>582887663.37488556</v>
      </c>
      <c r="BO23" s="236">
        <f t="shared" si="10"/>
        <v>602892675.90572381</v>
      </c>
      <c r="BP23" s="236">
        <f t="shared" si="10"/>
        <v>623297661.99891043</v>
      </c>
      <c r="BQ23" s="236">
        <f t="shared" si="10"/>
        <v>644110621.17308855</v>
      </c>
      <c r="BR23" s="236">
        <f t="shared" si="10"/>
        <v>665339712.93822193</v>
      </c>
      <c r="BS23" s="236">
        <f t="shared" si="10"/>
        <v>686993259.99544036</v>
      </c>
      <c r="BT23" s="236">
        <f t="shared" si="10"/>
        <v>709079751.50088263</v>
      </c>
      <c r="BU23" s="236">
        <f t="shared" si="10"/>
        <v>731607846.39481628</v>
      </c>
      <c r="BV23" s="236">
        <f t="shared" si="10"/>
        <v>754586376.79733992</v>
      </c>
      <c r="BW23" s="236">
        <f t="shared" si="10"/>
        <v>778024351.47200108</v>
      </c>
      <c r="BX23" s="236">
        <f t="shared" si="10"/>
        <v>801930959.35868573</v>
      </c>
      <c r="BY23" s="236">
        <f t="shared" si="10"/>
        <v>826315573.1771661</v>
      </c>
      <c r="BZ23" s="236">
        <f t="shared" si="10"/>
        <v>851187753.10272086</v>
      </c>
      <c r="CA23" s="236">
        <f t="shared" si="10"/>
        <v>876557250.5152669</v>
      </c>
      <c r="CB23" s="236">
        <f t="shared" si="10"/>
        <v>902434011.82347512</v>
      </c>
      <c r="CC23" s="236">
        <f t="shared" si="10"/>
        <v>928828182.36536813</v>
      </c>
      <c r="CD23" s="236">
        <f t="shared" si="10"/>
        <v>955750110.38693154</v>
      </c>
      <c r="CE23" s="236">
        <f t="shared" si="10"/>
        <v>983210351.10029685</v>
      </c>
      <c r="CF23" s="236">
        <f t="shared" si="10"/>
        <v>1011219670.8230886</v>
      </c>
      <c r="CG23" s="236">
        <f t="shared" si="10"/>
        <v>1039789051.2005601</v>
      </c>
      <c r="CH23" s="236">
        <f t="shared" si="10"/>
        <v>1068929693.5121707</v>
      </c>
      <c r="CI23" s="236">
        <f t="shared" si="10"/>
        <v>1098653023.0642965</v>
      </c>
      <c r="CJ23" s="236">
        <f t="shared" si="10"/>
        <v>1128970693.670795</v>
      </c>
      <c r="CK23" s="236">
        <f t="shared" si="10"/>
        <v>1159894592.223181</v>
      </c>
      <c r="CL23" s="236">
        <f t="shared" si="10"/>
        <v>1191436843.3522093</v>
      </c>
      <c r="CM23" s="236">
        <f t="shared" si="10"/>
        <v>1223609814.1826859</v>
      </c>
      <c r="CN23" s="236">
        <f t="shared" si="10"/>
        <v>1256426119.1833787</v>
      </c>
      <c r="CO23" s="236">
        <f t="shared" si="10"/>
        <v>1289898625.113925</v>
      </c>
      <c r="CP23" s="236">
        <f t="shared" si="10"/>
        <v>1324040456.0706801</v>
      </c>
      <c r="CQ23" s="236">
        <f t="shared" si="10"/>
        <v>1358864998.633482</v>
      </c>
      <c r="CR23" s="236">
        <f t="shared" si="10"/>
        <v>1394385907.1153505</v>
      </c>
      <c r="CS23" s="236">
        <f t="shared" si="10"/>
        <v>1430617108.9171848</v>
      </c>
      <c r="CT23" s="236">
        <f t="shared" si="10"/>
        <v>1467572809.9895527</v>
      </c>
      <c r="CU23" s="236">
        <f t="shared" si="10"/>
        <v>1505267500.4037158</v>
      </c>
      <c r="CV23" s="236">
        <f t="shared" si="10"/>
        <v>1543715960.0340784</v>
      </c>
      <c r="CW23" s="236">
        <f t="shared" si="10"/>
        <v>1582933264.3542838</v>
      </c>
    </row>
    <row r="24" spans="1:101" ht="12.75" customHeight="1" x14ac:dyDescent="0.2">
      <c r="A24" s="221" t="s">
        <v>189</v>
      </c>
      <c r="B24" s="236">
        <f t="shared" ref="B24:CW24" si="11">SUM(B17:B19)-B11+B23</f>
        <v>36841315.708750129</v>
      </c>
      <c r="C24" s="236">
        <f t="shared" si="11"/>
        <v>28013920.442847639</v>
      </c>
      <c r="D24" s="236">
        <f t="shared" si="11"/>
        <v>19129977.271627098</v>
      </c>
      <c r="E24" s="236">
        <f t="shared" si="11"/>
        <v>10188355.236982137</v>
      </c>
      <c r="F24" s="236">
        <f t="shared" si="11"/>
        <v>1187900.761644274</v>
      </c>
      <c r="G24" s="236">
        <f t="shared" si="11"/>
        <v>7127437.1967996657</v>
      </c>
      <c r="H24" s="236">
        <f t="shared" si="11"/>
        <v>5798301.7063898444</v>
      </c>
      <c r="I24" s="236">
        <f t="shared" si="11"/>
        <v>4621050.4867989719</v>
      </c>
      <c r="J24" s="236">
        <f t="shared" si="11"/>
        <v>3599813.1569727659</v>
      </c>
      <c r="K24" s="236">
        <f t="shared" si="11"/>
        <v>2738829.4619829506</v>
      </c>
      <c r="L24" s="236">
        <f t="shared" si="11"/>
        <v>2042452.1840560138</v>
      </c>
      <c r="M24" s="236">
        <f t="shared" si="11"/>
        <v>1515150.132006079</v>
      </c>
      <c r="N24" s="236">
        <f t="shared" si="11"/>
        <v>1161511.2114776447</v>
      </c>
      <c r="O24" s="236">
        <f t="shared" si="11"/>
        <v>986245.57851870358</v>
      </c>
      <c r="P24" s="236">
        <f t="shared" si="11"/>
        <v>994188.87912932038</v>
      </c>
      <c r="Q24" s="236">
        <f t="shared" si="11"/>
        <v>1190305.5775676668</v>
      </c>
      <c r="R24" s="236">
        <f t="shared" si="11"/>
        <v>1579692.3763450533</v>
      </c>
      <c r="S24" s="236">
        <f t="shared" si="11"/>
        <v>2167581.7310052067</v>
      </c>
      <c r="T24" s="236">
        <f t="shared" si="11"/>
        <v>2959345.4629641771</v>
      </c>
      <c r="U24" s="236">
        <f t="shared" si="11"/>
        <v>3960498.473886013</v>
      </c>
      <c r="V24" s="236">
        <f t="shared" si="11"/>
        <v>5176702.5652895868</v>
      </c>
      <c r="W24" s="236">
        <f t="shared" si="11"/>
        <v>6613770.3673262894</v>
      </c>
      <c r="X24" s="236">
        <f t="shared" si="11"/>
        <v>8277669.3809380829</v>
      </c>
      <c r="Y24" s="236">
        <f t="shared" si="11"/>
        <v>10174526.137907505</v>
      </c>
      <c r="Z24" s="236">
        <f t="shared" si="11"/>
        <v>12310501.425577313</v>
      </c>
      <c r="AA24" s="236">
        <f t="shared" si="11"/>
        <v>14624068.213147551</v>
      </c>
      <c r="AB24" s="236">
        <f t="shared" si="11"/>
        <v>17118778.35166055</v>
      </c>
      <c r="AC24" s="236">
        <f t="shared" si="11"/>
        <v>19798254.72960034</v>
      </c>
      <c r="AD24" s="236">
        <f t="shared" si="11"/>
        <v>22666192.693649977</v>
      </c>
      <c r="AE24" s="236">
        <f t="shared" si="11"/>
        <v>25726361.497864008</v>
      </c>
      <c r="AF24" s="236">
        <f t="shared" si="11"/>
        <v>3982605.7818248272</v>
      </c>
      <c r="AG24" s="236">
        <f t="shared" si="11"/>
        <v>8688847.0783619881</v>
      </c>
      <c r="AH24" s="236">
        <f t="shared" si="11"/>
        <v>13599085.351426274</v>
      </c>
      <c r="AI24" s="236">
        <f t="shared" si="11"/>
        <v>18717400.564721495</v>
      </c>
      <c r="AJ24" s="236">
        <f t="shared" si="11"/>
        <v>24047954.281709105</v>
      </c>
      <c r="AK24" s="236">
        <f t="shared" si="11"/>
        <v>29594991.297612816</v>
      </c>
      <c r="AL24" s="236">
        <f t="shared" si="11"/>
        <v>35362841.304063886</v>
      </c>
      <c r="AM24" s="236">
        <f t="shared" si="11"/>
        <v>41355920.587039173</v>
      </c>
      <c r="AN24" s="236">
        <f t="shared" si="11"/>
        <v>47578733.758758426</v>
      </c>
      <c r="AO24" s="236">
        <f t="shared" si="11"/>
        <v>54035875.524219602</v>
      </c>
      <c r="AP24" s="236">
        <f t="shared" si="11"/>
        <v>60732032.483065039</v>
      </c>
      <c r="AQ24" s="236">
        <f t="shared" si="11"/>
        <v>67671984.967485309</v>
      </c>
      <c r="AR24" s="236">
        <f t="shared" si="11"/>
        <v>74860608.916881233</v>
      </c>
      <c r="AS24" s="236">
        <f t="shared" si="11"/>
        <v>82302877.790019453</v>
      </c>
      <c r="AT24" s="236">
        <f t="shared" si="11"/>
        <v>90003864.515431225</v>
      </c>
      <c r="AU24" s="236">
        <f t="shared" si="11"/>
        <v>97968743.480819643</v>
      </c>
      <c r="AV24" s="236">
        <f t="shared" si="11"/>
        <v>106202792.56225502</v>
      </c>
      <c r="AW24" s="236">
        <f t="shared" si="11"/>
        <v>114711395.19395441</v>
      </c>
      <c r="AX24" s="236">
        <f t="shared" si="11"/>
        <v>123500042.47945708</v>
      </c>
      <c r="AY24" s="236">
        <f t="shared" si="11"/>
        <v>132574335.34502399</v>
      </c>
      <c r="AZ24" s="236">
        <f t="shared" si="11"/>
        <v>141939986.73610485</v>
      </c>
      <c r="BA24" s="236">
        <f t="shared" si="11"/>
        <v>157102823.85773528</v>
      </c>
      <c r="BB24" s="236">
        <f t="shared" si="11"/>
        <v>172568790.45974225</v>
      </c>
      <c r="BC24" s="236">
        <f t="shared" si="11"/>
        <v>188343949.16765356</v>
      </c>
      <c r="BD24" s="236">
        <f t="shared" si="11"/>
        <v>204434483.86022586</v>
      </c>
      <c r="BE24" s="236">
        <f t="shared" si="11"/>
        <v>110846702.09452385</v>
      </c>
      <c r="BF24" s="236">
        <f t="shared" si="11"/>
        <v>127587037.57950079</v>
      </c>
      <c r="BG24" s="236">
        <f t="shared" si="11"/>
        <v>144662052.69905174</v>
      </c>
      <c r="BH24" s="236">
        <f t="shared" si="11"/>
        <v>162078441.08552682</v>
      </c>
      <c r="BI24" s="236">
        <f t="shared" si="11"/>
        <v>179843030.24471658</v>
      </c>
      <c r="BJ24" s="236">
        <f t="shared" si="11"/>
        <v>197962784.23333645</v>
      </c>
      <c r="BK24" s="236">
        <f t="shared" si="11"/>
        <v>216444806.39006138</v>
      </c>
      <c r="BL24" s="236">
        <f t="shared" si="11"/>
        <v>235296342.12118125</v>
      </c>
      <c r="BM24" s="236">
        <f t="shared" si="11"/>
        <v>254524781.74197078</v>
      </c>
      <c r="BN24" s="236">
        <f t="shared" si="11"/>
        <v>274137663.37488556</v>
      </c>
      <c r="BO24" s="236">
        <f t="shared" si="11"/>
        <v>294142675.90572381</v>
      </c>
      <c r="BP24" s="236">
        <f t="shared" si="11"/>
        <v>314547661.99891043</v>
      </c>
      <c r="BQ24" s="236">
        <f t="shared" si="11"/>
        <v>335360621.17308855</v>
      </c>
      <c r="BR24" s="236">
        <f t="shared" si="11"/>
        <v>356589712.93822193</v>
      </c>
      <c r="BS24" s="236">
        <f t="shared" si="11"/>
        <v>378243259.99544036</v>
      </c>
      <c r="BT24" s="236">
        <f t="shared" si="11"/>
        <v>400329751.50088263</v>
      </c>
      <c r="BU24" s="236">
        <f t="shared" si="11"/>
        <v>422857846.39481628</v>
      </c>
      <c r="BV24" s="236">
        <f t="shared" si="11"/>
        <v>445836376.79733992</v>
      </c>
      <c r="BW24" s="236">
        <f t="shared" si="11"/>
        <v>469274351.47200108</v>
      </c>
      <c r="BX24" s="236">
        <f t="shared" si="11"/>
        <v>493180959.35868573</v>
      </c>
      <c r="BY24" s="236">
        <f t="shared" si="11"/>
        <v>517565573.1771661</v>
      </c>
      <c r="BZ24" s="236">
        <f t="shared" si="11"/>
        <v>542437753.10272086</v>
      </c>
      <c r="CA24" s="236">
        <f t="shared" si="11"/>
        <v>567807250.5152669</v>
      </c>
      <c r="CB24" s="236">
        <f t="shared" si="11"/>
        <v>593684011.82347512</v>
      </c>
      <c r="CC24" s="236">
        <f t="shared" si="11"/>
        <v>620078182.36536813</v>
      </c>
      <c r="CD24" s="236">
        <f t="shared" si="11"/>
        <v>647000110.38693154</v>
      </c>
      <c r="CE24" s="236">
        <f t="shared" si="11"/>
        <v>674460351.10029685</v>
      </c>
      <c r="CF24" s="236">
        <f t="shared" si="11"/>
        <v>702469670.82308865</v>
      </c>
      <c r="CG24" s="236">
        <f t="shared" si="11"/>
        <v>731039051.20056009</v>
      </c>
      <c r="CH24" s="236">
        <f t="shared" si="11"/>
        <v>760179693.51217067</v>
      </c>
      <c r="CI24" s="236">
        <f t="shared" si="11"/>
        <v>789903023.06429648</v>
      </c>
      <c r="CJ24" s="236">
        <f t="shared" si="11"/>
        <v>820220693.67079496</v>
      </c>
      <c r="CK24" s="236">
        <f t="shared" si="11"/>
        <v>851144592.22318101</v>
      </c>
      <c r="CL24" s="236">
        <f t="shared" si="11"/>
        <v>882686843.35220933</v>
      </c>
      <c r="CM24" s="236">
        <f t="shared" si="11"/>
        <v>914859814.18268585</v>
      </c>
      <c r="CN24" s="236">
        <f t="shared" si="11"/>
        <v>947676119.1833787</v>
      </c>
      <c r="CO24" s="236">
        <f t="shared" si="11"/>
        <v>981148625.11392498</v>
      </c>
      <c r="CP24" s="236">
        <f t="shared" si="11"/>
        <v>1015290456.0706801</v>
      </c>
      <c r="CQ24" s="236">
        <f t="shared" si="11"/>
        <v>1050114998.633482</v>
      </c>
      <c r="CR24" s="236">
        <f t="shared" si="11"/>
        <v>1085635907.1153505</v>
      </c>
      <c r="CS24" s="236">
        <f t="shared" si="11"/>
        <v>1121867108.9171848</v>
      </c>
      <c r="CT24" s="236">
        <f t="shared" si="11"/>
        <v>1158822809.9895527</v>
      </c>
      <c r="CU24" s="236">
        <f t="shared" si="11"/>
        <v>1196517500.4037158</v>
      </c>
      <c r="CV24" s="236">
        <f t="shared" si="11"/>
        <v>1234965960.0340784</v>
      </c>
      <c r="CW24" s="236">
        <f t="shared" si="11"/>
        <v>1274183264.3542838</v>
      </c>
    </row>
    <row r="25" spans="1:101" ht="12.75" customHeight="1" x14ac:dyDescent="0.2">
      <c r="A25" s="221" t="s">
        <v>190</v>
      </c>
      <c r="B25" s="236">
        <f t="shared" ref="B25:CW25" si="12">B13+B22</f>
        <v>-83158684.291249871</v>
      </c>
      <c r="C25" s="236">
        <f t="shared" si="12"/>
        <v>-85986079.557152361</v>
      </c>
      <c r="D25" s="236">
        <f t="shared" si="12"/>
        <v>-88870022.728372902</v>
      </c>
      <c r="E25" s="236">
        <f t="shared" si="12"/>
        <v>-91811644.763017863</v>
      </c>
      <c r="F25" s="236">
        <f t="shared" si="12"/>
        <v>-94812099.238355726</v>
      </c>
      <c r="G25" s="236">
        <f t="shared" si="12"/>
        <v>-97872562.803200334</v>
      </c>
      <c r="H25" s="236">
        <f t="shared" si="12"/>
        <v>-94603319.579083979</v>
      </c>
      <c r="I25" s="236">
        <f t="shared" si="12"/>
        <v>-91236097.698222563</v>
      </c>
      <c r="J25" s="236">
        <f t="shared" si="12"/>
        <v>-87768119.48517403</v>
      </c>
      <c r="K25" s="236">
        <f t="shared" si="12"/>
        <v>-84196531.17665714</v>
      </c>
      <c r="L25" s="236">
        <f t="shared" si="12"/>
        <v>-80518400.884383768</v>
      </c>
      <c r="M25" s="236">
        <f t="shared" si="12"/>
        <v>-76730716.504210964</v>
      </c>
      <c r="N25" s="236">
        <f t="shared" si="12"/>
        <v>-72830383.570214689</v>
      </c>
      <c r="O25" s="236">
        <f t="shared" si="12"/>
        <v>-68814223.052250504</v>
      </c>
      <c r="P25" s="236">
        <f t="shared" si="12"/>
        <v>-64678969.095529974</v>
      </c>
      <c r="Q25" s="236">
        <f t="shared" si="12"/>
        <v>-60421266.700703159</v>
      </c>
      <c r="R25" s="236">
        <f t="shared" si="12"/>
        <v>-56037669.342898861</v>
      </c>
      <c r="S25" s="236">
        <f t="shared" si="12"/>
        <v>-51524636.528134137</v>
      </c>
      <c r="T25" s="236">
        <f t="shared" si="12"/>
        <v>-46878531.28546375</v>
      </c>
      <c r="U25" s="236">
        <f t="shared" si="12"/>
        <v>-42095617.593197972</v>
      </c>
      <c r="V25" s="236">
        <f t="shared" si="12"/>
        <v>-37172057.737474471</v>
      </c>
      <c r="W25" s="236">
        <f t="shared" si="12"/>
        <v>-32103909.601425022</v>
      </c>
      <c r="X25" s="236">
        <f t="shared" si="12"/>
        <v>-26887123.883133307</v>
      </c>
      <c r="Y25" s="236">
        <f t="shared" si="12"/>
        <v>-21517541.240532875</v>
      </c>
      <c r="Z25" s="236">
        <f t="shared" si="12"/>
        <v>-15990889.36134696</v>
      </c>
      <c r="AA25" s="236">
        <f t="shared" si="12"/>
        <v>-10353703.918469578</v>
      </c>
      <c r="AB25" s="236">
        <f t="shared" si="12"/>
        <v>-4603774.2301047444</v>
      </c>
      <c r="AC25" s="236">
        <f t="shared" si="12"/>
        <v>1261154.5993898213</v>
      </c>
      <c r="AD25" s="236">
        <f t="shared" si="12"/>
        <v>7243382.5637840331</v>
      </c>
      <c r="AE25" s="236">
        <f t="shared" si="12"/>
        <v>13345255.65694204</v>
      </c>
      <c r="AF25" s="236">
        <f t="shared" si="12"/>
        <v>19569166.792828649</v>
      </c>
      <c r="AG25" s="236">
        <f t="shared" si="12"/>
        <v>25917556.743915766</v>
      </c>
      <c r="AH25" s="236">
        <f t="shared" si="12"/>
        <v>32392915.098357022</v>
      </c>
      <c r="AI25" s="236">
        <f t="shared" si="12"/>
        <v>38997781.236306161</v>
      </c>
      <c r="AJ25" s="236">
        <f t="shared" si="12"/>
        <v>45734745.325761706</v>
      </c>
      <c r="AK25" s="236">
        <f t="shared" si="12"/>
        <v>52606449.338328749</v>
      </c>
      <c r="AL25" s="236">
        <f t="shared" si="12"/>
        <v>59615588.085296005</v>
      </c>
      <c r="AM25" s="236">
        <f t="shared" si="12"/>
        <v>66764910.274434388</v>
      </c>
      <c r="AN25" s="236">
        <f t="shared" si="12"/>
        <v>74057219.587931991</v>
      </c>
      <c r="AO25" s="236">
        <f t="shared" si="12"/>
        <v>81495375.781887561</v>
      </c>
      <c r="AP25" s="236">
        <f t="shared" si="12"/>
        <v>89082295.807793945</v>
      </c>
      <c r="AQ25" s="236">
        <f t="shared" si="12"/>
        <v>96820954.956451654</v>
      </c>
      <c r="AR25" s="236">
        <f t="shared" si="12"/>
        <v>104714388.02476034</v>
      </c>
      <c r="AS25" s="236">
        <f t="shared" si="12"/>
        <v>112765690.50584656</v>
      </c>
      <c r="AT25" s="236">
        <f t="shared" si="12"/>
        <v>120978019.80299413</v>
      </c>
      <c r="AU25" s="236">
        <f t="shared" si="12"/>
        <v>129354596.46785307</v>
      </c>
      <c r="AV25" s="236">
        <f t="shared" si="12"/>
        <v>137898705.46341294</v>
      </c>
      <c r="AW25" s="236">
        <f t="shared" si="12"/>
        <v>146613697.45223594</v>
      </c>
      <c r="AX25" s="236">
        <f t="shared" si="12"/>
        <v>155502990.11045426</v>
      </c>
      <c r="AY25" s="236">
        <f t="shared" si="12"/>
        <v>164570069.46804821</v>
      </c>
      <c r="AZ25" s="236">
        <f t="shared" si="12"/>
        <v>173818491.27592957</v>
      </c>
      <c r="BA25" s="236">
        <f t="shared" si="12"/>
        <v>183251882.40036672</v>
      </c>
      <c r="BB25" s="236">
        <f t="shared" si="12"/>
        <v>192873942.2452988</v>
      </c>
      <c r="BC25" s="236">
        <f t="shared" si="12"/>
        <v>202688444.20309579</v>
      </c>
      <c r="BD25" s="236">
        <f t="shared" si="12"/>
        <v>212699237.13433439</v>
      </c>
      <c r="BE25" s="236">
        <f t="shared" si="12"/>
        <v>222910246.87716907</v>
      </c>
      <c r="BF25" s="236">
        <f t="shared" si="12"/>
        <v>233325477.7868911</v>
      </c>
      <c r="BG25" s="236">
        <f t="shared" si="12"/>
        <v>243949014.30627906</v>
      </c>
      <c r="BH25" s="236">
        <f t="shared" si="12"/>
        <v>254785022.56735563</v>
      </c>
      <c r="BI25" s="236">
        <f t="shared" si="12"/>
        <v>265837752.0251804</v>
      </c>
      <c r="BJ25" s="236">
        <f t="shared" si="12"/>
        <v>277111537.12431908</v>
      </c>
      <c r="BK25" s="236">
        <f t="shared" si="12"/>
        <v>288610798.99864101</v>
      </c>
      <c r="BL25" s="236">
        <f t="shared" si="12"/>
        <v>300340047.20511383</v>
      </c>
      <c r="BM25" s="236">
        <f t="shared" si="12"/>
        <v>312303881.49227399</v>
      </c>
      <c r="BN25" s="236">
        <f t="shared" si="12"/>
        <v>324506993.60406631</v>
      </c>
      <c r="BO25" s="236">
        <f t="shared" si="12"/>
        <v>336954169.11976123</v>
      </c>
      <c r="BP25" s="236">
        <f t="shared" si="12"/>
        <v>349650289.33067012</v>
      </c>
      <c r="BQ25" s="236">
        <f t="shared" si="12"/>
        <v>362600333.15439528</v>
      </c>
      <c r="BR25" s="236">
        <f t="shared" si="12"/>
        <v>375809379.08736497</v>
      </c>
      <c r="BS25" s="236">
        <f t="shared" si="12"/>
        <v>389282607.19641948</v>
      </c>
      <c r="BT25" s="236">
        <f t="shared" si="12"/>
        <v>403025301.15022898</v>
      </c>
      <c r="BU25" s="236">
        <f t="shared" si="12"/>
        <v>417042850.29134011</v>
      </c>
      <c r="BV25" s="236">
        <f t="shared" si="12"/>
        <v>431340751.74966341</v>
      </c>
      <c r="BW25" s="236">
        <f t="shared" si="12"/>
        <v>445924612.59823084</v>
      </c>
      <c r="BX25" s="236">
        <f t="shared" si="12"/>
        <v>460800152.05206895</v>
      </c>
      <c r="BY25" s="236">
        <f t="shared" si="12"/>
        <v>475973203.71104908</v>
      </c>
      <c r="BZ25" s="236">
        <f t="shared" si="12"/>
        <v>491449717.84759545</v>
      </c>
      <c r="CA25" s="236">
        <f t="shared" si="12"/>
        <v>507235763.74014688</v>
      </c>
      <c r="CB25" s="236">
        <f t="shared" si="12"/>
        <v>523337532.05328918</v>
      </c>
      <c r="CC25" s="236">
        <f t="shared" si="12"/>
        <v>539761337.2654891</v>
      </c>
      <c r="CD25" s="236">
        <f t="shared" si="12"/>
        <v>556513620.14538348</v>
      </c>
      <c r="CE25" s="236">
        <f t="shared" si="12"/>
        <v>573600950.27759516</v>
      </c>
      <c r="CF25" s="236">
        <f t="shared" si="12"/>
        <v>591030028.63906479</v>
      </c>
      <c r="CG25" s="236">
        <f t="shared" si="12"/>
        <v>608807690.22691011</v>
      </c>
      <c r="CH25" s="236">
        <f t="shared" si="12"/>
        <v>626940906.73884141</v>
      </c>
      <c r="CI25" s="236">
        <f t="shared" si="12"/>
        <v>645436789.30718708</v>
      </c>
      <c r="CJ25" s="236">
        <f t="shared" si="12"/>
        <v>664302591.28759873</v>
      </c>
      <c r="CK25" s="236">
        <f t="shared" si="12"/>
        <v>683545711.10353184</v>
      </c>
      <c r="CL25" s="236">
        <f t="shared" si="12"/>
        <v>703173695.14761496</v>
      </c>
      <c r="CM25" s="236">
        <f t="shared" si="12"/>
        <v>723194240.74104774</v>
      </c>
      <c r="CN25" s="236">
        <f t="shared" si="12"/>
        <v>743615199.15218675</v>
      </c>
      <c r="CO25" s="236">
        <f t="shared" si="12"/>
        <v>764444578.67550266</v>
      </c>
      <c r="CP25" s="236">
        <f t="shared" si="12"/>
        <v>785690547.77211821</v>
      </c>
      <c r="CQ25" s="236">
        <f t="shared" si="12"/>
        <v>807361438.27315593</v>
      </c>
      <c r="CR25" s="236">
        <f t="shared" si="12"/>
        <v>829465748.64715409</v>
      </c>
      <c r="CS25" s="236">
        <f t="shared" si="12"/>
        <v>852012147.33283055</v>
      </c>
      <c r="CT25" s="236">
        <f t="shared" si="12"/>
        <v>875009476.13850307</v>
      </c>
      <c r="CU25" s="236">
        <f t="shared" si="12"/>
        <v>898466753.70949721</v>
      </c>
      <c r="CV25" s="236">
        <f t="shared" si="12"/>
        <v>922393179.0649035</v>
      </c>
      <c r="CW25" s="236">
        <f t="shared" si="12"/>
        <v>946798135.20507002</v>
      </c>
    </row>
    <row r="26" spans="1:101" ht="12.75" customHeight="1" x14ac:dyDescent="0.2">
      <c r="A26" s="221" t="s">
        <v>191</v>
      </c>
      <c r="B26" s="236">
        <f t="shared" ref="B26:CW26" si="13">B20-B14+B25</f>
        <v>36841315.708750129</v>
      </c>
      <c r="C26" s="236">
        <f t="shared" si="13"/>
        <v>28013920.442847639</v>
      </c>
      <c r="D26" s="236">
        <f t="shared" si="13"/>
        <v>19129977.271627098</v>
      </c>
      <c r="E26" s="236">
        <f t="shared" si="13"/>
        <v>10188355.236982137</v>
      </c>
      <c r="F26" s="236">
        <f t="shared" si="13"/>
        <v>1187900.761644274</v>
      </c>
      <c r="G26" s="236">
        <f t="shared" si="13"/>
        <v>32127437.196799666</v>
      </c>
      <c r="H26" s="236">
        <f t="shared" si="13"/>
        <v>27396680.420916021</v>
      </c>
      <c r="I26" s="236">
        <f t="shared" si="13"/>
        <v>22763902.301777437</v>
      </c>
      <c r="J26" s="236">
        <f t="shared" si="13"/>
        <v>18231880.51482597</v>
      </c>
      <c r="K26" s="236">
        <f t="shared" si="13"/>
        <v>13803468.82334286</v>
      </c>
      <c r="L26" s="236">
        <f t="shared" si="13"/>
        <v>9481599.1156162322</v>
      </c>
      <c r="M26" s="236">
        <f t="shared" si="13"/>
        <v>5269283.4957890362</v>
      </c>
      <c r="N26" s="236">
        <f t="shared" si="13"/>
        <v>1169616.4297853112</v>
      </c>
      <c r="O26" s="236">
        <f t="shared" si="13"/>
        <v>-2814223.0522505045</v>
      </c>
      <c r="P26" s="236">
        <f t="shared" si="13"/>
        <v>-6678969.0955299735</v>
      </c>
      <c r="Q26" s="236">
        <f t="shared" si="13"/>
        <v>-10421266.700703159</v>
      </c>
      <c r="R26" s="236">
        <f t="shared" si="13"/>
        <v>-14037669.342898861</v>
      </c>
      <c r="S26" s="236">
        <f t="shared" si="13"/>
        <v>-17524636.528134137</v>
      </c>
      <c r="T26" s="236">
        <f t="shared" si="13"/>
        <v>-20878531.28546375</v>
      </c>
      <c r="U26" s="236">
        <f t="shared" si="13"/>
        <v>-24095617.593197972</v>
      </c>
      <c r="V26" s="236">
        <f t="shared" si="13"/>
        <v>-27172057.737474471</v>
      </c>
      <c r="W26" s="236">
        <f t="shared" si="13"/>
        <v>-30103909.601425022</v>
      </c>
      <c r="X26" s="236">
        <f t="shared" si="13"/>
        <v>-32887123.883133307</v>
      </c>
      <c r="Y26" s="236">
        <f t="shared" si="13"/>
        <v>-35517541.240532875</v>
      </c>
      <c r="Z26" s="236">
        <f t="shared" si="13"/>
        <v>-37990889.36134696</v>
      </c>
      <c r="AA26" s="236">
        <f t="shared" si="13"/>
        <v>-40353703.918469578</v>
      </c>
      <c r="AB26" s="236">
        <f t="shared" si="13"/>
        <v>-42603774.230104744</v>
      </c>
      <c r="AC26" s="236">
        <f t="shared" si="13"/>
        <v>-44738845.400610179</v>
      </c>
      <c r="AD26" s="236">
        <f t="shared" si="13"/>
        <v>-46756617.436215967</v>
      </c>
      <c r="AE26" s="236">
        <f t="shared" si="13"/>
        <v>-48654744.34305796</v>
      </c>
      <c r="AF26" s="236">
        <f t="shared" si="13"/>
        <v>-60430833.207171351</v>
      </c>
      <c r="AG26" s="236">
        <f t="shared" si="13"/>
        <v>-61582443.256084234</v>
      </c>
      <c r="AH26" s="236">
        <f t="shared" si="13"/>
        <v>-62607084.901642978</v>
      </c>
      <c r="AI26" s="236">
        <f t="shared" si="13"/>
        <v>-63502218.763693839</v>
      </c>
      <c r="AJ26" s="236">
        <f t="shared" si="13"/>
        <v>-64265254.674238294</v>
      </c>
      <c r="AK26" s="236">
        <f t="shared" si="13"/>
        <v>-64893550.661671251</v>
      </c>
      <c r="AL26" s="236">
        <f t="shared" si="13"/>
        <v>-65384411.914703995</v>
      </c>
      <c r="AM26" s="236">
        <f t="shared" si="13"/>
        <v>-65735089.725565612</v>
      </c>
      <c r="AN26" s="236">
        <f t="shared" si="13"/>
        <v>-65942780.412068009</v>
      </c>
      <c r="AO26" s="236">
        <f t="shared" si="13"/>
        <v>-66004624.218112439</v>
      </c>
      <c r="AP26" s="236">
        <f t="shared" si="13"/>
        <v>-65917704.192206055</v>
      </c>
      <c r="AQ26" s="236">
        <f t="shared" si="13"/>
        <v>-65679045.043548346</v>
      </c>
      <c r="AR26" s="236">
        <f t="shared" si="13"/>
        <v>-65285611.975239664</v>
      </c>
      <c r="AS26" s="236">
        <f t="shared" si="13"/>
        <v>-64734309.49415344</v>
      </c>
      <c r="AT26" s="236">
        <f t="shared" si="13"/>
        <v>-64021980.197005868</v>
      </c>
      <c r="AU26" s="236">
        <f t="shared" si="13"/>
        <v>-63145403.532146931</v>
      </c>
      <c r="AV26" s="236">
        <f t="shared" si="13"/>
        <v>-62101294.536587059</v>
      </c>
      <c r="AW26" s="236">
        <f t="shared" si="13"/>
        <v>-60886302.547764063</v>
      </c>
      <c r="AX26" s="236">
        <f t="shared" si="13"/>
        <v>-59497009.889545739</v>
      </c>
      <c r="AY26" s="236">
        <f t="shared" si="13"/>
        <v>-57929930.531951785</v>
      </c>
      <c r="AZ26" s="236">
        <f t="shared" si="13"/>
        <v>-56181508.72407043</v>
      </c>
      <c r="BA26" s="236">
        <f t="shared" si="13"/>
        <v>-46748117.599633276</v>
      </c>
      <c r="BB26" s="236">
        <f t="shared" si="13"/>
        <v>-37126057.754701197</v>
      </c>
      <c r="BC26" s="236">
        <f t="shared" si="13"/>
        <v>-27311555.796904206</v>
      </c>
      <c r="BD26" s="236">
        <f t="shared" si="13"/>
        <v>-17300762.865665615</v>
      </c>
      <c r="BE26" s="236">
        <f t="shared" si="13"/>
        <v>-157089753.12283093</v>
      </c>
      <c r="BF26" s="236">
        <f t="shared" si="13"/>
        <v>-146674522.2131089</v>
      </c>
      <c r="BG26" s="236">
        <f t="shared" si="13"/>
        <v>-136050985.69372094</v>
      </c>
      <c r="BH26" s="236">
        <f t="shared" si="13"/>
        <v>-125214977.43264437</v>
      </c>
      <c r="BI26" s="236">
        <f t="shared" si="13"/>
        <v>-114162247.9748196</v>
      </c>
      <c r="BJ26" s="236">
        <f t="shared" si="13"/>
        <v>-102888462.87568092</v>
      </c>
      <c r="BK26" s="236">
        <f t="shared" si="13"/>
        <v>-91389201.001358986</v>
      </c>
      <c r="BL26" s="236">
        <f t="shared" si="13"/>
        <v>-79659952.794886172</v>
      </c>
      <c r="BM26" s="236">
        <f t="shared" si="13"/>
        <v>-67696118.507726014</v>
      </c>
      <c r="BN26" s="236">
        <f t="shared" si="13"/>
        <v>-55493006.395933688</v>
      </c>
      <c r="BO26" s="236">
        <f t="shared" si="13"/>
        <v>-43045830.880238771</v>
      </c>
      <c r="BP26" s="236">
        <f t="shared" si="13"/>
        <v>-30349710.669329882</v>
      </c>
      <c r="BQ26" s="236">
        <f t="shared" si="13"/>
        <v>-17399666.845604718</v>
      </c>
      <c r="BR26" s="236">
        <f t="shared" si="13"/>
        <v>-4190620.9126350284</v>
      </c>
      <c r="BS26" s="236">
        <f t="shared" si="13"/>
        <v>9282607.1964194775</v>
      </c>
      <c r="BT26" s="236">
        <f t="shared" si="13"/>
        <v>23025301.150228977</v>
      </c>
      <c r="BU26" s="236">
        <f t="shared" si="13"/>
        <v>37042850.291340113</v>
      </c>
      <c r="BV26" s="236">
        <f t="shared" si="13"/>
        <v>51340751.749663413</v>
      </c>
      <c r="BW26" s="236">
        <f t="shared" si="13"/>
        <v>65924612.598230839</v>
      </c>
      <c r="BX26" s="236">
        <f t="shared" si="13"/>
        <v>80800152.052068949</v>
      </c>
      <c r="BY26" s="236">
        <f t="shared" si="13"/>
        <v>95973203.71104908</v>
      </c>
      <c r="BZ26" s="236">
        <f t="shared" si="13"/>
        <v>111449717.84759545</v>
      </c>
      <c r="CA26" s="236">
        <f t="shared" si="13"/>
        <v>127235763.74014688</v>
      </c>
      <c r="CB26" s="236">
        <f t="shared" si="13"/>
        <v>143337532.05328918</v>
      </c>
      <c r="CC26" s="236">
        <f t="shared" si="13"/>
        <v>159761337.2654891</v>
      </c>
      <c r="CD26" s="236">
        <f t="shared" si="13"/>
        <v>176513620.14538348</v>
      </c>
      <c r="CE26" s="236">
        <f t="shared" si="13"/>
        <v>193600950.27759516</v>
      </c>
      <c r="CF26" s="236">
        <f t="shared" si="13"/>
        <v>211030028.63906479</v>
      </c>
      <c r="CG26" s="236">
        <f t="shared" si="13"/>
        <v>228807690.22691011</v>
      </c>
      <c r="CH26" s="236">
        <f t="shared" si="13"/>
        <v>246940906.73884141</v>
      </c>
      <c r="CI26" s="236">
        <f t="shared" si="13"/>
        <v>265436789.30718708</v>
      </c>
      <c r="CJ26" s="236">
        <f t="shared" si="13"/>
        <v>284302591.28759873</v>
      </c>
      <c r="CK26" s="236">
        <f t="shared" si="13"/>
        <v>303545711.10353184</v>
      </c>
      <c r="CL26" s="236">
        <f t="shared" si="13"/>
        <v>323173695.14761496</v>
      </c>
      <c r="CM26" s="236">
        <f t="shared" si="13"/>
        <v>343194240.74104774</v>
      </c>
      <c r="CN26" s="236">
        <f t="shared" si="13"/>
        <v>363615199.15218675</v>
      </c>
      <c r="CO26" s="236">
        <f t="shared" si="13"/>
        <v>384444578.67550266</v>
      </c>
      <c r="CP26" s="236">
        <f t="shared" si="13"/>
        <v>405690547.77211821</v>
      </c>
      <c r="CQ26" s="236">
        <f t="shared" si="13"/>
        <v>427361438.27315593</v>
      </c>
      <c r="CR26" s="236">
        <f t="shared" si="13"/>
        <v>449465748.64715409</v>
      </c>
      <c r="CS26" s="236">
        <f t="shared" si="13"/>
        <v>472012147.33283055</v>
      </c>
      <c r="CT26" s="236">
        <f t="shared" si="13"/>
        <v>495009476.13850307</v>
      </c>
      <c r="CU26" s="236">
        <f t="shared" si="13"/>
        <v>518466753.70949721</v>
      </c>
      <c r="CV26" s="236">
        <f t="shared" si="13"/>
        <v>542393179.0649035</v>
      </c>
      <c r="CW26" s="236">
        <f t="shared" si="13"/>
        <v>566798135.20507002</v>
      </c>
    </row>
    <row r="27" spans="1:101" ht="12.75" customHeight="1" x14ac:dyDescent="0.2">
      <c r="A27" s="221"/>
      <c r="B27" s="236"/>
      <c r="C27" s="236"/>
      <c r="D27" s="236"/>
      <c r="E27" s="236"/>
      <c r="F27" s="236"/>
      <c r="G27" s="236"/>
      <c r="H27" s="236"/>
      <c r="I27" s="236"/>
      <c r="J27" s="236"/>
      <c r="K27" s="236"/>
      <c r="L27" s="236"/>
      <c r="M27" s="236"/>
      <c r="N27" s="236"/>
      <c r="O27" s="236"/>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row>
    <row r="28" spans="1:101" ht="12.75" customHeight="1" x14ac:dyDescent="0.2"/>
    <row r="29" spans="1:101" ht="12.75" customHeight="1" x14ac:dyDescent="0.2"/>
    <row r="30" spans="1:101" ht="12.75" customHeight="1" x14ac:dyDescent="0.2"/>
    <row r="31" spans="1:101" ht="12.75" customHeight="1" x14ac:dyDescent="0.2"/>
    <row r="32" spans="1:101"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DR322"/>
  <sheetViews>
    <sheetView topLeftCell="A7" zoomScale="75" workbookViewId="0">
      <selection activeCell="I155" sqref="I155"/>
    </sheetView>
  </sheetViews>
  <sheetFormatPr defaultColWidth="12.7109375" defaultRowHeight="15" customHeight="1" outlineLevelRow="1" x14ac:dyDescent="0.2"/>
  <cols>
    <col min="1" max="1" width="16.42578125" customWidth="1"/>
    <col min="2" max="2" width="33.42578125" customWidth="1"/>
    <col min="3" max="3" width="73" customWidth="1"/>
    <col min="4" max="4" width="13.42578125" customWidth="1"/>
    <col min="5" max="5" width="22.42578125" customWidth="1"/>
    <col min="6" max="6" width="18.42578125" customWidth="1"/>
    <col min="7" max="7" width="19.42578125" customWidth="1"/>
    <col min="8" max="8" width="20.42578125" customWidth="1"/>
    <col min="9" max="48" width="15.42578125" customWidth="1"/>
    <col min="49" max="109" width="20.42578125" customWidth="1"/>
    <col min="110" max="116" width="20.42578125" hidden="1" customWidth="1"/>
  </cols>
  <sheetData>
    <row r="1" spans="1:116" ht="19.5" x14ac:dyDescent="0.3">
      <c r="A1" s="237" t="s">
        <v>192</v>
      </c>
      <c r="B1" s="238" t="s">
        <v>193</v>
      </c>
      <c r="C1" s="237"/>
      <c r="D1" s="239"/>
      <c r="E1" s="240"/>
      <c r="F1" s="239"/>
      <c r="G1" s="241"/>
      <c r="H1" s="242" t="s">
        <v>194</v>
      </c>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c r="AK1" s="243"/>
      <c r="AL1" s="243"/>
      <c r="AM1" s="243"/>
      <c r="AN1" s="243"/>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c r="BZ1" s="244"/>
      <c r="CA1" s="244"/>
      <c r="CB1" s="244"/>
      <c r="CC1" s="244"/>
      <c r="CD1" s="244"/>
      <c r="CE1" s="244"/>
      <c r="CF1" s="244"/>
      <c r="CG1" s="244"/>
      <c r="CH1" s="244"/>
      <c r="CI1" s="244"/>
      <c r="CJ1" s="244"/>
      <c r="CK1" s="244"/>
      <c r="CL1" s="244"/>
      <c r="CM1" s="244"/>
      <c r="CN1" s="244"/>
      <c r="CO1" s="244"/>
      <c r="CP1" s="244"/>
      <c r="CQ1" s="244"/>
      <c r="CR1" s="244"/>
      <c r="CS1" s="244"/>
      <c r="CT1" s="244"/>
      <c r="CU1" s="244"/>
      <c r="CV1" s="244"/>
      <c r="CW1" s="244"/>
      <c r="CX1" s="244"/>
      <c r="CY1" s="244"/>
      <c r="CZ1" s="244"/>
      <c r="DA1" s="244"/>
      <c r="DB1" s="244"/>
      <c r="DC1" s="244"/>
      <c r="DD1" s="244"/>
      <c r="DE1" s="244"/>
      <c r="DF1" s="244"/>
      <c r="DG1" s="244"/>
      <c r="DH1" s="244"/>
      <c r="DI1" s="244"/>
      <c r="DJ1" s="244"/>
      <c r="DK1" s="244"/>
      <c r="DL1" s="244"/>
    </row>
    <row r="2" spans="1:116" ht="15.75" customHeight="1" x14ac:dyDescent="0.25">
      <c r="A2" s="245"/>
      <c r="B2" s="246"/>
      <c r="C2" s="246"/>
      <c r="D2" s="247"/>
      <c r="E2" s="248"/>
      <c r="F2" s="247"/>
      <c r="G2" s="247"/>
      <c r="H2" s="249" t="s">
        <v>12</v>
      </c>
      <c r="I2" s="250">
        <v>2023</v>
      </c>
      <c r="J2" s="251">
        <f t="shared" ref="J2:DE2" si="0">I2+1</f>
        <v>2024</v>
      </c>
      <c r="K2" s="251">
        <f t="shared" si="0"/>
        <v>2025</v>
      </c>
      <c r="L2" s="251">
        <f t="shared" si="0"/>
        <v>2026</v>
      </c>
      <c r="M2" s="251">
        <f t="shared" si="0"/>
        <v>2027</v>
      </c>
      <c r="N2" s="251">
        <f t="shared" si="0"/>
        <v>2028</v>
      </c>
      <c r="O2" s="251">
        <f t="shared" si="0"/>
        <v>2029</v>
      </c>
      <c r="P2" s="251">
        <f t="shared" si="0"/>
        <v>2030</v>
      </c>
      <c r="Q2" s="251">
        <f t="shared" si="0"/>
        <v>2031</v>
      </c>
      <c r="R2" s="251">
        <f t="shared" si="0"/>
        <v>2032</v>
      </c>
      <c r="S2" s="251">
        <f t="shared" si="0"/>
        <v>2033</v>
      </c>
      <c r="T2" s="251">
        <f t="shared" si="0"/>
        <v>2034</v>
      </c>
      <c r="U2" s="251">
        <f t="shared" si="0"/>
        <v>2035</v>
      </c>
      <c r="V2" s="251">
        <f t="shared" si="0"/>
        <v>2036</v>
      </c>
      <c r="W2" s="251">
        <f t="shared" si="0"/>
        <v>2037</v>
      </c>
      <c r="X2" s="251">
        <f t="shared" si="0"/>
        <v>2038</v>
      </c>
      <c r="Y2" s="251">
        <f t="shared" si="0"/>
        <v>2039</v>
      </c>
      <c r="Z2" s="251">
        <f t="shared" si="0"/>
        <v>2040</v>
      </c>
      <c r="AA2" s="251">
        <f t="shared" si="0"/>
        <v>2041</v>
      </c>
      <c r="AB2" s="251">
        <f t="shared" si="0"/>
        <v>2042</v>
      </c>
      <c r="AC2" s="251">
        <f t="shared" si="0"/>
        <v>2043</v>
      </c>
      <c r="AD2" s="251">
        <f t="shared" si="0"/>
        <v>2044</v>
      </c>
      <c r="AE2" s="251">
        <f t="shared" si="0"/>
        <v>2045</v>
      </c>
      <c r="AF2" s="251">
        <f t="shared" si="0"/>
        <v>2046</v>
      </c>
      <c r="AG2" s="251">
        <f t="shared" si="0"/>
        <v>2047</v>
      </c>
      <c r="AH2" s="251">
        <f t="shared" si="0"/>
        <v>2048</v>
      </c>
      <c r="AI2" s="251">
        <f t="shared" si="0"/>
        <v>2049</v>
      </c>
      <c r="AJ2" s="251">
        <f t="shared" si="0"/>
        <v>2050</v>
      </c>
      <c r="AK2" s="251">
        <f t="shared" si="0"/>
        <v>2051</v>
      </c>
      <c r="AL2" s="251">
        <f t="shared" si="0"/>
        <v>2052</v>
      </c>
      <c r="AM2" s="251">
        <f t="shared" si="0"/>
        <v>2053</v>
      </c>
      <c r="AN2" s="251">
        <f t="shared" si="0"/>
        <v>2054</v>
      </c>
      <c r="AO2" s="251">
        <f t="shared" si="0"/>
        <v>2055</v>
      </c>
      <c r="AP2" s="251">
        <f t="shared" si="0"/>
        <v>2056</v>
      </c>
      <c r="AQ2" s="251">
        <f t="shared" si="0"/>
        <v>2057</v>
      </c>
      <c r="AR2" s="251">
        <f t="shared" si="0"/>
        <v>2058</v>
      </c>
      <c r="AS2" s="251">
        <f t="shared" si="0"/>
        <v>2059</v>
      </c>
      <c r="AT2" s="251">
        <f t="shared" si="0"/>
        <v>2060</v>
      </c>
      <c r="AU2" s="251">
        <f t="shared" si="0"/>
        <v>2061</v>
      </c>
      <c r="AV2" s="251">
        <f t="shared" si="0"/>
        <v>2062</v>
      </c>
      <c r="AW2" s="251">
        <f t="shared" si="0"/>
        <v>2063</v>
      </c>
      <c r="AX2" s="251">
        <f t="shared" si="0"/>
        <v>2064</v>
      </c>
      <c r="AY2" s="251">
        <f t="shared" si="0"/>
        <v>2065</v>
      </c>
      <c r="AZ2" s="251">
        <f t="shared" si="0"/>
        <v>2066</v>
      </c>
      <c r="BA2" s="251">
        <f t="shared" si="0"/>
        <v>2067</v>
      </c>
      <c r="BB2" s="251">
        <f t="shared" si="0"/>
        <v>2068</v>
      </c>
      <c r="BC2" s="251">
        <f t="shared" si="0"/>
        <v>2069</v>
      </c>
      <c r="BD2" s="251">
        <f t="shared" si="0"/>
        <v>2070</v>
      </c>
      <c r="BE2" s="251">
        <f t="shared" si="0"/>
        <v>2071</v>
      </c>
      <c r="BF2" s="251">
        <f t="shared" si="0"/>
        <v>2072</v>
      </c>
      <c r="BG2" s="251">
        <f t="shared" si="0"/>
        <v>2073</v>
      </c>
      <c r="BH2" s="251">
        <f t="shared" si="0"/>
        <v>2074</v>
      </c>
      <c r="BI2" s="251">
        <f t="shared" si="0"/>
        <v>2075</v>
      </c>
      <c r="BJ2" s="251">
        <f t="shared" si="0"/>
        <v>2076</v>
      </c>
      <c r="BK2" s="251">
        <f t="shared" si="0"/>
        <v>2077</v>
      </c>
      <c r="BL2" s="251">
        <f t="shared" si="0"/>
        <v>2078</v>
      </c>
      <c r="BM2" s="251">
        <f t="shared" si="0"/>
        <v>2079</v>
      </c>
      <c r="BN2" s="251">
        <f t="shared" si="0"/>
        <v>2080</v>
      </c>
      <c r="BO2" s="251">
        <f t="shared" si="0"/>
        <v>2081</v>
      </c>
      <c r="BP2" s="251">
        <f t="shared" si="0"/>
        <v>2082</v>
      </c>
      <c r="BQ2" s="251">
        <f t="shared" si="0"/>
        <v>2083</v>
      </c>
      <c r="BR2" s="251">
        <f t="shared" si="0"/>
        <v>2084</v>
      </c>
      <c r="BS2" s="251">
        <f t="shared" si="0"/>
        <v>2085</v>
      </c>
      <c r="BT2" s="251">
        <f t="shared" si="0"/>
        <v>2086</v>
      </c>
      <c r="BU2" s="251">
        <f t="shared" si="0"/>
        <v>2087</v>
      </c>
      <c r="BV2" s="251">
        <f t="shared" si="0"/>
        <v>2088</v>
      </c>
      <c r="BW2" s="251">
        <f t="shared" si="0"/>
        <v>2089</v>
      </c>
      <c r="BX2" s="251">
        <f t="shared" si="0"/>
        <v>2090</v>
      </c>
      <c r="BY2" s="251">
        <f t="shared" si="0"/>
        <v>2091</v>
      </c>
      <c r="BZ2" s="251">
        <f t="shared" si="0"/>
        <v>2092</v>
      </c>
      <c r="CA2" s="251">
        <f t="shared" si="0"/>
        <v>2093</v>
      </c>
      <c r="CB2" s="251">
        <f t="shared" si="0"/>
        <v>2094</v>
      </c>
      <c r="CC2" s="251">
        <f t="shared" si="0"/>
        <v>2095</v>
      </c>
      <c r="CD2" s="251">
        <f t="shared" si="0"/>
        <v>2096</v>
      </c>
      <c r="CE2" s="251">
        <f t="shared" si="0"/>
        <v>2097</v>
      </c>
      <c r="CF2" s="251">
        <f t="shared" si="0"/>
        <v>2098</v>
      </c>
      <c r="CG2" s="251">
        <f t="shared" si="0"/>
        <v>2099</v>
      </c>
      <c r="CH2" s="251">
        <f t="shared" si="0"/>
        <v>2100</v>
      </c>
      <c r="CI2" s="251">
        <f t="shared" si="0"/>
        <v>2101</v>
      </c>
      <c r="CJ2" s="251">
        <f t="shared" si="0"/>
        <v>2102</v>
      </c>
      <c r="CK2" s="251">
        <f t="shared" si="0"/>
        <v>2103</v>
      </c>
      <c r="CL2" s="251">
        <f t="shared" si="0"/>
        <v>2104</v>
      </c>
      <c r="CM2" s="251">
        <f t="shared" si="0"/>
        <v>2105</v>
      </c>
      <c r="CN2" s="251">
        <f t="shared" si="0"/>
        <v>2106</v>
      </c>
      <c r="CO2" s="251">
        <f t="shared" si="0"/>
        <v>2107</v>
      </c>
      <c r="CP2" s="251">
        <f t="shared" si="0"/>
        <v>2108</v>
      </c>
      <c r="CQ2" s="251">
        <f t="shared" si="0"/>
        <v>2109</v>
      </c>
      <c r="CR2" s="251">
        <f t="shared" si="0"/>
        <v>2110</v>
      </c>
      <c r="CS2" s="251">
        <f t="shared" si="0"/>
        <v>2111</v>
      </c>
      <c r="CT2" s="251">
        <f t="shared" si="0"/>
        <v>2112</v>
      </c>
      <c r="CU2" s="251">
        <f t="shared" si="0"/>
        <v>2113</v>
      </c>
      <c r="CV2" s="251">
        <f t="shared" si="0"/>
        <v>2114</v>
      </c>
      <c r="CW2" s="251">
        <f t="shared" si="0"/>
        <v>2115</v>
      </c>
      <c r="CX2" s="251">
        <f t="shared" si="0"/>
        <v>2116</v>
      </c>
      <c r="CY2" s="251">
        <f t="shared" si="0"/>
        <v>2117</v>
      </c>
      <c r="CZ2" s="251">
        <f t="shared" si="0"/>
        <v>2118</v>
      </c>
      <c r="DA2" s="251">
        <f t="shared" si="0"/>
        <v>2119</v>
      </c>
      <c r="DB2" s="251">
        <f t="shared" si="0"/>
        <v>2120</v>
      </c>
      <c r="DC2" s="251">
        <f t="shared" si="0"/>
        <v>2121</v>
      </c>
      <c r="DD2" s="251">
        <f t="shared" si="0"/>
        <v>2122</v>
      </c>
      <c r="DE2" s="251">
        <f t="shared" si="0"/>
        <v>2123</v>
      </c>
      <c r="DF2" s="251"/>
      <c r="DG2" s="251"/>
      <c r="DH2" s="251"/>
      <c r="DI2" s="251"/>
      <c r="DJ2" s="251"/>
      <c r="DK2" s="251"/>
      <c r="DL2" s="251"/>
    </row>
    <row r="3" spans="1:116" ht="15.75" customHeight="1" x14ac:dyDescent="0.25">
      <c r="A3" s="246" t="s">
        <v>195</v>
      </c>
      <c r="B3" s="246" t="s">
        <v>196</v>
      </c>
      <c r="C3" s="246" t="s">
        <v>197</v>
      </c>
      <c r="D3" s="246" t="s">
        <v>198</v>
      </c>
      <c r="E3" s="252" t="s">
        <v>199</v>
      </c>
      <c r="F3" s="253"/>
      <c r="G3" s="253" t="s">
        <v>200</v>
      </c>
      <c r="H3" s="254" t="s">
        <v>109</v>
      </c>
      <c r="I3" s="251">
        <v>0</v>
      </c>
      <c r="J3" s="251">
        <f t="shared" ref="J3:DE3" si="1">I3+1</f>
        <v>1</v>
      </c>
      <c r="K3" s="251">
        <f t="shared" si="1"/>
        <v>2</v>
      </c>
      <c r="L3" s="251">
        <f t="shared" si="1"/>
        <v>3</v>
      </c>
      <c r="M3" s="251">
        <f t="shared" si="1"/>
        <v>4</v>
      </c>
      <c r="N3" s="251">
        <f t="shared" si="1"/>
        <v>5</v>
      </c>
      <c r="O3" s="251">
        <f t="shared" si="1"/>
        <v>6</v>
      </c>
      <c r="P3" s="251">
        <f t="shared" si="1"/>
        <v>7</v>
      </c>
      <c r="Q3" s="251">
        <f t="shared" si="1"/>
        <v>8</v>
      </c>
      <c r="R3" s="251">
        <f t="shared" si="1"/>
        <v>9</v>
      </c>
      <c r="S3" s="251">
        <f t="shared" si="1"/>
        <v>10</v>
      </c>
      <c r="T3" s="251">
        <f t="shared" si="1"/>
        <v>11</v>
      </c>
      <c r="U3" s="251">
        <f t="shared" si="1"/>
        <v>12</v>
      </c>
      <c r="V3" s="251">
        <f t="shared" si="1"/>
        <v>13</v>
      </c>
      <c r="W3" s="251">
        <f t="shared" si="1"/>
        <v>14</v>
      </c>
      <c r="X3" s="251">
        <f t="shared" si="1"/>
        <v>15</v>
      </c>
      <c r="Y3" s="251">
        <f t="shared" si="1"/>
        <v>16</v>
      </c>
      <c r="Z3" s="251">
        <f t="shared" si="1"/>
        <v>17</v>
      </c>
      <c r="AA3" s="251">
        <f t="shared" si="1"/>
        <v>18</v>
      </c>
      <c r="AB3" s="251">
        <f t="shared" si="1"/>
        <v>19</v>
      </c>
      <c r="AC3" s="251">
        <f t="shared" si="1"/>
        <v>20</v>
      </c>
      <c r="AD3" s="251">
        <f t="shared" si="1"/>
        <v>21</v>
      </c>
      <c r="AE3" s="251">
        <f t="shared" si="1"/>
        <v>22</v>
      </c>
      <c r="AF3" s="251">
        <f t="shared" si="1"/>
        <v>23</v>
      </c>
      <c r="AG3" s="251">
        <f t="shared" si="1"/>
        <v>24</v>
      </c>
      <c r="AH3" s="251">
        <f t="shared" si="1"/>
        <v>25</v>
      </c>
      <c r="AI3" s="251">
        <f t="shared" si="1"/>
        <v>26</v>
      </c>
      <c r="AJ3" s="251">
        <f t="shared" si="1"/>
        <v>27</v>
      </c>
      <c r="AK3" s="251">
        <f t="shared" si="1"/>
        <v>28</v>
      </c>
      <c r="AL3" s="251">
        <f t="shared" si="1"/>
        <v>29</v>
      </c>
      <c r="AM3" s="251">
        <f t="shared" si="1"/>
        <v>30</v>
      </c>
      <c r="AN3" s="251">
        <f t="shared" si="1"/>
        <v>31</v>
      </c>
      <c r="AO3" s="251">
        <f t="shared" si="1"/>
        <v>32</v>
      </c>
      <c r="AP3" s="251">
        <f t="shared" si="1"/>
        <v>33</v>
      </c>
      <c r="AQ3" s="251">
        <f t="shared" si="1"/>
        <v>34</v>
      </c>
      <c r="AR3" s="251">
        <f t="shared" si="1"/>
        <v>35</v>
      </c>
      <c r="AS3" s="251">
        <f t="shared" si="1"/>
        <v>36</v>
      </c>
      <c r="AT3" s="251">
        <f t="shared" si="1"/>
        <v>37</v>
      </c>
      <c r="AU3" s="251">
        <f t="shared" si="1"/>
        <v>38</v>
      </c>
      <c r="AV3" s="251">
        <f t="shared" si="1"/>
        <v>39</v>
      </c>
      <c r="AW3" s="251">
        <f t="shared" si="1"/>
        <v>40</v>
      </c>
      <c r="AX3" s="251">
        <f t="shared" si="1"/>
        <v>41</v>
      </c>
      <c r="AY3" s="251">
        <f t="shared" si="1"/>
        <v>42</v>
      </c>
      <c r="AZ3" s="251">
        <f t="shared" si="1"/>
        <v>43</v>
      </c>
      <c r="BA3" s="251">
        <f t="shared" si="1"/>
        <v>44</v>
      </c>
      <c r="BB3" s="251">
        <f t="shared" si="1"/>
        <v>45</v>
      </c>
      <c r="BC3" s="251">
        <f t="shared" si="1"/>
        <v>46</v>
      </c>
      <c r="BD3" s="251">
        <f t="shared" si="1"/>
        <v>47</v>
      </c>
      <c r="BE3" s="251">
        <f t="shared" si="1"/>
        <v>48</v>
      </c>
      <c r="BF3" s="251">
        <f t="shared" si="1"/>
        <v>49</v>
      </c>
      <c r="BG3" s="251">
        <f t="shared" si="1"/>
        <v>50</v>
      </c>
      <c r="BH3" s="251">
        <f t="shared" si="1"/>
        <v>51</v>
      </c>
      <c r="BI3" s="251">
        <f t="shared" si="1"/>
        <v>52</v>
      </c>
      <c r="BJ3" s="251">
        <f t="shared" si="1"/>
        <v>53</v>
      </c>
      <c r="BK3" s="251">
        <f t="shared" si="1"/>
        <v>54</v>
      </c>
      <c r="BL3" s="251">
        <f t="shared" si="1"/>
        <v>55</v>
      </c>
      <c r="BM3" s="251">
        <f t="shared" si="1"/>
        <v>56</v>
      </c>
      <c r="BN3" s="251">
        <f t="shared" si="1"/>
        <v>57</v>
      </c>
      <c r="BO3" s="251">
        <f t="shared" si="1"/>
        <v>58</v>
      </c>
      <c r="BP3" s="251">
        <f t="shared" si="1"/>
        <v>59</v>
      </c>
      <c r="BQ3" s="251">
        <f t="shared" si="1"/>
        <v>60</v>
      </c>
      <c r="BR3" s="251">
        <f t="shared" si="1"/>
        <v>61</v>
      </c>
      <c r="BS3" s="251">
        <f t="shared" si="1"/>
        <v>62</v>
      </c>
      <c r="BT3" s="251">
        <f t="shared" si="1"/>
        <v>63</v>
      </c>
      <c r="BU3" s="251">
        <f t="shared" si="1"/>
        <v>64</v>
      </c>
      <c r="BV3" s="251">
        <f t="shared" si="1"/>
        <v>65</v>
      </c>
      <c r="BW3" s="251">
        <f t="shared" si="1"/>
        <v>66</v>
      </c>
      <c r="BX3" s="251">
        <f t="shared" si="1"/>
        <v>67</v>
      </c>
      <c r="BY3" s="251">
        <f t="shared" si="1"/>
        <v>68</v>
      </c>
      <c r="BZ3" s="251">
        <f t="shared" si="1"/>
        <v>69</v>
      </c>
      <c r="CA3" s="251">
        <f t="shared" si="1"/>
        <v>70</v>
      </c>
      <c r="CB3" s="251">
        <f t="shared" si="1"/>
        <v>71</v>
      </c>
      <c r="CC3" s="251">
        <f t="shared" si="1"/>
        <v>72</v>
      </c>
      <c r="CD3" s="251">
        <f t="shared" si="1"/>
        <v>73</v>
      </c>
      <c r="CE3" s="251">
        <f t="shared" si="1"/>
        <v>74</v>
      </c>
      <c r="CF3" s="251">
        <f t="shared" si="1"/>
        <v>75</v>
      </c>
      <c r="CG3" s="251">
        <f t="shared" si="1"/>
        <v>76</v>
      </c>
      <c r="CH3" s="251">
        <f t="shared" si="1"/>
        <v>77</v>
      </c>
      <c r="CI3" s="251">
        <f t="shared" si="1"/>
        <v>78</v>
      </c>
      <c r="CJ3" s="251">
        <f t="shared" si="1"/>
        <v>79</v>
      </c>
      <c r="CK3" s="251">
        <f t="shared" si="1"/>
        <v>80</v>
      </c>
      <c r="CL3" s="251">
        <f t="shared" si="1"/>
        <v>81</v>
      </c>
      <c r="CM3" s="251">
        <f t="shared" si="1"/>
        <v>82</v>
      </c>
      <c r="CN3" s="251">
        <f t="shared" si="1"/>
        <v>83</v>
      </c>
      <c r="CO3" s="251">
        <f t="shared" si="1"/>
        <v>84</v>
      </c>
      <c r="CP3" s="251">
        <f t="shared" si="1"/>
        <v>85</v>
      </c>
      <c r="CQ3" s="251">
        <f t="shared" si="1"/>
        <v>86</v>
      </c>
      <c r="CR3" s="251">
        <f t="shared" si="1"/>
        <v>87</v>
      </c>
      <c r="CS3" s="251">
        <f t="shared" si="1"/>
        <v>88</v>
      </c>
      <c r="CT3" s="251">
        <f t="shared" si="1"/>
        <v>89</v>
      </c>
      <c r="CU3" s="251">
        <f t="shared" si="1"/>
        <v>90</v>
      </c>
      <c r="CV3" s="251">
        <f t="shared" si="1"/>
        <v>91</v>
      </c>
      <c r="CW3" s="251">
        <f t="shared" si="1"/>
        <v>92</v>
      </c>
      <c r="CX3" s="251">
        <f t="shared" si="1"/>
        <v>93</v>
      </c>
      <c r="CY3" s="251">
        <f t="shared" si="1"/>
        <v>94</v>
      </c>
      <c r="CZ3" s="251">
        <f t="shared" si="1"/>
        <v>95</v>
      </c>
      <c r="DA3" s="251">
        <f t="shared" si="1"/>
        <v>96</v>
      </c>
      <c r="DB3" s="251">
        <f t="shared" si="1"/>
        <v>97</v>
      </c>
      <c r="DC3" s="251">
        <f t="shared" si="1"/>
        <v>98</v>
      </c>
      <c r="DD3" s="251">
        <f t="shared" si="1"/>
        <v>99</v>
      </c>
      <c r="DE3" s="251">
        <f t="shared" si="1"/>
        <v>100</v>
      </c>
      <c r="DF3" s="251"/>
      <c r="DG3" s="251"/>
      <c r="DH3" s="251"/>
      <c r="DI3" s="251"/>
      <c r="DJ3" s="251"/>
      <c r="DK3" s="251"/>
      <c r="DL3" s="251"/>
    </row>
    <row r="4" spans="1:116" ht="15.75" customHeight="1" x14ac:dyDescent="0.25">
      <c r="A4" s="763"/>
      <c r="B4" s="767"/>
      <c r="C4" s="4"/>
      <c r="D4" s="4"/>
      <c r="E4" s="257"/>
      <c r="F4" s="256"/>
      <c r="G4" s="258"/>
      <c r="H4" s="259"/>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c r="CX4" s="260"/>
      <c r="CY4" s="260"/>
      <c r="CZ4" s="260"/>
      <c r="DA4" s="260"/>
      <c r="DB4" s="260"/>
      <c r="DC4" s="260"/>
      <c r="DD4" s="260"/>
      <c r="DE4" s="260"/>
      <c r="DF4" s="260"/>
      <c r="DG4" s="260"/>
      <c r="DH4" s="260"/>
      <c r="DI4" s="260"/>
      <c r="DJ4" s="260"/>
      <c r="DK4" s="260"/>
      <c r="DL4" s="260"/>
    </row>
    <row r="5" spans="1:116" ht="15.75" customHeight="1" x14ac:dyDescent="0.25">
      <c r="A5" s="751"/>
      <c r="B5" s="751"/>
      <c r="C5" s="261" t="s">
        <v>201</v>
      </c>
      <c r="D5" s="262">
        <f>'Summary of CBA'!D6</f>
        <v>0.02</v>
      </c>
      <c r="E5" s="263"/>
      <c r="F5" s="264"/>
      <c r="G5" s="265"/>
      <c r="H5" s="266"/>
      <c r="I5" s="267"/>
      <c r="J5" s="267"/>
      <c r="K5" s="267"/>
      <c r="L5" s="267"/>
      <c r="M5" s="267"/>
      <c r="N5" s="267"/>
      <c r="O5" s="267"/>
      <c r="P5" s="267"/>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CY5" s="267"/>
      <c r="CZ5" s="267"/>
      <c r="DA5" s="267"/>
      <c r="DB5" s="267"/>
      <c r="DC5" s="267"/>
      <c r="DD5" s="267"/>
      <c r="DE5" s="267"/>
      <c r="DF5" s="267"/>
      <c r="DG5" s="267"/>
      <c r="DH5" s="267"/>
      <c r="DI5" s="267"/>
      <c r="DJ5" s="267"/>
      <c r="DK5" s="267"/>
      <c r="DL5" s="267"/>
    </row>
    <row r="6" spans="1:116" ht="15.75" customHeight="1" x14ac:dyDescent="0.25">
      <c r="A6" s="751"/>
      <c r="B6" s="751"/>
      <c r="C6" s="261" t="s">
        <v>202</v>
      </c>
      <c r="D6" s="262">
        <f>'Unit Costs and Indicators'!B26</f>
        <v>0.04</v>
      </c>
      <c r="E6" s="268"/>
      <c r="F6" s="264"/>
      <c r="G6" s="265"/>
      <c r="H6" s="266"/>
      <c r="I6" s="267"/>
      <c r="J6" s="267"/>
      <c r="K6" s="267"/>
      <c r="L6" s="267"/>
      <c r="M6" s="267"/>
      <c r="N6" s="267"/>
      <c r="O6" s="267"/>
      <c r="P6" s="267"/>
      <c r="Q6" s="267"/>
      <c r="R6" s="267"/>
      <c r="S6" s="267"/>
      <c r="T6" s="267"/>
      <c r="U6" s="267"/>
      <c r="V6" s="267"/>
      <c r="W6" s="267"/>
      <c r="X6" s="267"/>
      <c r="Y6" s="267"/>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T6" s="267"/>
      <c r="BU6" s="267"/>
      <c r="BV6" s="267"/>
      <c r="BW6" s="267"/>
      <c r="BX6" s="267"/>
      <c r="BY6" s="267"/>
      <c r="BZ6" s="267"/>
      <c r="CA6" s="267"/>
      <c r="CB6" s="267"/>
      <c r="CC6" s="267"/>
      <c r="CD6" s="267"/>
      <c r="CE6" s="267"/>
      <c r="CF6" s="267"/>
      <c r="CG6" s="267"/>
      <c r="CH6" s="267"/>
      <c r="CI6" s="267"/>
      <c r="CJ6" s="267"/>
      <c r="CK6" s="267"/>
      <c r="CL6" s="267"/>
      <c r="CM6" s="267"/>
      <c r="CN6" s="267"/>
      <c r="CO6" s="267"/>
      <c r="CP6" s="267"/>
      <c r="CQ6" s="267"/>
      <c r="CR6" s="267"/>
      <c r="CS6" s="267"/>
      <c r="CT6" s="267"/>
      <c r="CU6" s="267"/>
      <c r="CV6" s="267"/>
      <c r="CW6" s="267"/>
      <c r="CX6" s="267"/>
      <c r="CY6" s="267"/>
      <c r="CZ6" s="267"/>
      <c r="DA6" s="267"/>
      <c r="DB6" s="267"/>
      <c r="DC6" s="267"/>
      <c r="DD6" s="267"/>
      <c r="DE6" s="267"/>
      <c r="DF6" s="267"/>
      <c r="DG6" s="267"/>
      <c r="DH6" s="267"/>
      <c r="DI6" s="267"/>
      <c r="DJ6" s="267"/>
      <c r="DK6" s="267"/>
      <c r="DL6" s="267"/>
    </row>
    <row r="7" spans="1:116" ht="15.75" customHeight="1" x14ac:dyDescent="0.25">
      <c r="A7" s="751"/>
      <c r="B7" s="751"/>
      <c r="C7" s="4" t="s">
        <v>203</v>
      </c>
      <c r="D7" s="4" t="s">
        <v>204</v>
      </c>
      <c r="E7" s="257"/>
      <c r="F7" s="256"/>
      <c r="G7" s="258"/>
      <c r="H7" s="259"/>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0"/>
      <c r="CD7" s="260"/>
      <c r="CE7" s="260"/>
      <c r="CF7" s="260"/>
      <c r="CG7" s="260"/>
      <c r="CH7" s="260"/>
      <c r="CI7" s="260"/>
      <c r="CJ7" s="260"/>
      <c r="CK7" s="260"/>
      <c r="CL7" s="260"/>
      <c r="CM7" s="260"/>
      <c r="CN7" s="260"/>
      <c r="CO7" s="260"/>
      <c r="CP7" s="260"/>
      <c r="CQ7" s="260"/>
      <c r="CR7" s="260"/>
      <c r="CS7" s="260"/>
      <c r="CT7" s="260"/>
      <c r="CU7" s="260"/>
      <c r="CV7" s="260"/>
      <c r="CW7" s="260"/>
      <c r="CX7" s="260"/>
      <c r="CY7" s="260"/>
      <c r="CZ7" s="260"/>
      <c r="DA7" s="260"/>
      <c r="DB7" s="260"/>
      <c r="DC7" s="260"/>
      <c r="DD7" s="260"/>
      <c r="DE7" s="260"/>
      <c r="DF7" s="260"/>
      <c r="DG7" s="260"/>
      <c r="DH7" s="260"/>
      <c r="DI7" s="260"/>
      <c r="DJ7" s="260"/>
      <c r="DK7" s="260"/>
      <c r="DL7" s="260"/>
    </row>
    <row r="8" spans="1:116" ht="15.75" customHeight="1" x14ac:dyDescent="0.25">
      <c r="A8" s="751"/>
      <c r="B8" s="751"/>
      <c r="C8" s="4" t="s">
        <v>205</v>
      </c>
      <c r="D8" s="4" t="s">
        <v>204</v>
      </c>
      <c r="E8" s="257"/>
      <c r="F8" s="256"/>
      <c r="G8" s="258"/>
      <c r="H8" s="259"/>
      <c r="I8" s="260"/>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c r="AM8" s="260"/>
      <c r="AN8" s="260"/>
      <c r="AO8" s="260"/>
      <c r="AP8" s="260"/>
      <c r="AQ8" s="260"/>
      <c r="AR8" s="260"/>
      <c r="AS8" s="260"/>
      <c r="AT8" s="260"/>
      <c r="AU8" s="260"/>
      <c r="AV8" s="260"/>
      <c r="AW8" s="260"/>
      <c r="AX8" s="260"/>
      <c r="AY8" s="260"/>
      <c r="AZ8" s="260"/>
      <c r="BA8" s="260"/>
      <c r="BB8" s="260"/>
      <c r="BC8" s="260"/>
      <c r="BD8" s="260"/>
      <c r="BE8" s="260"/>
      <c r="BF8" s="260"/>
      <c r="BG8" s="260"/>
      <c r="BH8" s="260"/>
      <c r="BI8" s="260"/>
      <c r="BJ8" s="260"/>
      <c r="BK8" s="260"/>
      <c r="BL8" s="260"/>
      <c r="BM8" s="260"/>
      <c r="BN8" s="260"/>
      <c r="BO8" s="260"/>
      <c r="BP8" s="260"/>
      <c r="BQ8" s="260"/>
      <c r="BR8" s="260"/>
      <c r="BS8" s="260"/>
      <c r="BT8" s="260"/>
      <c r="BU8" s="260"/>
      <c r="BV8" s="260"/>
      <c r="BW8" s="260"/>
      <c r="BX8" s="260"/>
      <c r="BY8" s="260"/>
      <c r="BZ8" s="260"/>
      <c r="CA8" s="260"/>
      <c r="CB8" s="260"/>
      <c r="CC8" s="260"/>
      <c r="CD8" s="260"/>
      <c r="CE8" s="260"/>
      <c r="CF8" s="260"/>
      <c r="CG8" s="260"/>
      <c r="CH8" s="260"/>
      <c r="CI8" s="260"/>
      <c r="CJ8" s="260"/>
      <c r="CK8" s="260"/>
      <c r="CL8" s="260"/>
      <c r="CM8" s="260"/>
      <c r="CN8" s="260"/>
      <c r="CO8" s="260"/>
      <c r="CP8" s="260"/>
      <c r="CQ8" s="260"/>
      <c r="CR8" s="260"/>
      <c r="CS8" s="260"/>
      <c r="CT8" s="260"/>
      <c r="CU8" s="260"/>
      <c r="CV8" s="260"/>
      <c r="CW8" s="260"/>
      <c r="CX8" s="260"/>
      <c r="CY8" s="260"/>
      <c r="CZ8" s="260"/>
      <c r="DA8" s="260"/>
      <c r="DB8" s="260"/>
      <c r="DC8" s="260"/>
      <c r="DD8" s="260"/>
      <c r="DE8" s="260"/>
      <c r="DF8" s="260"/>
      <c r="DG8" s="260"/>
      <c r="DH8" s="260"/>
      <c r="DI8" s="260"/>
      <c r="DJ8" s="260"/>
      <c r="DK8" s="260"/>
      <c r="DL8" s="260"/>
    </row>
    <row r="9" spans="1:116" ht="15.75" customHeight="1" x14ac:dyDescent="0.25">
      <c r="A9" s="751"/>
      <c r="B9" s="751"/>
      <c r="C9" s="4" t="s">
        <v>206</v>
      </c>
      <c r="D9" s="4" t="s">
        <v>204</v>
      </c>
      <c r="E9" s="257"/>
      <c r="F9" s="256"/>
      <c r="G9" s="258"/>
      <c r="H9" s="259"/>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0"/>
      <c r="AI9" s="260"/>
      <c r="AJ9" s="260"/>
      <c r="AK9" s="260"/>
      <c r="AL9" s="260"/>
      <c r="AM9" s="260"/>
      <c r="AN9" s="260"/>
      <c r="AO9" s="260"/>
      <c r="AP9" s="260"/>
      <c r="AQ9" s="260"/>
      <c r="AR9" s="260"/>
      <c r="AS9" s="260"/>
      <c r="AT9" s="260"/>
      <c r="AU9" s="260"/>
      <c r="AV9" s="260"/>
      <c r="AW9" s="260"/>
      <c r="AX9" s="260"/>
      <c r="AY9" s="260"/>
      <c r="AZ9" s="260"/>
      <c r="BA9" s="260"/>
      <c r="BB9" s="260"/>
      <c r="BC9" s="260"/>
      <c r="BD9" s="260"/>
      <c r="BE9" s="260"/>
      <c r="BF9" s="260"/>
      <c r="BG9" s="260"/>
      <c r="BH9" s="260"/>
      <c r="BI9" s="260"/>
      <c r="BJ9" s="260"/>
      <c r="BK9" s="260"/>
      <c r="BL9" s="260"/>
      <c r="BM9" s="260"/>
      <c r="BN9" s="260"/>
      <c r="BO9" s="260"/>
      <c r="BP9" s="260"/>
      <c r="BQ9" s="260"/>
      <c r="BR9" s="260"/>
      <c r="BS9" s="260"/>
      <c r="BT9" s="260"/>
      <c r="BU9" s="260"/>
      <c r="BV9" s="260"/>
      <c r="BW9" s="260"/>
      <c r="BX9" s="260"/>
      <c r="BY9" s="260"/>
      <c r="BZ9" s="260"/>
      <c r="CA9" s="260"/>
      <c r="CB9" s="260"/>
      <c r="CC9" s="260"/>
      <c r="CD9" s="260"/>
      <c r="CE9" s="260"/>
      <c r="CF9" s="260"/>
      <c r="CG9" s="260"/>
      <c r="CH9" s="260"/>
      <c r="CI9" s="260"/>
      <c r="CJ9" s="260"/>
      <c r="CK9" s="260"/>
      <c r="CL9" s="260"/>
      <c r="CM9" s="260"/>
      <c r="CN9" s="260"/>
      <c r="CO9" s="260"/>
      <c r="CP9" s="260"/>
      <c r="CQ9" s="260"/>
      <c r="CR9" s="260"/>
      <c r="CS9" s="260"/>
      <c r="CT9" s="260"/>
      <c r="CU9" s="260"/>
      <c r="CV9" s="260"/>
      <c r="CW9" s="260"/>
      <c r="CX9" s="260"/>
      <c r="CY9" s="260"/>
      <c r="CZ9" s="260"/>
      <c r="DA9" s="260"/>
      <c r="DB9" s="260"/>
      <c r="DC9" s="260"/>
      <c r="DD9" s="260"/>
      <c r="DE9" s="260"/>
      <c r="DF9" s="260"/>
      <c r="DG9" s="260"/>
      <c r="DH9" s="260"/>
      <c r="DI9" s="260"/>
      <c r="DJ9" s="260"/>
      <c r="DK9" s="260"/>
      <c r="DL9" s="260"/>
    </row>
    <row r="10" spans="1:116" ht="15.75" customHeight="1" x14ac:dyDescent="0.25">
      <c r="A10" s="751"/>
      <c r="B10" s="751"/>
      <c r="C10" s="4" t="s">
        <v>207</v>
      </c>
      <c r="D10" s="4" t="s">
        <v>204</v>
      </c>
      <c r="E10" s="257"/>
      <c r="F10" s="256"/>
      <c r="G10" s="258"/>
      <c r="H10" s="259"/>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260"/>
      <c r="AK10" s="260"/>
      <c r="AL10" s="260"/>
      <c r="AM10" s="260"/>
      <c r="AN10" s="260"/>
      <c r="AO10" s="260"/>
      <c r="AP10" s="260"/>
      <c r="AQ10" s="260"/>
      <c r="AR10" s="260"/>
      <c r="AS10" s="260"/>
      <c r="AT10" s="260"/>
      <c r="AU10" s="260"/>
      <c r="AV10" s="260"/>
      <c r="AW10" s="260"/>
      <c r="AX10" s="260"/>
      <c r="AY10" s="260"/>
      <c r="AZ10" s="260"/>
      <c r="BA10" s="260"/>
      <c r="BB10" s="260"/>
      <c r="BC10" s="260"/>
      <c r="BD10" s="260"/>
      <c r="BE10" s="260"/>
      <c r="BF10" s="260"/>
      <c r="BG10" s="260"/>
      <c r="BH10" s="260"/>
      <c r="BI10" s="260"/>
      <c r="BJ10" s="260"/>
      <c r="BK10" s="260"/>
      <c r="BL10" s="260"/>
      <c r="BM10" s="260"/>
      <c r="BN10" s="260"/>
      <c r="BO10" s="260"/>
      <c r="BP10" s="260"/>
      <c r="BQ10" s="260"/>
      <c r="BR10" s="260"/>
      <c r="BS10" s="260"/>
      <c r="BT10" s="260"/>
      <c r="BU10" s="260"/>
      <c r="BV10" s="260"/>
      <c r="BW10" s="260"/>
      <c r="BX10" s="260"/>
      <c r="BY10" s="260"/>
      <c r="BZ10" s="260"/>
      <c r="CA10" s="260"/>
      <c r="CB10" s="260"/>
      <c r="CC10" s="260"/>
      <c r="CD10" s="260"/>
      <c r="CE10" s="260"/>
      <c r="CF10" s="260"/>
      <c r="CG10" s="260"/>
      <c r="CH10" s="260"/>
      <c r="CI10" s="260"/>
      <c r="CJ10" s="260"/>
      <c r="CK10" s="260"/>
      <c r="CL10" s="260"/>
      <c r="CM10" s="260"/>
      <c r="CN10" s="260"/>
      <c r="CO10" s="260"/>
      <c r="CP10" s="260"/>
      <c r="CQ10" s="260"/>
      <c r="CR10" s="260"/>
      <c r="CS10" s="260"/>
      <c r="CT10" s="260"/>
      <c r="CU10" s="260"/>
      <c r="CV10" s="260"/>
      <c r="CW10" s="260"/>
      <c r="CX10" s="260"/>
      <c r="CY10" s="260"/>
      <c r="CZ10" s="260"/>
      <c r="DA10" s="260"/>
      <c r="DB10" s="260"/>
      <c r="DC10" s="260"/>
      <c r="DD10" s="260"/>
      <c r="DE10" s="260"/>
      <c r="DF10" s="260"/>
      <c r="DG10" s="260"/>
      <c r="DH10" s="260"/>
      <c r="DI10" s="260"/>
      <c r="DJ10" s="260"/>
      <c r="DK10" s="260"/>
      <c r="DL10" s="260"/>
    </row>
    <row r="11" spans="1:116" ht="15.75" customHeight="1" x14ac:dyDescent="0.25">
      <c r="A11" s="751"/>
      <c r="B11" s="751"/>
      <c r="C11" s="4" t="s">
        <v>208</v>
      </c>
      <c r="D11" s="269">
        <v>5.0000000000000001E-3</v>
      </c>
      <c r="E11" s="257"/>
      <c r="F11" s="256"/>
      <c r="G11" s="258"/>
      <c r="H11" s="259"/>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0"/>
      <c r="AW11" s="260"/>
      <c r="AX11" s="260"/>
      <c r="AY11" s="260"/>
      <c r="AZ11" s="260"/>
      <c r="BA11" s="260"/>
      <c r="BB11" s="260"/>
      <c r="BC11" s="260"/>
      <c r="BD11" s="260"/>
      <c r="BE11" s="260"/>
      <c r="BF11" s="260"/>
      <c r="BG11" s="260"/>
      <c r="BH11" s="260"/>
      <c r="BI11" s="260"/>
      <c r="BJ11" s="260"/>
      <c r="BK11" s="260"/>
      <c r="BL11" s="260"/>
      <c r="BM11" s="260"/>
      <c r="BN11" s="260"/>
      <c r="BO11" s="260"/>
      <c r="BP11" s="260"/>
      <c r="BQ11" s="260"/>
      <c r="BR11" s="260"/>
      <c r="BS11" s="260"/>
      <c r="BT11" s="260"/>
      <c r="BU11" s="260"/>
      <c r="BV11" s="260"/>
      <c r="BW11" s="260"/>
      <c r="BX11" s="260"/>
      <c r="BY11" s="260"/>
      <c r="BZ11" s="260"/>
      <c r="CA11" s="260"/>
      <c r="CB11" s="260"/>
      <c r="CC11" s="260"/>
      <c r="CD11" s="260"/>
      <c r="CE11" s="260"/>
      <c r="CF11" s="260"/>
      <c r="CG11" s="260"/>
      <c r="CH11" s="260"/>
      <c r="CI11" s="260"/>
      <c r="CJ11" s="260"/>
      <c r="CK11" s="260"/>
      <c r="CL11" s="260"/>
      <c r="CM11" s="260"/>
      <c r="CN11" s="260"/>
      <c r="CO11" s="260"/>
      <c r="CP11" s="260"/>
      <c r="CQ11" s="260"/>
      <c r="CR11" s="260"/>
      <c r="CS11" s="260"/>
      <c r="CT11" s="260"/>
      <c r="CU11" s="260"/>
      <c r="CV11" s="260"/>
      <c r="CW11" s="260"/>
      <c r="CX11" s="260"/>
      <c r="CY11" s="260"/>
      <c r="CZ11" s="260"/>
      <c r="DA11" s="260"/>
      <c r="DB11" s="260"/>
      <c r="DC11" s="260"/>
      <c r="DD11" s="260"/>
      <c r="DE11" s="260"/>
      <c r="DF11" s="260"/>
      <c r="DG11" s="260"/>
      <c r="DH11" s="260"/>
      <c r="DI11" s="260"/>
      <c r="DJ11" s="260"/>
      <c r="DK11" s="260"/>
      <c r="DL11" s="260"/>
    </row>
    <row r="12" spans="1:116" ht="15.75" customHeight="1" x14ac:dyDescent="0.25">
      <c r="A12" s="751"/>
      <c r="B12" s="751"/>
      <c r="C12" s="4" t="s">
        <v>209</v>
      </c>
      <c r="D12" s="40">
        <v>1.5800000000000002E-2</v>
      </c>
      <c r="E12" s="257"/>
      <c r="F12" s="256"/>
      <c r="G12" s="258"/>
      <c r="H12" s="259"/>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0"/>
      <c r="AI12" s="260"/>
      <c r="AJ12" s="260"/>
      <c r="AK12" s="260"/>
      <c r="AL12" s="260"/>
      <c r="AM12" s="260"/>
      <c r="AN12" s="260"/>
      <c r="AO12" s="260"/>
      <c r="AP12" s="260"/>
      <c r="AQ12" s="260"/>
      <c r="AR12" s="260"/>
      <c r="AS12" s="260"/>
      <c r="AT12" s="260"/>
      <c r="AU12" s="260"/>
      <c r="AV12" s="260"/>
      <c r="AW12" s="260"/>
      <c r="AX12" s="260"/>
      <c r="AY12" s="260"/>
      <c r="AZ12" s="260"/>
      <c r="BA12" s="260"/>
      <c r="BB12" s="260"/>
      <c r="BC12" s="260"/>
      <c r="BD12" s="260"/>
      <c r="BE12" s="260"/>
      <c r="BF12" s="260"/>
      <c r="BG12" s="260"/>
      <c r="BH12" s="260"/>
      <c r="BI12" s="260"/>
      <c r="BJ12" s="260"/>
      <c r="BK12" s="260"/>
      <c r="BL12" s="260"/>
      <c r="BM12" s="260"/>
      <c r="BN12" s="260"/>
      <c r="BO12" s="260"/>
      <c r="BP12" s="260"/>
      <c r="BQ12" s="260"/>
      <c r="BR12" s="260"/>
      <c r="BS12" s="260"/>
      <c r="BT12" s="260"/>
      <c r="BU12" s="260"/>
      <c r="BV12" s="260"/>
      <c r="BW12" s="260"/>
      <c r="BX12" s="260"/>
      <c r="BY12" s="260"/>
      <c r="BZ12" s="260"/>
      <c r="CA12" s="260"/>
      <c r="CB12" s="260"/>
      <c r="CC12" s="260"/>
      <c r="CD12" s="260"/>
      <c r="CE12" s="260"/>
      <c r="CF12" s="260"/>
      <c r="CG12" s="260"/>
      <c r="CH12" s="260"/>
      <c r="CI12" s="260"/>
      <c r="CJ12" s="260"/>
      <c r="CK12" s="260"/>
      <c r="CL12" s="260"/>
      <c r="CM12" s="260"/>
      <c r="CN12" s="260"/>
      <c r="CO12" s="260"/>
      <c r="CP12" s="260"/>
      <c r="CQ12" s="260"/>
      <c r="CR12" s="260"/>
      <c r="CS12" s="260"/>
      <c r="CT12" s="260"/>
      <c r="CU12" s="260"/>
      <c r="CV12" s="260"/>
      <c r="CW12" s="260"/>
      <c r="CX12" s="260"/>
      <c r="CY12" s="260"/>
      <c r="CZ12" s="260"/>
      <c r="DA12" s="260"/>
      <c r="DB12" s="260"/>
      <c r="DC12" s="260"/>
      <c r="DD12" s="260"/>
      <c r="DE12" s="260"/>
      <c r="DF12" s="260"/>
      <c r="DG12" s="260"/>
      <c r="DH12" s="260"/>
      <c r="DI12" s="260"/>
      <c r="DJ12" s="260"/>
      <c r="DK12" s="260"/>
      <c r="DL12" s="260"/>
    </row>
    <row r="13" spans="1:116" ht="15.75" customHeight="1" x14ac:dyDescent="0.25">
      <c r="A13" s="751"/>
      <c r="B13" s="751"/>
      <c r="C13" s="270" t="s">
        <v>210</v>
      </c>
      <c r="D13" s="256"/>
      <c r="E13" s="257"/>
      <c r="F13" s="256"/>
      <c r="G13" s="258"/>
      <c r="H13" s="259"/>
      <c r="I13" s="271"/>
      <c r="J13" s="271"/>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260"/>
      <c r="AP13" s="260"/>
      <c r="AQ13" s="260"/>
      <c r="AR13" s="260"/>
      <c r="AS13" s="260"/>
      <c r="AT13" s="260"/>
      <c r="AU13" s="260"/>
      <c r="AV13" s="260"/>
      <c r="AW13" s="260"/>
      <c r="AX13" s="260"/>
      <c r="AY13" s="260"/>
      <c r="AZ13" s="260"/>
      <c r="BA13" s="260"/>
      <c r="BB13" s="260"/>
      <c r="BC13" s="260"/>
      <c r="BD13" s="260"/>
      <c r="BE13" s="260"/>
      <c r="BF13" s="260"/>
      <c r="BG13" s="260"/>
      <c r="BH13" s="260"/>
      <c r="BI13" s="260"/>
      <c r="BJ13" s="260"/>
      <c r="BK13" s="260"/>
      <c r="BL13" s="260"/>
      <c r="BM13" s="260"/>
      <c r="BN13" s="260"/>
      <c r="BO13" s="260"/>
      <c r="BP13" s="260"/>
      <c r="BQ13" s="260"/>
      <c r="BR13" s="260"/>
      <c r="BS13" s="260"/>
      <c r="BT13" s="260"/>
      <c r="BU13" s="260"/>
      <c r="BV13" s="260"/>
      <c r="BW13" s="260"/>
      <c r="BX13" s="260"/>
      <c r="BY13" s="260"/>
      <c r="BZ13" s="260"/>
      <c r="CA13" s="260"/>
      <c r="CB13" s="260"/>
      <c r="CC13" s="260"/>
      <c r="CD13" s="260"/>
      <c r="CE13" s="260"/>
      <c r="CF13" s="260"/>
      <c r="CG13" s="260"/>
      <c r="CH13" s="260"/>
      <c r="CI13" s="260"/>
      <c r="CJ13" s="260"/>
      <c r="CK13" s="260"/>
      <c r="CL13" s="260"/>
      <c r="CM13" s="260"/>
      <c r="CN13" s="260"/>
      <c r="CO13" s="260"/>
      <c r="CP13" s="260"/>
      <c r="CQ13" s="260"/>
      <c r="CR13" s="260"/>
      <c r="CS13" s="260"/>
      <c r="CT13" s="260"/>
      <c r="CU13" s="260"/>
      <c r="CV13" s="260"/>
      <c r="CW13" s="260"/>
      <c r="CX13" s="260"/>
      <c r="CY13" s="260"/>
      <c r="CZ13" s="260"/>
      <c r="DA13" s="260"/>
      <c r="DB13" s="260"/>
      <c r="DC13" s="260"/>
      <c r="DD13" s="260"/>
      <c r="DE13" s="260"/>
      <c r="DF13" s="260"/>
      <c r="DG13" s="260"/>
      <c r="DH13" s="260"/>
      <c r="DI13" s="260"/>
      <c r="DJ13" s="260"/>
      <c r="DK13" s="260"/>
      <c r="DL13" s="260"/>
    </row>
    <row r="14" spans="1:116" ht="15.75" customHeight="1" x14ac:dyDescent="0.25">
      <c r="A14" s="768" t="s">
        <v>211</v>
      </c>
      <c r="B14" s="757"/>
      <c r="C14" s="272"/>
      <c r="D14" s="273"/>
      <c r="E14" s="274"/>
      <c r="F14" s="273"/>
      <c r="G14" s="273"/>
      <c r="H14" s="275"/>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6"/>
      <c r="BG14" s="276"/>
      <c r="BH14" s="276"/>
      <c r="BI14" s="276"/>
      <c r="BJ14" s="276"/>
      <c r="BK14" s="276"/>
      <c r="BL14" s="276"/>
      <c r="BM14" s="276"/>
      <c r="BN14" s="276"/>
      <c r="BO14" s="276"/>
      <c r="BP14" s="276"/>
      <c r="BQ14" s="276"/>
      <c r="BR14" s="276"/>
      <c r="BS14" s="276"/>
      <c r="BT14" s="276"/>
      <c r="BU14" s="276"/>
      <c r="BV14" s="276"/>
      <c r="BW14" s="276"/>
      <c r="BX14" s="276"/>
      <c r="BY14" s="276"/>
      <c r="BZ14" s="276"/>
      <c r="CA14" s="276"/>
      <c r="CB14" s="276"/>
      <c r="CC14" s="276"/>
      <c r="CD14" s="276"/>
      <c r="CE14" s="276"/>
      <c r="CF14" s="276"/>
      <c r="CG14" s="276"/>
      <c r="CH14" s="276"/>
      <c r="CI14" s="276"/>
      <c r="CJ14" s="276"/>
      <c r="CK14" s="276"/>
      <c r="CL14" s="276"/>
      <c r="CM14" s="276"/>
      <c r="CN14" s="276"/>
      <c r="CO14" s="276"/>
      <c r="CP14" s="276"/>
      <c r="CQ14" s="276"/>
      <c r="CR14" s="276"/>
      <c r="CS14" s="276"/>
      <c r="CT14" s="276"/>
      <c r="CU14" s="276"/>
      <c r="CV14" s="276"/>
      <c r="CW14" s="276"/>
      <c r="CX14" s="276"/>
      <c r="CY14" s="276"/>
      <c r="CZ14" s="276"/>
      <c r="DA14" s="276"/>
      <c r="DB14" s="276"/>
      <c r="DC14" s="276"/>
      <c r="DD14" s="276"/>
      <c r="DE14" s="276"/>
      <c r="DF14" s="276"/>
      <c r="DG14" s="276"/>
      <c r="DH14" s="276"/>
      <c r="DI14" s="276"/>
      <c r="DJ14" s="276"/>
      <c r="DK14" s="276"/>
      <c r="DL14" s="276"/>
    </row>
    <row r="15" spans="1:116" ht="15.75" customHeight="1" outlineLevel="1" x14ac:dyDescent="0.25">
      <c r="A15" s="769" t="s">
        <v>43</v>
      </c>
      <c r="B15" s="769" t="s">
        <v>75</v>
      </c>
      <c r="C15" s="278" t="s">
        <v>212</v>
      </c>
      <c r="D15" s="279" t="s">
        <v>204</v>
      </c>
      <c r="E15" s="280"/>
      <c r="F15" s="279"/>
      <c r="G15" s="279"/>
      <c r="H15" s="281">
        <v>73</v>
      </c>
      <c r="I15" s="282">
        <f t="shared" ref="I15:AH15" si="2">H15*(1+$D$11)</f>
        <v>73.364999999999995</v>
      </c>
      <c r="J15" s="282">
        <f t="shared" si="2"/>
        <v>73.731824999999986</v>
      </c>
      <c r="K15" s="282">
        <f t="shared" si="2"/>
        <v>74.10048412499998</v>
      </c>
      <c r="L15" s="282">
        <f t="shared" si="2"/>
        <v>74.470986545624967</v>
      </c>
      <c r="M15" s="282">
        <f t="shared" si="2"/>
        <v>74.843341478353082</v>
      </c>
      <c r="N15" s="282">
        <f t="shared" si="2"/>
        <v>75.217558185744835</v>
      </c>
      <c r="O15" s="282">
        <f t="shared" si="2"/>
        <v>75.593645976673557</v>
      </c>
      <c r="P15" s="282">
        <f t="shared" si="2"/>
        <v>75.971614206556922</v>
      </c>
      <c r="Q15" s="282">
        <f t="shared" si="2"/>
        <v>76.351472277589693</v>
      </c>
      <c r="R15" s="282">
        <f t="shared" si="2"/>
        <v>76.733229638977633</v>
      </c>
      <c r="S15" s="282">
        <f t="shared" si="2"/>
        <v>77.11689578717251</v>
      </c>
      <c r="T15" s="282">
        <f t="shared" si="2"/>
        <v>77.502480266108364</v>
      </c>
      <c r="U15" s="282">
        <f t="shared" si="2"/>
        <v>77.889992667438904</v>
      </c>
      <c r="V15" s="282">
        <f t="shared" si="2"/>
        <v>78.279442630776089</v>
      </c>
      <c r="W15" s="282">
        <f t="shared" si="2"/>
        <v>78.670839843929954</v>
      </c>
      <c r="X15" s="282">
        <f t="shared" si="2"/>
        <v>79.064194043149598</v>
      </c>
      <c r="Y15" s="282">
        <f t="shared" si="2"/>
        <v>79.459515013365333</v>
      </c>
      <c r="Z15" s="282">
        <f t="shared" si="2"/>
        <v>79.856812588432149</v>
      </c>
      <c r="AA15" s="282">
        <f t="shared" si="2"/>
        <v>80.256096651374307</v>
      </c>
      <c r="AB15" s="282">
        <f t="shared" si="2"/>
        <v>80.657377134631176</v>
      </c>
      <c r="AC15" s="282">
        <f t="shared" si="2"/>
        <v>81.06066402030433</v>
      </c>
      <c r="AD15" s="282">
        <f t="shared" si="2"/>
        <v>81.46596734040584</v>
      </c>
      <c r="AE15" s="282">
        <f t="shared" si="2"/>
        <v>81.873297177107858</v>
      </c>
      <c r="AF15" s="282">
        <f t="shared" si="2"/>
        <v>82.282663662993386</v>
      </c>
      <c r="AG15" s="282">
        <f t="shared" si="2"/>
        <v>82.694076981308342</v>
      </c>
      <c r="AH15" s="282">
        <f t="shared" si="2"/>
        <v>83.107547366214874</v>
      </c>
      <c r="AI15" s="282">
        <f t="shared" ref="AI15:DE15" si="3">AH15</f>
        <v>83.107547366214874</v>
      </c>
      <c r="AJ15" s="282">
        <f t="shared" si="3"/>
        <v>83.107547366214874</v>
      </c>
      <c r="AK15" s="282">
        <f t="shared" si="3"/>
        <v>83.107547366214874</v>
      </c>
      <c r="AL15" s="282">
        <f t="shared" si="3"/>
        <v>83.107547366214874</v>
      </c>
      <c r="AM15" s="282">
        <f t="shared" si="3"/>
        <v>83.107547366214874</v>
      </c>
      <c r="AN15" s="282">
        <f t="shared" si="3"/>
        <v>83.107547366214874</v>
      </c>
      <c r="AO15" s="282">
        <f t="shared" si="3"/>
        <v>83.107547366214874</v>
      </c>
      <c r="AP15" s="282">
        <f t="shared" si="3"/>
        <v>83.107547366214874</v>
      </c>
      <c r="AQ15" s="282">
        <f t="shared" si="3"/>
        <v>83.107547366214874</v>
      </c>
      <c r="AR15" s="282">
        <f t="shared" si="3"/>
        <v>83.107547366214874</v>
      </c>
      <c r="AS15" s="282">
        <f t="shared" si="3"/>
        <v>83.107547366214874</v>
      </c>
      <c r="AT15" s="282">
        <f t="shared" si="3"/>
        <v>83.107547366214874</v>
      </c>
      <c r="AU15" s="282">
        <f t="shared" si="3"/>
        <v>83.107547366214874</v>
      </c>
      <c r="AV15" s="282">
        <f t="shared" si="3"/>
        <v>83.107547366214874</v>
      </c>
      <c r="AW15" s="282">
        <f t="shared" si="3"/>
        <v>83.107547366214874</v>
      </c>
      <c r="AX15" s="282">
        <f t="shared" si="3"/>
        <v>83.107547366214874</v>
      </c>
      <c r="AY15" s="282">
        <f t="shared" si="3"/>
        <v>83.107547366214874</v>
      </c>
      <c r="AZ15" s="282">
        <f t="shared" si="3"/>
        <v>83.107547366214874</v>
      </c>
      <c r="BA15" s="282">
        <f t="shared" si="3"/>
        <v>83.107547366214874</v>
      </c>
      <c r="BB15" s="282">
        <f t="shared" si="3"/>
        <v>83.107547366214874</v>
      </c>
      <c r="BC15" s="282">
        <f t="shared" si="3"/>
        <v>83.107547366214874</v>
      </c>
      <c r="BD15" s="282">
        <f t="shared" si="3"/>
        <v>83.107547366214874</v>
      </c>
      <c r="BE15" s="282">
        <f t="shared" si="3"/>
        <v>83.107547366214874</v>
      </c>
      <c r="BF15" s="282">
        <f t="shared" si="3"/>
        <v>83.107547366214874</v>
      </c>
      <c r="BG15" s="282">
        <f t="shared" si="3"/>
        <v>83.107547366214874</v>
      </c>
      <c r="BH15" s="282">
        <f t="shared" si="3"/>
        <v>83.107547366214874</v>
      </c>
      <c r="BI15" s="282">
        <f t="shared" si="3"/>
        <v>83.107547366214874</v>
      </c>
      <c r="BJ15" s="282">
        <f t="shared" si="3"/>
        <v>83.107547366214874</v>
      </c>
      <c r="BK15" s="282">
        <f t="shared" si="3"/>
        <v>83.107547366214874</v>
      </c>
      <c r="BL15" s="282">
        <f t="shared" si="3"/>
        <v>83.107547366214874</v>
      </c>
      <c r="BM15" s="282">
        <f t="shared" si="3"/>
        <v>83.107547366214874</v>
      </c>
      <c r="BN15" s="282">
        <f t="shared" si="3"/>
        <v>83.107547366214874</v>
      </c>
      <c r="BO15" s="282">
        <f t="shared" si="3"/>
        <v>83.107547366214874</v>
      </c>
      <c r="BP15" s="282">
        <f t="shared" si="3"/>
        <v>83.107547366214874</v>
      </c>
      <c r="BQ15" s="282">
        <f t="shared" si="3"/>
        <v>83.107547366214874</v>
      </c>
      <c r="BR15" s="282">
        <f t="shared" si="3"/>
        <v>83.107547366214874</v>
      </c>
      <c r="BS15" s="282">
        <f t="shared" si="3"/>
        <v>83.107547366214874</v>
      </c>
      <c r="BT15" s="282">
        <f t="shared" si="3"/>
        <v>83.107547366214874</v>
      </c>
      <c r="BU15" s="282">
        <f t="shared" si="3"/>
        <v>83.107547366214874</v>
      </c>
      <c r="BV15" s="282">
        <f t="shared" si="3"/>
        <v>83.107547366214874</v>
      </c>
      <c r="BW15" s="282">
        <f t="shared" si="3"/>
        <v>83.107547366214874</v>
      </c>
      <c r="BX15" s="282">
        <f t="shared" si="3"/>
        <v>83.107547366214874</v>
      </c>
      <c r="BY15" s="282">
        <f t="shared" si="3"/>
        <v>83.107547366214874</v>
      </c>
      <c r="BZ15" s="282">
        <f t="shared" si="3"/>
        <v>83.107547366214874</v>
      </c>
      <c r="CA15" s="282">
        <f t="shared" si="3"/>
        <v>83.107547366214874</v>
      </c>
      <c r="CB15" s="282">
        <f t="shared" si="3"/>
        <v>83.107547366214874</v>
      </c>
      <c r="CC15" s="282">
        <f t="shared" si="3"/>
        <v>83.107547366214874</v>
      </c>
      <c r="CD15" s="282">
        <f t="shared" si="3"/>
        <v>83.107547366214874</v>
      </c>
      <c r="CE15" s="282">
        <f t="shared" si="3"/>
        <v>83.107547366214874</v>
      </c>
      <c r="CF15" s="282">
        <f t="shared" si="3"/>
        <v>83.107547366214874</v>
      </c>
      <c r="CG15" s="282">
        <f t="shared" si="3"/>
        <v>83.107547366214874</v>
      </c>
      <c r="CH15" s="282">
        <f t="shared" si="3"/>
        <v>83.107547366214874</v>
      </c>
      <c r="CI15" s="282">
        <f t="shared" si="3"/>
        <v>83.107547366214874</v>
      </c>
      <c r="CJ15" s="282">
        <f t="shared" si="3"/>
        <v>83.107547366214874</v>
      </c>
      <c r="CK15" s="282">
        <f t="shared" si="3"/>
        <v>83.107547366214874</v>
      </c>
      <c r="CL15" s="282">
        <f t="shared" si="3"/>
        <v>83.107547366214874</v>
      </c>
      <c r="CM15" s="282">
        <f t="shared" si="3"/>
        <v>83.107547366214874</v>
      </c>
      <c r="CN15" s="282">
        <f t="shared" si="3"/>
        <v>83.107547366214874</v>
      </c>
      <c r="CO15" s="282">
        <f t="shared" si="3"/>
        <v>83.107547366214874</v>
      </c>
      <c r="CP15" s="282">
        <f t="shared" si="3"/>
        <v>83.107547366214874</v>
      </c>
      <c r="CQ15" s="282">
        <f t="shared" si="3"/>
        <v>83.107547366214874</v>
      </c>
      <c r="CR15" s="282">
        <f t="shared" si="3"/>
        <v>83.107547366214874</v>
      </c>
      <c r="CS15" s="282">
        <f t="shared" si="3"/>
        <v>83.107547366214874</v>
      </c>
      <c r="CT15" s="282">
        <f t="shared" si="3"/>
        <v>83.107547366214874</v>
      </c>
      <c r="CU15" s="282">
        <f t="shared" si="3"/>
        <v>83.107547366214874</v>
      </c>
      <c r="CV15" s="282">
        <f t="shared" si="3"/>
        <v>83.107547366214874</v>
      </c>
      <c r="CW15" s="282">
        <f t="shared" si="3"/>
        <v>83.107547366214874</v>
      </c>
      <c r="CX15" s="282">
        <f t="shared" si="3"/>
        <v>83.107547366214874</v>
      </c>
      <c r="CY15" s="282">
        <f t="shared" si="3"/>
        <v>83.107547366214874</v>
      </c>
      <c r="CZ15" s="282">
        <f t="shared" si="3"/>
        <v>83.107547366214874</v>
      </c>
      <c r="DA15" s="282">
        <f t="shared" si="3"/>
        <v>83.107547366214874</v>
      </c>
      <c r="DB15" s="282">
        <f t="shared" si="3"/>
        <v>83.107547366214874</v>
      </c>
      <c r="DC15" s="282">
        <f t="shared" si="3"/>
        <v>83.107547366214874</v>
      </c>
      <c r="DD15" s="282">
        <f t="shared" si="3"/>
        <v>83.107547366214874</v>
      </c>
      <c r="DE15" s="282">
        <f t="shared" si="3"/>
        <v>83.107547366214874</v>
      </c>
      <c r="DF15" s="282"/>
      <c r="DG15" s="282"/>
      <c r="DH15" s="282"/>
      <c r="DI15" s="282"/>
      <c r="DJ15" s="282"/>
      <c r="DK15" s="282"/>
      <c r="DL15" s="282"/>
    </row>
    <row r="16" spans="1:116" ht="15.75" customHeight="1" outlineLevel="1" x14ac:dyDescent="0.25">
      <c r="A16" s="751"/>
      <c r="B16" s="751"/>
      <c r="C16" s="283" t="s">
        <v>213</v>
      </c>
      <c r="D16" s="279" t="s">
        <v>204</v>
      </c>
      <c r="E16" s="280" t="s">
        <v>214</v>
      </c>
      <c r="F16" s="279"/>
      <c r="G16" s="279" t="s">
        <v>215</v>
      </c>
      <c r="H16" s="281">
        <f>H15*'Summary of CBA'!$D$3</f>
        <v>24.09</v>
      </c>
      <c r="I16" s="284">
        <f>I15*'Summary of CBA'!$D$3</f>
        <v>24.210449999999998</v>
      </c>
      <c r="J16" s="284">
        <f>J15*'Summary of CBA'!$D$3</f>
        <v>24.331502249999996</v>
      </c>
      <c r="K16" s="284">
        <f>K15*'Summary of CBA'!$D$3</f>
        <v>24.453159761249996</v>
      </c>
      <c r="L16" s="284">
        <f>L15*'Summary of CBA'!$D$3</f>
        <v>24.575425560056239</v>
      </c>
      <c r="M16" s="284">
        <f>M15*'Summary of CBA'!$D$3</f>
        <v>24.698302687856518</v>
      </c>
      <c r="N16" s="284">
        <f>N15*'Summary of CBA'!$D$3</f>
        <v>24.821794201295798</v>
      </c>
      <c r="O16" s="284">
        <f>O15*'Summary of CBA'!$D$3</f>
        <v>24.945903172302273</v>
      </c>
      <c r="P16" s="284">
        <f>P15*'Summary of CBA'!$D$3</f>
        <v>25.070632688163784</v>
      </c>
      <c r="Q16" s="284">
        <f>Q15*'Summary of CBA'!$D$3</f>
        <v>25.1959858516046</v>
      </c>
      <c r="R16" s="284">
        <f>R15*'Summary of CBA'!$D$3</f>
        <v>25.32196578086262</v>
      </c>
      <c r="S16" s="284">
        <f>S15*'Summary of CBA'!$D$3</f>
        <v>25.44857560976693</v>
      </c>
      <c r="T16" s="284">
        <f>T15*'Summary of CBA'!$D$3</f>
        <v>25.575818487815763</v>
      </c>
      <c r="U16" s="284">
        <f>U15*'Summary of CBA'!$D$3</f>
        <v>25.70369758025484</v>
      </c>
      <c r="V16" s="284">
        <f>V15*'Summary of CBA'!$D$3</f>
        <v>25.832216068156111</v>
      </c>
      <c r="W16" s="284">
        <f>W15*'Summary of CBA'!$D$3</f>
        <v>25.961377148496886</v>
      </c>
      <c r="X16" s="284">
        <f>X15*'Summary of CBA'!$D$3</f>
        <v>26.091184034239369</v>
      </c>
      <c r="Y16" s="284">
        <f>Y15*'Summary of CBA'!$D$3</f>
        <v>26.221639954410563</v>
      </c>
      <c r="Z16" s="284">
        <f>Z15*'Summary of CBA'!$D$3</f>
        <v>26.35274815418261</v>
      </c>
      <c r="AA16" s="284">
        <f>AA15*'Summary of CBA'!$D$3</f>
        <v>26.484511894953524</v>
      </c>
      <c r="AB16" s="284">
        <f>AB15*'Summary of CBA'!$D$3</f>
        <v>26.616934454428289</v>
      </c>
      <c r="AC16" s="284">
        <f>AC15*'Summary of CBA'!$D$3</f>
        <v>26.75001912670043</v>
      </c>
      <c r="AD16" s="284">
        <f>AD15*'Summary of CBA'!$D$3</f>
        <v>26.883769222333928</v>
      </c>
      <c r="AE16" s="284">
        <f>AE15*'Summary of CBA'!$D$3</f>
        <v>27.018188068445596</v>
      </c>
      <c r="AF16" s="284">
        <f>AF15*'Summary of CBA'!$D$3</f>
        <v>27.15327900878782</v>
      </c>
      <c r="AG16" s="284">
        <f>AG15*'Summary of CBA'!$D$3</f>
        <v>27.289045403831754</v>
      </c>
      <c r="AH16" s="284">
        <f>AH15*'Summary of CBA'!$D$3</f>
        <v>27.425490630850909</v>
      </c>
      <c r="AI16" s="284">
        <f>AI15*'Summary of CBA'!$D$3</f>
        <v>27.425490630850909</v>
      </c>
      <c r="AJ16" s="284">
        <f>AJ15*'Summary of CBA'!$D$3</f>
        <v>27.425490630850909</v>
      </c>
      <c r="AK16" s="284">
        <f>AK15*'Summary of CBA'!$D$3</f>
        <v>27.425490630850909</v>
      </c>
      <c r="AL16" s="284">
        <f>AL15*'Summary of CBA'!$D$3</f>
        <v>27.425490630850909</v>
      </c>
      <c r="AM16" s="284">
        <f>AM15*'Summary of CBA'!$D$3</f>
        <v>27.425490630850909</v>
      </c>
      <c r="AN16" s="284">
        <f>AN15*'Summary of CBA'!$D$3</f>
        <v>27.425490630850909</v>
      </c>
      <c r="AO16" s="284">
        <f>AO15*'Summary of CBA'!$D$3</f>
        <v>27.425490630850909</v>
      </c>
      <c r="AP16" s="284">
        <f>AP15*'Summary of CBA'!$D$3</f>
        <v>27.425490630850909</v>
      </c>
      <c r="AQ16" s="284">
        <f>AQ15*'Summary of CBA'!$D$3</f>
        <v>27.425490630850909</v>
      </c>
      <c r="AR16" s="284">
        <f>AR15*'Summary of CBA'!$D$3</f>
        <v>27.425490630850909</v>
      </c>
      <c r="AS16" s="284">
        <f>AS15*'Summary of CBA'!$D$3</f>
        <v>27.425490630850909</v>
      </c>
      <c r="AT16" s="284">
        <f>AT15*'Summary of CBA'!$D$3</f>
        <v>27.425490630850909</v>
      </c>
      <c r="AU16" s="284">
        <f>AU15*'Summary of CBA'!$D$3</f>
        <v>27.425490630850909</v>
      </c>
      <c r="AV16" s="284">
        <f>AV15*'Summary of CBA'!$D$3</f>
        <v>27.425490630850909</v>
      </c>
      <c r="AW16" s="284">
        <f>AW15*'Summary of CBA'!$D$3</f>
        <v>27.425490630850909</v>
      </c>
      <c r="AX16" s="284">
        <f>AX15*'Summary of CBA'!$D$3</f>
        <v>27.425490630850909</v>
      </c>
      <c r="AY16" s="284">
        <f>AY15*'Summary of CBA'!$D$3</f>
        <v>27.425490630850909</v>
      </c>
      <c r="AZ16" s="284">
        <f>AZ15*'Summary of CBA'!$D$3</f>
        <v>27.425490630850909</v>
      </c>
      <c r="BA16" s="284">
        <f>BA15*'Summary of CBA'!$D$3</f>
        <v>27.425490630850909</v>
      </c>
      <c r="BB16" s="284">
        <f>BB15*'Summary of CBA'!$D$3</f>
        <v>27.425490630850909</v>
      </c>
      <c r="BC16" s="284">
        <f>BC15*'Summary of CBA'!$D$3</f>
        <v>27.425490630850909</v>
      </c>
      <c r="BD16" s="284">
        <f>BD15*'Summary of CBA'!$D$3</f>
        <v>27.425490630850909</v>
      </c>
      <c r="BE16" s="284">
        <f>BE15*'Summary of CBA'!$D$3</f>
        <v>27.425490630850909</v>
      </c>
      <c r="BF16" s="284">
        <f>BF15*'Summary of CBA'!$D$3</f>
        <v>27.425490630850909</v>
      </c>
      <c r="BG16" s="284">
        <f>BG15*'Summary of CBA'!$D$3</f>
        <v>27.425490630850909</v>
      </c>
      <c r="BH16" s="284">
        <f>BH15*'Summary of CBA'!$D$3</f>
        <v>27.425490630850909</v>
      </c>
      <c r="BI16" s="284">
        <f>BI15*'Summary of CBA'!$D$3</f>
        <v>27.425490630850909</v>
      </c>
      <c r="BJ16" s="284">
        <f>BJ15*'Summary of CBA'!$D$3</f>
        <v>27.425490630850909</v>
      </c>
      <c r="BK16" s="284">
        <f>BK15*'Summary of CBA'!$D$3</f>
        <v>27.425490630850909</v>
      </c>
      <c r="BL16" s="284">
        <f>BL15*'Summary of CBA'!$D$3</f>
        <v>27.425490630850909</v>
      </c>
      <c r="BM16" s="284">
        <f>BM15*'Summary of CBA'!$D$3</f>
        <v>27.425490630850909</v>
      </c>
      <c r="BN16" s="284">
        <f>BN15*'Summary of CBA'!$D$3</f>
        <v>27.425490630850909</v>
      </c>
      <c r="BO16" s="284">
        <f>BO15*'Summary of CBA'!$D$3</f>
        <v>27.425490630850909</v>
      </c>
      <c r="BP16" s="284">
        <f>BP15*'Summary of CBA'!$D$3</f>
        <v>27.425490630850909</v>
      </c>
      <c r="BQ16" s="284">
        <f>BQ15*'Summary of CBA'!$D$3</f>
        <v>27.425490630850909</v>
      </c>
      <c r="BR16" s="284">
        <f>BR15*'Summary of CBA'!$D$3</f>
        <v>27.425490630850909</v>
      </c>
      <c r="BS16" s="284">
        <f>BS15*'Summary of CBA'!$D$3</f>
        <v>27.425490630850909</v>
      </c>
      <c r="BT16" s="284">
        <f>BT15*'Summary of CBA'!$D$3</f>
        <v>27.425490630850909</v>
      </c>
      <c r="BU16" s="284">
        <f>BU15*'Summary of CBA'!$D$3</f>
        <v>27.425490630850909</v>
      </c>
      <c r="BV16" s="284">
        <f>BV15*'Summary of CBA'!$D$3</f>
        <v>27.425490630850909</v>
      </c>
      <c r="BW16" s="284">
        <f>BW15*'Summary of CBA'!$D$3</f>
        <v>27.425490630850909</v>
      </c>
      <c r="BX16" s="284">
        <f>BX15*'Summary of CBA'!$D$3</f>
        <v>27.425490630850909</v>
      </c>
      <c r="BY16" s="284">
        <f>BY15*'Summary of CBA'!$D$3</f>
        <v>27.425490630850909</v>
      </c>
      <c r="BZ16" s="284">
        <f>BZ15*'Summary of CBA'!$D$3</f>
        <v>27.425490630850909</v>
      </c>
      <c r="CA16" s="284">
        <f>CA15*'Summary of CBA'!$D$3</f>
        <v>27.425490630850909</v>
      </c>
      <c r="CB16" s="284">
        <f>CB15*'Summary of CBA'!$D$3</f>
        <v>27.425490630850909</v>
      </c>
      <c r="CC16" s="284">
        <f>CC15*'Summary of CBA'!$D$3</f>
        <v>27.425490630850909</v>
      </c>
      <c r="CD16" s="284">
        <f>CD15*'Summary of CBA'!$D$3</f>
        <v>27.425490630850909</v>
      </c>
      <c r="CE16" s="284">
        <f>CE15*'Summary of CBA'!$D$3</f>
        <v>27.425490630850909</v>
      </c>
      <c r="CF16" s="284">
        <f>CF15*'Summary of CBA'!$D$3</f>
        <v>27.425490630850909</v>
      </c>
      <c r="CG16" s="284">
        <f>CG15*'Summary of CBA'!$D$3</f>
        <v>27.425490630850909</v>
      </c>
      <c r="CH16" s="284">
        <f>CH15*'Summary of CBA'!$D$3</f>
        <v>27.425490630850909</v>
      </c>
      <c r="CI16" s="284">
        <f>CI15*'Summary of CBA'!$D$3</f>
        <v>27.425490630850909</v>
      </c>
      <c r="CJ16" s="284">
        <f>CJ15*'Summary of CBA'!$D$3</f>
        <v>27.425490630850909</v>
      </c>
      <c r="CK16" s="284">
        <f>CK15*'Summary of CBA'!$D$3</f>
        <v>27.425490630850909</v>
      </c>
      <c r="CL16" s="284">
        <f>CL15*'Summary of CBA'!$D$3</f>
        <v>27.425490630850909</v>
      </c>
      <c r="CM16" s="284">
        <f>CM15*'Summary of CBA'!$D$3</f>
        <v>27.425490630850909</v>
      </c>
      <c r="CN16" s="284">
        <f>CN15*'Summary of CBA'!$D$3</f>
        <v>27.425490630850909</v>
      </c>
      <c r="CO16" s="284">
        <f>CO15*'Summary of CBA'!$D$3</f>
        <v>27.425490630850909</v>
      </c>
      <c r="CP16" s="284">
        <f>CP15*'Summary of CBA'!$D$3</f>
        <v>27.425490630850909</v>
      </c>
      <c r="CQ16" s="284">
        <f>CQ15*'Summary of CBA'!$D$3</f>
        <v>27.425490630850909</v>
      </c>
      <c r="CR16" s="284">
        <f>CR15*'Summary of CBA'!$D$3</f>
        <v>27.425490630850909</v>
      </c>
      <c r="CS16" s="284">
        <f>CS15*'Summary of CBA'!$D$3</f>
        <v>27.425490630850909</v>
      </c>
      <c r="CT16" s="284">
        <f>CT15*'Summary of CBA'!$D$3</f>
        <v>27.425490630850909</v>
      </c>
      <c r="CU16" s="284">
        <f>CU15*'Summary of CBA'!$D$3</f>
        <v>27.425490630850909</v>
      </c>
      <c r="CV16" s="284">
        <f>CV15*'Summary of CBA'!$D$3</f>
        <v>27.425490630850909</v>
      </c>
      <c r="CW16" s="284">
        <f>CW15*'Summary of CBA'!$D$3</f>
        <v>27.425490630850909</v>
      </c>
      <c r="CX16" s="284">
        <f>CX15*'Summary of CBA'!$D$3</f>
        <v>27.425490630850909</v>
      </c>
      <c r="CY16" s="284">
        <f>CY15*'Summary of CBA'!$D$3</f>
        <v>27.425490630850909</v>
      </c>
      <c r="CZ16" s="284">
        <f>CZ15*'Summary of CBA'!$D$3</f>
        <v>27.425490630850909</v>
      </c>
      <c r="DA16" s="284">
        <f>DA15*'Summary of CBA'!$D$3</f>
        <v>27.425490630850909</v>
      </c>
      <c r="DB16" s="284">
        <f>DB15*'Summary of CBA'!$D$3</f>
        <v>27.425490630850909</v>
      </c>
      <c r="DC16" s="284">
        <f>DC15*'Summary of CBA'!$D$3</f>
        <v>27.425490630850909</v>
      </c>
      <c r="DD16" s="284">
        <f>DD15*'Summary of CBA'!$D$3</f>
        <v>27.425490630850909</v>
      </c>
      <c r="DE16" s="284">
        <f>DE15*'Summary of CBA'!$D$3</f>
        <v>27.425490630850909</v>
      </c>
      <c r="DF16" s="285"/>
      <c r="DG16" s="285"/>
      <c r="DH16" s="285"/>
      <c r="DI16" s="285"/>
      <c r="DJ16" s="285"/>
      <c r="DK16" s="285"/>
      <c r="DL16" s="285"/>
    </row>
    <row r="17" spans="1:116" ht="15.75" customHeight="1" outlineLevel="1" x14ac:dyDescent="0.25">
      <c r="A17" s="751"/>
      <c r="B17" s="751"/>
      <c r="C17" s="278" t="s">
        <v>216</v>
      </c>
      <c r="D17" s="279" t="s">
        <v>38</v>
      </c>
      <c r="E17" s="280" t="s">
        <v>217</v>
      </c>
      <c r="F17" s="279"/>
      <c r="G17" s="279"/>
      <c r="H17" s="286">
        <f t="shared" ref="H17:DE17" si="4">0.25</f>
        <v>0.25</v>
      </c>
      <c r="I17" s="287">
        <f t="shared" si="4"/>
        <v>0.25</v>
      </c>
      <c r="J17" s="287">
        <f t="shared" si="4"/>
        <v>0.25</v>
      </c>
      <c r="K17" s="287">
        <f t="shared" si="4"/>
        <v>0.25</v>
      </c>
      <c r="L17" s="287">
        <f t="shared" si="4"/>
        <v>0.25</v>
      </c>
      <c r="M17" s="287">
        <f t="shared" si="4"/>
        <v>0.25</v>
      </c>
      <c r="N17" s="287">
        <f t="shared" si="4"/>
        <v>0.25</v>
      </c>
      <c r="O17" s="287">
        <f t="shared" si="4"/>
        <v>0.25</v>
      </c>
      <c r="P17" s="287">
        <f t="shared" si="4"/>
        <v>0.25</v>
      </c>
      <c r="Q17" s="287">
        <f t="shared" si="4"/>
        <v>0.25</v>
      </c>
      <c r="R17" s="287">
        <f t="shared" si="4"/>
        <v>0.25</v>
      </c>
      <c r="S17" s="287">
        <f t="shared" si="4"/>
        <v>0.25</v>
      </c>
      <c r="T17" s="287">
        <f t="shared" si="4"/>
        <v>0.25</v>
      </c>
      <c r="U17" s="287">
        <f t="shared" si="4"/>
        <v>0.25</v>
      </c>
      <c r="V17" s="287">
        <f t="shared" si="4"/>
        <v>0.25</v>
      </c>
      <c r="W17" s="287">
        <f t="shared" si="4"/>
        <v>0.25</v>
      </c>
      <c r="X17" s="287">
        <f t="shared" si="4"/>
        <v>0.25</v>
      </c>
      <c r="Y17" s="287">
        <f t="shared" si="4"/>
        <v>0.25</v>
      </c>
      <c r="Z17" s="287">
        <f t="shared" si="4"/>
        <v>0.25</v>
      </c>
      <c r="AA17" s="287">
        <f t="shared" si="4"/>
        <v>0.25</v>
      </c>
      <c r="AB17" s="287">
        <f t="shared" si="4"/>
        <v>0.25</v>
      </c>
      <c r="AC17" s="287">
        <f t="shared" si="4"/>
        <v>0.25</v>
      </c>
      <c r="AD17" s="287">
        <f t="shared" si="4"/>
        <v>0.25</v>
      </c>
      <c r="AE17" s="287">
        <f t="shared" si="4"/>
        <v>0.25</v>
      </c>
      <c r="AF17" s="287">
        <f t="shared" si="4"/>
        <v>0.25</v>
      </c>
      <c r="AG17" s="287">
        <f t="shared" si="4"/>
        <v>0.25</v>
      </c>
      <c r="AH17" s="287">
        <f t="shared" si="4"/>
        <v>0.25</v>
      </c>
      <c r="AI17" s="287">
        <f t="shared" si="4"/>
        <v>0.25</v>
      </c>
      <c r="AJ17" s="287">
        <f t="shared" si="4"/>
        <v>0.25</v>
      </c>
      <c r="AK17" s="287">
        <f t="shared" si="4"/>
        <v>0.25</v>
      </c>
      <c r="AL17" s="287">
        <f t="shared" si="4"/>
        <v>0.25</v>
      </c>
      <c r="AM17" s="287">
        <f t="shared" si="4"/>
        <v>0.25</v>
      </c>
      <c r="AN17" s="287">
        <f t="shared" si="4"/>
        <v>0.25</v>
      </c>
      <c r="AO17" s="287">
        <f t="shared" si="4"/>
        <v>0.25</v>
      </c>
      <c r="AP17" s="287">
        <f t="shared" si="4"/>
        <v>0.25</v>
      </c>
      <c r="AQ17" s="287">
        <f t="shared" si="4"/>
        <v>0.25</v>
      </c>
      <c r="AR17" s="287">
        <f t="shared" si="4"/>
        <v>0.25</v>
      </c>
      <c r="AS17" s="287">
        <f t="shared" si="4"/>
        <v>0.25</v>
      </c>
      <c r="AT17" s="287">
        <f t="shared" si="4"/>
        <v>0.25</v>
      </c>
      <c r="AU17" s="287">
        <f t="shared" si="4"/>
        <v>0.25</v>
      </c>
      <c r="AV17" s="287">
        <f t="shared" si="4"/>
        <v>0.25</v>
      </c>
      <c r="AW17" s="287">
        <f t="shared" si="4"/>
        <v>0.25</v>
      </c>
      <c r="AX17" s="287">
        <f t="shared" si="4"/>
        <v>0.25</v>
      </c>
      <c r="AY17" s="287">
        <f t="shared" si="4"/>
        <v>0.25</v>
      </c>
      <c r="AZ17" s="287">
        <f t="shared" si="4"/>
        <v>0.25</v>
      </c>
      <c r="BA17" s="287">
        <f t="shared" si="4"/>
        <v>0.25</v>
      </c>
      <c r="BB17" s="287">
        <f t="shared" si="4"/>
        <v>0.25</v>
      </c>
      <c r="BC17" s="287">
        <f t="shared" si="4"/>
        <v>0.25</v>
      </c>
      <c r="BD17" s="287">
        <f t="shared" si="4"/>
        <v>0.25</v>
      </c>
      <c r="BE17" s="287">
        <f t="shared" si="4"/>
        <v>0.25</v>
      </c>
      <c r="BF17" s="287">
        <f t="shared" si="4"/>
        <v>0.25</v>
      </c>
      <c r="BG17" s="287">
        <f t="shared" si="4"/>
        <v>0.25</v>
      </c>
      <c r="BH17" s="287">
        <f t="shared" si="4"/>
        <v>0.25</v>
      </c>
      <c r="BI17" s="287">
        <f t="shared" si="4"/>
        <v>0.25</v>
      </c>
      <c r="BJ17" s="287">
        <f t="shared" si="4"/>
        <v>0.25</v>
      </c>
      <c r="BK17" s="287">
        <f t="shared" si="4"/>
        <v>0.25</v>
      </c>
      <c r="BL17" s="287">
        <f t="shared" si="4"/>
        <v>0.25</v>
      </c>
      <c r="BM17" s="287">
        <f t="shared" si="4"/>
        <v>0.25</v>
      </c>
      <c r="BN17" s="287">
        <f t="shared" si="4"/>
        <v>0.25</v>
      </c>
      <c r="BO17" s="287">
        <f t="shared" si="4"/>
        <v>0.25</v>
      </c>
      <c r="BP17" s="287">
        <f t="shared" si="4"/>
        <v>0.25</v>
      </c>
      <c r="BQ17" s="287">
        <f t="shared" si="4"/>
        <v>0.25</v>
      </c>
      <c r="BR17" s="287">
        <f t="shared" si="4"/>
        <v>0.25</v>
      </c>
      <c r="BS17" s="287">
        <f t="shared" si="4"/>
        <v>0.25</v>
      </c>
      <c r="BT17" s="287">
        <f t="shared" si="4"/>
        <v>0.25</v>
      </c>
      <c r="BU17" s="287">
        <f t="shared" si="4"/>
        <v>0.25</v>
      </c>
      <c r="BV17" s="287">
        <f t="shared" si="4"/>
        <v>0.25</v>
      </c>
      <c r="BW17" s="287">
        <f t="shared" si="4"/>
        <v>0.25</v>
      </c>
      <c r="BX17" s="287">
        <f t="shared" si="4"/>
        <v>0.25</v>
      </c>
      <c r="BY17" s="287">
        <f t="shared" si="4"/>
        <v>0.25</v>
      </c>
      <c r="BZ17" s="287">
        <f t="shared" si="4"/>
        <v>0.25</v>
      </c>
      <c r="CA17" s="287">
        <f t="shared" si="4"/>
        <v>0.25</v>
      </c>
      <c r="CB17" s="287">
        <f t="shared" si="4"/>
        <v>0.25</v>
      </c>
      <c r="CC17" s="287">
        <f t="shared" si="4"/>
        <v>0.25</v>
      </c>
      <c r="CD17" s="287">
        <f t="shared" si="4"/>
        <v>0.25</v>
      </c>
      <c r="CE17" s="287">
        <f t="shared" si="4"/>
        <v>0.25</v>
      </c>
      <c r="CF17" s="287">
        <f t="shared" si="4"/>
        <v>0.25</v>
      </c>
      <c r="CG17" s="287">
        <f t="shared" si="4"/>
        <v>0.25</v>
      </c>
      <c r="CH17" s="287">
        <f t="shared" si="4"/>
        <v>0.25</v>
      </c>
      <c r="CI17" s="287">
        <f t="shared" si="4"/>
        <v>0.25</v>
      </c>
      <c r="CJ17" s="287">
        <f t="shared" si="4"/>
        <v>0.25</v>
      </c>
      <c r="CK17" s="287">
        <f t="shared" si="4"/>
        <v>0.25</v>
      </c>
      <c r="CL17" s="287">
        <f t="shared" si="4"/>
        <v>0.25</v>
      </c>
      <c r="CM17" s="287">
        <f t="shared" si="4"/>
        <v>0.25</v>
      </c>
      <c r="CN17" s="287">
        <f t="shared" si="4"/>
        <v>0.25</v>
      </c>
      <c r="CO17" s="287">
        <f t="shared" si="4"/>
        <v>0.25</v>
      </c>
      <c r="CP17" s="287">
        <f t="shared" si="4"/>
        <v>0.25</v>
      </c>
      <c r="CQ17" s="287">
        <f t="shared" si="4"/>
        <v>0.25</v>
      </c>
      <c r="CR17" s="287">
        <f t="shared" si="4"/>
        <v>0.25</v>
      </c>
      <c r="CS17" s="287">
        <f t="shared" si="4"/>
        <v>0.25</v>
      </c>
      <c r="CT17" s="287">
        <f t="shared" si="4"/>
        <v>0.25</v>
      </c>
      <c r="CU17" s="287">
        <f t="shared" si="4"/>
        <v>0.25</v>
      </c>
      <c r="CV17" s="287">
        <f t="shared" si="4"/>
        <v>0.25</v>
      </c>
      <c r="CW17" s="287">
        <f t="shared" si="4"/>
        <v>0.25</v>
      </c>
      <c r="CX17" s="287">
        <f t="shared" si="4"/>
        <v>0.25</v>
      </c>
      <c r="CY17" s="287">
        <f t="shared" si="4"/>
        <v>0.25</v>
      </c>
      <c r="CZ17" s="287">
        <f t="shared" si="4"/>
        <v>0.25</v>
      </c>
      <c r="DA17" s="287">
        <f t="shared" si="4"/>
        <v>0.25</v>
      </c>
      <c r="DB17" s="287">
        <f t="shared" si="4"/>
        <v>0.25</v>
      </c>
      <c r="DC17" s="287">
        <f t="shared" si="4"/>
        <v>0.25</v>
      </c>
      <c r="DD17" s="287">
        <f t="shared" si="4"/>
        <v>0.25</v>
      </c>
      <c r="DE17" s="287">
        <f t="shared" si="4"/>
        <v>0.25</v>
      </c>
      <c r="DF17" s="287"/>
      <c r="DG17" s="287"/>
      <c r="DH17" s="287"/>
      <c r="DI17" s="287"/>
      <c r="DJ17" s="287"/>
      <c r="DK17" s="287"/>
      <c r="DL17" s="287"/>
    </row>
    <row r="18" spans="1:116" ht="15.75" customHeight="1" outlineLevel="1" x14ac:dyDescent="0.25">
      <c r="A18" s="751"/>
      <c r="B18" s="751"/>
      <c r="C18" s="278" t="s">
        <v>218</v>
      </c>
      <c r="D18" s="279" t="s">
        <v>204</v>
      </c>
      <c r="E18" s="280"/>
      <c r="F18" s="279"/>
      <c r="G18" s="279" t="s">
        <v>219</v>
      </c>
      <c r="H18" s="288">
        <f t="shared" ref="H18:DE18" si="5">H17*H16</f>
        <v>6.0225</v>
      </c>
      <c r="I18" s="289">
        <f t="shared" si="5"/>
        <v>6.0526124999999995</v>
      </c>
      <c r="J18" s="289">
        <f t="shared" si="5"/>
        <v>6.0828755624999991</v>
      </c>
      <c r="K18" s="289">
        <f t="shared" si="5"/>
        <v>6.1132899403124989</v>
      </c>
      <c r="L18" s="289">
        <f t="shared" si="5"/>
        <v>6.1438563900140597</v>
      </c>
      <c r="M18" s="289">
        <f t="shared" si="5"/>
        <v>6.1745756719641296</v>
      </c>
      <c r="N18" s="289">
        <f t="shared" si="5"/>
        <v>6.2054485503239496</v>
      </c>
      <c r="O18" s="289">
        <f t="shared" si="5"/>
        <v>6.2364757930755683</v>
      </c>
      <c r="P18" s="289">
        <f t="shared" si="5"/>
        <v>6.2676581720409459</v>
      </c>
      <c r="Q18" s="289">
        <f t="shared" si="5"/>
        <v>6.2989964629011501</v>
      </c>
      <c r="R18" s="289">
        <f t="shared" si="5"/>
        <v>6.3304914452156549</v>
      </c>
      <c r="S18" s="289">
        <f t="shared" si="5"/>
        <v>6.3621439024417326</v>
      </c>
      <c r="T18" s="289">
        <f t="shared" si="5"/>
        <v>6.3939546219539407</v>
      </c>
      <c r="U18" s="289">
        <f t="shared" si="5"/>
        <v>6.4259243950637099</v>
      </c>
      <c r="V18" s="289">
        <f t="shared" si="5"/>
        <v>6.4580540170390277</v>
      </c>
      <c r="W18" s="289">
        <f t="shared" si="5"/>
        <v>6.4903442871242216</v>
      </c>
      <c r="X18" s="289">
        <f t="shared" si="5"/>
        <v>6.5227960085598422</v>
      </c>
      <c r="Y18" s="289">
        <f t="shared" si="5"/>
        <v>6.5554099886026407</v>
      </c>
      <c r="Z18" s="289">
        <f t="shared" si="5"/>
        <v>6.5881870385456525</v>
      </c>
      <c r="AA18" s="289">
        <f t="shared" si="5"/>
        <v>6.621127973738381</v>
      </c>
      <c r="AB18" s="289">
        <f t="shared" si="5"/>
        <v>6.6542336136070723</v>
      </c>
      <c r="AC18" s="289">
        <f t="shared" si="5"/>
        <v>6.6875047816751074</v>
      </c>
      <c r="AD18" s="289">
        <f t="shared" si="5"/>
        <v>6.720942305583482</v>
      </c>
      <c r="AE18" s="289">
        <f t="shared" si="5"/>
        <v>6.754547017111399</v>
      </c>
      <c r="AF18" s="289">
        <f t="shared" si="5"/>
        <v>6.7883197521969549</v>
      </c>
      <c r="AG18" s="289">
        <f t="shared" si="5"/>
        <v>6.8222613509579384</v>
      </c>
      <c r="AH18" s="289">
        <f t="shared" si="5"/>
        <v>6.8563726577127273</v>
      </c>
      <c r="AI18" s="289">
        <f t="shared" si="5"/>
        <v>6.8563726577127273</v>
      </c>
      <c r="AJ18" s="289">
        <f t="shared" si="5"/>
        <v>6.8563726577127273</v>
      </c>
      <c r="AK18" s="289">
        <f t="shared" si="5"/>
        <v>6.8563726577127273</v>
      </c>
      <c r="AL18" s="289">
        <f t="shared" si="5"/>
        <v>6.8563726577127273</v>
      </c>
      <c r="AM18" s="289">
        <f t="shared" si="5"/>
        <v>6.8563726577127273</v>
      </c>
      <c r="AN18" s="289">
        <f t="shared" si="5"/>
        <v>6.8563726577127273</v>
      </c>
      <c r="AO18" s="289">
        <f t="shared" si="5"/>
        <v>6.8563726577127273</v>
      </c>
      <c r="AP18" s="289">
        <f t="shared" si="5"/>
        <v>6.8563726577127273</v>
      </c>
      <c r="AQ18" s="289">
        <f t="shared" si="5"/>
        <v>6.8563726577127273</v>
      </c>
      <c r="AR18" s="289">
        <f t="shared" si="5"/>
        <v>6.8563726577127273</v>
      </c>
      <c r="AS18" s="289">
        <f t="shared" si="5"/>
        <v>6.8563726577127273</v>
      </c>
      <c r="AT18" s="289">
        <f t="shared" si="5"/>
        <v>6.8563726577127273</v>
      </c>
      <c r="AU18" s="289">
        <f t="shared" si="5"/>
        <v>6.8563726577127273</v>
      </c>
      <c r="AV18" s="289">
        <f t="shared" si="5"/>
        <v>6.8563726577127273</v>
      </c>
      <c r="AW18" s="289">
        <f t="shared" si="5"/>
        <v>6.8563726577127273</v>
      </c>
      <c r="AX18" s="289">
        <f t="shared" si="5"/>
        <v>6.8563726577127273</v>
      </c>
      <c r="AY18" s="289">
        <f t="shared" si="5"/>
        <v>6.8563726577127273</v>
      </c>
      <c r="AZ18" s="289">
        <f t="shared" si="5"/>
        <v>6.8563726577127273</v>
      </c>
      <c r="BA18" s="289">
        <f t="shared" si="5"/>
        <v>6.8563726577127273</v>
      </c>
      <c r="BB18" s="289">
        <f t="shared" si="5"/>
        <v>6.8563726577127273</v>
      </c>
      <c r="BC18" s="289">
        <f t="shared" si="5"/>
        <v>6.8563726577127273</v>
      </c>
      <c r="BD18" s="289">
        <f t="shared" si="5"/>
        <v>6.8563726577127273</v>
      </c>
      <c r="BE18" s="289">
        <f t="shared" si="5"/>
        <v>6.8563726577127273</v>
      </c>
      <c r="BF18" s="289">
        <f t="shared" si="5"/>
        <v>6.8563726577127273</v>
      </c>
      <c r="BG18" s="289">
        <f t="shared" si="5"/>
        <v>6.8563726577127273</v>
      </c>
      <c r="BH18" s="289">
        <f t="shared" si="5"/>
        <v>6.8563726577127273</v>
      </c>
      <c r="BI18" s="289">
        <f t="shared" si="5"/>
        <v>6.8563726577127273</v>
      </c>
      <c r="BJ18" s="289">
        <f t="shared" si="5"/>
        <v>6.8563726577127273</v>
      </c>
      <c r="BK18" s="289">
        <f t="shared" si="5"/>
        <v>6.8563726577127273</v>
      </c>
      <c r="BL18" s="289">
        <f t="shared" si="5"/>
        <v>6.8563726577127273</v>
      </c>
      <c r="BM18" s="289">
        <f t="shared" si="5"/>
        <v>6.8563726577127273</v>
      </c>
      <c r="BN18" s="289">
        <f t="shared" si="5"/>
        <v>6.8563726577127273</v>
      </c>
      <c r="BO18" s="289">
        <f t="shared" si="5"/>
        <v>6.8563726577127273</v>
      </c>
      <c r="BP18" s="289">
        <f t="shared" si="5"/>
        <v>6.8563726577127273</v>
      </c>
      <c r="BQ18" s="289">
        <f t="shared" si="5"/>
        <v>6.8563726577127273</v>
      </c>
      <c r="BR18" s="289">
        <f t="shared" si="5"/>
        <v>6.8563726577127273</v>
      </c>
      <c r="BS18" s="289">
        <f t="shared" si="5"/>
        <v>6.8563726577127273</v>
      </c>
      <c r="BT18" s="289">
        <f t="shared" si="5"/>
        <v>6.8563726577127273</v>
      </c>
      <c r="BU18" s="289">
        <f t="shared" si="5"/>
        <v>6.8563726577127273</v>
      </c>
      <c r="BV18" s="289">
        <f t="shared" si="5"/>
        <v>6.8563726577127273</v>
      </c>
      <c r="BW18" s="289">
        <f t="shared" si="5"/>
        <v>6.8563726577127273</v>
      </c>
      <c r="BX18" s="289">
        <f t="shared" si="5"/>
        <v>6.8563726577127273</v>
      </c>
      <c r="BY18" s="289">
        <f t="shared" si="5"/>
        <v>6.8563726577127273</v>
      </c>
      <c r="BZ18" s="289">
        <f t="shared" si="5"/>
        <v>6.8563726577127273</v>
      </c>
      <c r="CA18" s="289">
        <f t="shared" si="5"/>
        <v>6.8563726577127273</v>
      </c>
      <c r="CB18" s="289">
        <f t="shared" si="5"/>
        <v>6.8563726577127273</v>
      </c>
      <c r="CC18" s="289">
        <f t="shared" si="5"/>
        <v>6.8563726577127273</v>
      </c>
      <c r="CD18" s="289">
        <f t="shared" si="5"/>
        <v>6.8563726577127273</v>
      </c>
      <c r="CE18" s="289">
        <f t="shared" si="5"/>
        <v>6.8563726577127273</v>
      </c>
      <c r="CF18" s="289">
        <f t="shared" si="5"/>
        <v>6.8563726577127273</v>
      </c>
      <c r="CG18" s="289">
        <f t="shared" si="5"/>
        <v>6.8563726577127273</v>
      </c>
      <c r="CH18" s="289">
        <f t="shared" si="5"/>
        <v>6.8563726577127273</v>
      </c>
      <c r="CI18" s="289">
        <f t="shared" si="5"/>
        <v>6.8563726577127273</v>
      </c>
      <c r="CJ18" s="289">
        <f t="shared" si="5"/>
        <v>6.8563726577127273</v>
      </c>
      <c r="CK18" s="289">
        <f t="shared" si="5"/>
        <v>6.8563726577127273</v>
      </c>
      <c r="CL18" s="289">
        <f t="shared" si="5"/>
        <v>6.8563726577127273</v>
      </c>
      <c r="CM18" s="289">
        <f t="shared" si="5"/>
        <v>6.8563726577127273</v>
      </c>
      <c r="CN18" s="289">
        <f t="shared" si="5"/>
        <v>6.8563726577127273</v>
      </c>
      <c r="CO18" s="289">
        <f t="shared" si="5"/>
        <v>6.8563726577127273</v>
      </c>
      <c r="CP18" s="289">
        <f t="shared" si="5"/>
        <v>6.8563726577127273</v>
      </c>
      <c r="CQ18" s="289">
        <f t="shared" si="5"/>
        <v>6.8563726577127273</v>
      </c>
      <c r="CR18" s="289">
        <f t="shared" si="5"/>
        <v>6.8563726577127273</v>
      </c>
      <c r="CS18" s="289">
        <f t="shared" si="5"/>
        <v>6.8563726577127273</v>
      </c>
      <c r="CT18" s="289">
        <f t="shared" si="5"/>
        <v>6.8563726577127273</v>
      </c>
      <c r="CU18" s="289">
        <f t="shared" si="5"/>
        <v>6.8563726577127273</v>
      </c>
      <c r="CV18" s="289">
        <f t="shared" si="5"/>
        <v>6.8563726577127273</v>
      </c>
      <c r="CW18" s="289">
        <f t="shared" si="5"/>
        <v>6.8563726577127273</v>
      </c>
      <c r="CX18" s="289">
        <f t="shared" si="5"/>
        <v>6.8563726577127273</v>
      </c>
      <c r="CY18" s="289">
        <f t="shared" si="5"/>
        <v>6.8563726577127273</v>
      </c>
      <c r="CZ18" s="289">
        <f t="shared" si="5"/>
        <v>6.8563726577127273</v>
      </c>
      <c r="DA18" s="289">
        <f t="shared" si="5"/>
        <v>6.8563726577127273</v>
      </c>
      <c r="DB18" s="289">
        <f t="shared" si="5"/>
        <v>6.8563726577127273</v>
      </c>
      <c r="DC18" s="289">
        <f t="shared" si="5"/>
        <v>6.8563726577127273</v>
      </c>
      <c r="DD18" s="289">
        <f t="shared" si="5"/>
        <v>6.8563726577127273</v>
      </c>
      <c r="DE18" s="289">
        <f t="shared" si="5"/>
        <v>6.8563726577127273</v>
      </c>
      <c r="DF18" s="289"/>
      <c r="DG18" s="289"/>
      <c r="DH18" s="289"/>
      <c r="DI18" s="289"/>
      <c r="DJ18" s="289"/>
      <c r="DK18" s="289"/>
      <c r="DL18" s="289"/>
    </row>
    <row r="19" spans="1:116" ht="15.75" customHeight="1" outlineLevel="1" x14ac:dyDescent="0.25">
      <c r="A19" s="751"/>
      <c r="B19" s="751"/>
      <c r="C19" s="278" t="s">
        <v>220</v>
      </c>
      <c r="D19" s="279" t="s">
        <v>221</v>
      </c>
      <c r="E19" s="280" t="s">
        <v>222</v>
      </c>
      <c r="F19" s="279"/>
      <c r="G19" s="279" t="s">
        <v>122</v>
      </c>
      <c r="H19" s="281">
        <v>80</v>
      </c>
      <c r="I19" s="284">
        <f>H19*(1+'Unit Costs and Indicators'!$D$120)</f>
        <v>80</v>
      </c>
      <c r="J19" s="284">
        <f>I19*(1+'Unit Costs and Indicators'!$D$120)</f>
        <v>80</v>
      </c>
      <c r="K19" s="284">
        <f>J19*(1+'Unit Costs and Indicators'!$D$120)</f>
        <v>80</v>
      </c>
      <c r="L19" s="284">
        <f>K19*(1+'Unit Costs and Indicators'!$D$120)</f>
        <v>80</v>
      </c>
      <c r="M19" s="284">
        <f>L19*(1+'Unit Costs and Indicators'!$D$120)</f>
        <v>80</v>
      </c>
      <c r="N19" s="284">
        <f>M19*(1+'Unit Costs and Indicators'!$D$120)</f>
        <v>80</v>
      </c>
      <c r="O19" s="284">
        <f>N19*(1+'Unit Costs and Indicators'!$D$120)</f>
        <v>80</v>
      </c>
      <c r="P19" s="284">
        <f>O19*(1+'Unit Costs and Indicators'!$D$120)</f>
        <v>80</v>
      </c>
      <c r="Q19" s="284">
        <f>P19*(1+'Unit Costs and Indicators'!$D$120)</f>
        <v>80</v>
      </c>
      <c r="R19" s="284">
        <f>Q19*(1+'Unit Costs and Indicators'!$D$120)</f>
        <v>80</v>
      </c>
      <c r="S19" s="284">
        <f>R19*(1+'Unit Costs and Indicators'!$D$120)</f>
        <v>80</v>
      </c>
      <c r="T19" s="284">
        <f>S19*(1+'Unit Costs and Indicators'!$D$120)</f>
        <v>80</v>
      </c>
      <c r="U19" s="284">
        <f>T19*(1+'Unit Costs and Indicators'!$D$120)</f>
        <v>80</v>
      </c>
      <c r="V19" s="284">
        <f>U19*(1+'Unit Costs and Indicators'!$D$120)</f>
        <v>80</v>
      </c>
      <c r="W19" s="284">
        <f>V19*(1+'Unit Costs and Indicators'!$D$120)</f>
        <v>80</v>
      </c>
      <c r="X19" s="284">
        <f>W19*(1+'Unit Costs and Indicators'!$D$120)</f>
        <v>80</v>
      </c>
      <c r="Y19" s="284">
        <f>X19*(1+'Unit Costs and Indicators'!$D$120)</f>
        <v>80</v>
      </c>
      <c r="Z19" s="284">
        <f>Y19*(1+'Unit Costs and Indicators'!$D$120)</f>
        <v>80</v>
      </c>
      <c r="AA19" s="284">
        <f>Z19*(1+'Unit Costs and Indicators'!$D$120)</f>
        <v>80</v>
      </c>
      <c r="AB19" s="284">
        <f>AA19*(1+'Unit Costs and Indicators'!$D$120)</f>
        <v>80</v>
      </c>
      <c r="AC19" s="284">
        <f>AB19*(1+'Unit Costs and Indicators'!$D$120)</f>
        <v>80</v>
      </c>
      <c r="AD19" s="284">
        <f>AC19*(1+'Unit Costs and Indicators'!$D$120)</f>
        <v>80</v>
      </c>
      <c r="AE19" s="284">
        <f>AD19*(1+'Unit Costs and Indicators'!$D$120)</f>
        <v>80</v>
      </c>
      <c r="AF19" s="284">
        <f>AE19*(1+'Unit Costs and Indicators'!$D$120)</f>
        <v>80</v>
      </c>
      <c r="AG19" s="284">
        <f>AF19*(1+'Unit Costs and Indicators'!$D$120)</f>
        <v>80</v>
      </c>
      <c r="AH19" s="284">
        <f>AG19*(1+'Unit Costs and Indicators'!$D$120)</f>
        <v>80</v>
      </c>
      <c r="AI19" s="284">
        <f>AH19*(1+'Unit Costs and Indicators'!$D$120)</f>
        <v>80</v>
      </c>
      <c r="AJ19" s="284">
        <f>AI19*(1+'Unit Costs and Indicators'!$D$120)</f>
        <v>80</v>
      </c>
      <c r="AK19" s="284">
        <f>AJ19*(1+'Unit Costs and Indicators'!$D$120)</f>
        <v>80</v>
      </c>
      <c r="AL19" s="284">
        <f>AK19*(1+'Unit Costs and Indicators'!$D$120)</f>
        <v>80</v>
      </c>
      <c r="AM19" s="284">
        <f>AL19*(1+'Unit Costs and Indicators'!$D$120)</f>
        <v>80</v>
      </c>
      <c r="AN19" s="284">
        <f>AM19*(1+'Unit Costs and Indicators'!$D$120)</f>
        <v>80</v>
      </c>
      <c r="AO19" s="284">
        <f>AN19*(1+'Unit Costs and Indicators'!$D$120)</f>
        <v>80</v>
      </c>
      <c r="AP19" s="284">
        <f>AO19*(1+'Unit Costs and Indicators'!$D$120)</f>
        <v>80</v>
      </c>
      <c r="AQ19" s="284">
        <f>AP19*(1+'Unit Costs and Indicators'!$D$120)</f>
        <v>80</v>
      </c>
      <c r="AR19" s="284">
        <f>AQ19*(1+'Unit Costs and Indicators'!$D$120)</f>
        <v>80</v>
      </c>
      <c r="AS19" s="284">
        <f>AR19*(1+'Unit Costs and Indicators'!$D$120)</f>
        <v>80</v>
      </c>
      <c r="AT19" s="284">
        <f>AS19*(1+'Unit Costs and Indicators'!$D$120)</f>
        <v>80</v>
      </c>
      <c r="AU19" s="284">
        <f>AT19*(1+'Unit Costs and Indicators'!$D$120)</f>
        <v>80</v>
      </c>
      <c r="AV19" s="284">
        <f>AU19*(1+'Unit Costs and Indicators'!$D$120)</f>
        <v>80</v>
      </c>
      <c r="AW19" s="284">
        <f>AV19*(1+'Unit Costs and Indicators'!$D$120)</f>
        <v>80</v>
      </c>
      <c r="AX19" s="284">
        <f>AW19*(1+'Unit Costs and Indicators'!$D$120)</f>
        <v>80</v>
      </c>
      <c r="AY19" s="284">
        <f>AX19*(1+'Unit Costs and Indicators'!$D$120)</f>
        <v>80</v>
      </c>
      <c r="AZ19" s="284">
        <f>AY19*(1+'Unit Costs and Indicators'!$D$120)</f>
        <v>80</v>
      </c>
      <c r="BA19" s="284">
        <f>AZ19*(1+'Unit Costs and Indicators'!$D$120)</f>
        <v>80</v>
      </c>
      <c r="BB19" s="284">
        <f>BA19*(1+'Unit Costs and Indicators'!$D$120)</f>
        <v>80</v>
      </c>
      <c r="BC19" s="284">
        <f>BB19*(1+'Unit Costs and Indicators'!$D$120)</f>
        <v>80</v>
      </c>
      <c r="BD19" s="284">
        <f>BC19*(1+'Unit Costs and Indicators'!$D$120)</f>
        <v>80</v>
      </c>
      <c r="BE19" s="284">
        <f>BD19*(1+'Unit Costs and Indicators'!$D$120)</f>
        <v>80</v>
      </c>
      <c r="BF19" s="284">
        <f>BE19*(1+'Unit Costs and Indicators'!$D$120)</f>
        <v>80</v>
      </c>
      <c r="BG19" s="284">
        <f>BF19*(1+'Unit Costs and Indicators'!$D$120)</f>
        <v>80</v>
      </c>
      <c r="BH19" s="284">
        <f>BG19*(1+'Unit Costs and Indicators'!$D$120)</f>
        <v>80</v>
      </c>
      <c r="BI19" s="284">
        <f>BH19*(1+'Unit Costs and Indicators'!$D$120)</f>
        <v>80</v>
      </c>
      <c r="BJ19" s="284">
        <f>BI19*(1+'Unit Costs and Indicators'!$D$120)</f>
        <v>80</v>
      </c>
      <c r="BK19" s="284">
        <f>BJ19*(1+'Unit Costs and Indicators'!$D$120)</f>
        <v>80</v>
      </c>
      <c r="BL19" s="284">
        <f>BK19*(1+'Unit Costs and Indicators'!$D$120)</f>
        <v>80</v>
      </c>
      <c r="BM19" s="284">
        <f>BL19*(1+'Unit Costs and Indicators'!$D$120)</f>
        <v>80</v>
      </c>
      <c r="BN19" s="284">
        <f>BM19*(1+'Unit Costs and Indicators'!$D$120)</f>
        <v>80</v>
      </c>
      <c r="BO19" s="284">
        <f>BN19*(1+'Unit Costs and Indicators'!$D$120)</f>
        <v>80</v>
      </c>
      <c r="BP19" s="284">
        <f>BO19*(1+'Unit Costs and Indicators'!$D$120)</f>
        <v>80</v>
      </c>
      <c r="BQ19" s="284">
        <f>BP19*(1+'Unit Costs and Indicators'!$D$120)</f>
        <v>80</v>
      </c>
      <c r="BR19" s="284">
        <f>BQ19*(1+'Unit Costs and Indicators'!$D$120)</f>
        <v>80</v>
      </c>
      <c r="BS19" s="284">
        <f>BR19*(1+'Unit Costs and Indicators'!$D$120)</f>
        <v>80</v>
      </c>
      <c r="BT19" s="284">
        <f>BS19*(1+'Unit Costs and Indicators'!$D$120)</f>
        <v>80</v>
      </c>
      <c r="BU19" s="284">
        <f>BT19*(1+'Unit Costs and Indicators'!$D$120)</f>
        <v>80</v>
      </c>
      <c r="BV19" s="284">
        <f>BU19*(1+'Unit Costs and Indicators'!$D$120)</f>
        <v>80</v>
      </c>
      <c r="BW19" s="284">
        <f>BV19*(1+'Unit Costs and Indicators'!$D$120)</f>
        <v>80</v>
      </c>
      <c r="BX19" s="284">
        <f>BW19*(1+'Unit Costs and Indicators'!$D$120)</f>
        <v>80</v>
      </c>
      <c r="BY19" s="284">
        <f>BX19*(1+'Unit Costs and Indicators'!$D$120)</f>
        <v>80</v>
      </c>
      <c r="BZ19" s="284">
        <f>BY19*(1+'Unit Costs and Indicators'!$D$120)</f>
        <v>80</v>
      </c>
      <c r="CA19" s="284">
        <f>BZ19*(1+'Unit Costs and Indicators'!$D$120)</f>
        <v>80</v>
      </c>
      <c r="CB19" s="284">
        <f>CA19*(1+'Unit Costs and Indicators'!$D$120)</f>
        <v>80</v>
      </c>
      <c r="CC19" s="284">
        <f>CB19*(1+'Unit Costs and Indicators'!$D$120)</f>
        <v>80</v>
      </c>
      <c r="CD19" s="284">
        <f>CC19*(1+'Unit Costs and Indicators'!$D$120)</f>
        <v>80</v>
      </c>
      <c r="CE19" s="284">
        <f>CD19*(1+'Unit Costs and Indicators'!$D$120)</f>
        <v>80</v>
      </c>
      <c r="CF19" s="284">
        <f>CE19*(1+'Unit Costs and Indicators'!$D$120)</f>
        <v>80</v>
      </c>
      <c r="CG19" s="284">
        <f>CF19*(1+'Unit Costs and Indicators'!$D$120)</f>
        <v>80</v>
      </c>
      <c r="CH19" s="284">
        <f>CG19*(1+'Unit Costs and Indicators'!$D$120)</f>
        <v>80</v>
      </c>
      <c r="CI19" s="284">
        <f>CH19*(1+'Unit Costs and Indicators'!$D$120)</f>
        <v>80</v>
      </c>
      <c r="CJ19" s="284">
        <f>CI19*(1+'Unit Costs and Indicators'!$D$120)</f>
        <v>80</v>
      </c>
      <c r="CK19" s="284">
        <f>CJ19*(1+'Unit Costs and Indicators'!$D$120)</f>
        <v>80</v>
      </c>
      <c r="CL19" s="284">
        <f>CK19*(1+'Unit Costs and Indicators'!$D$120)</f>
        <v>80</v>
      </c>
      <c r="CM19" s="284">
        <f>CL19*(1+'Unit Costs and Indicators'!$D$120)</f>
        <v>80</v>
      </c>
      <c r="CN19" s="284">
        <f>CM19*(1+'Unit Costs and Indicators'!$D$120)</f>
        <v>80</v>
      </c>
      <c r="CO19" s="284">
        <f>CN19*(1+'Unit Costs and Indicators'!$D$120)</f>
        <v>80</v>
      </c>
      <c r="CP19" s="284">
        <f>CO19*(1+'Unit Costs and Indicators'!$D$120)</f>
        <v>80</v>
      </c>
      <c r="CQ19" s="284">
        <f>CP19*(1+'Unit Costs and Indicators'!$D$120)</f>
        <v>80</v>
      </c>
      <c r="CR19" s="284">
        <f>CQ19*(1+'Unit Costs and Indicators'!$D$120)</f>
        <v>80</v>
      </c>
      <c r="CS19" s="284">
        <f>CR19*(1+'Unit Costs and Indicators'!$D$120)</f>
        <v>80</v>
      </c>
      <c r="CT19" s="284">
        <f>CS19*(1+'Unit Costs and Indicators'!$D$120)</f>
        <v>80</v>
      </c>
      <c r="CU19" s="284">
        <f>CT19*(1+'Unit Costs and Indicators'!$D$120)</f>
        <v>80</v>
      </c>
      <c r="CV19" s="284">
        <f>CU19*(1+'Unit Costs and Indicators'!$D$120)</f>
        <v>80</v>
      </c>
      <c r="CW19" s="284">
        <f>CV19*(1+'Unit Costs and Indicators'!$D$120)</f>
        <v>80</v>
      </c>
      <c r="CX19" s="284">
        <f>CW19*(1+'Unit Costs and Indicators'!$D$120)</f>
        <v>80</v>
      </c>
      <c r="CY19" s="284">
        <f>CX19*(1+'Unit Costs and Indicators'!$D$120)</f>
        <v>80</v>
      </c>
      <c r="CZ19" s="284">
        <f>CY19*(1+'Unit Costs and Indicators'!$D$120)</f>
        <v>80</v>
      </c>
      <c r="DA19" s="284">
        <f>CZ19*(1+'Unit Costs and Indicators'!$D$120)</f>
        <v>80</v>
      </c>
      <c r="DB19" s="284">
        <f>DA19*(1+'Unit Costs and Indicators'!$D$120)</f>
        <v>80</v>
      </c>
      <c r="DC19" s="284">
        <f>DB19*(1+'Unit Costs and Indicators'!$D$120)</f>
        <v>80</v>
      </c>
      <c r="DD19" s="284">
        <f>DC19*(1+'Unit Costs and Indicators'!$D$120)</f>
        <v>80</v>
      </c>
      <c r="DE19" s="284">
        <f>DD19*(1+'Unit Costs and Indicators'!$D$120)</f>
        <v>80</v>
      </c>
      <c r="DF19" s="284"/>
      <c r="DG19" s="284"/>
      <c r="DH19" s="284"/>
      <c r="DI19" s="284"/>
      <c r="DJ19" s="284"/>
      <c r="DK19" s="284"/>
      <c r="DL19" s="284"/>
    </row>
    <row r="20" spans="1:116" ht="15.75" customHeight="1" outlineLevel="1" x14ac:dyDescent="0.25">
      <c r="A20" s="751"/>
      <c r="B20" s="751"/>
      <c r="C20" s="278" t="s">
        <v>223</v>
      </c>
      <c r="D20" s="279" t="s">
        <v>221</v>
      </c>
      <c r="E20" s="280"/>
      <c r="F20" s="279"/>
      <c r="G20" s="290">
        <v>1324</v>
      </c>
      <c r="H20" s="281">
        <v>1324</v>
      </c>
      <c r="I20" s="284">
        <v>1324</v>
      </c>
      <c r="J20" s="284">
        <v>1324</v>
      </c>
      <c r="K20" s="284">
        <v>1324</v>
      </c>
      <c r="L20" s="284">
        <v>1324</v>
      </c>
      <c r="M20" s="284">
        <v>1324</v>
      </c>
      <c r="N20" s="284">
        <v>1324</v>
      </c>
      <c r="O20" s="284">
        <v>1324</v>
      </c>
      <c r="P20" s="284">
        <v>1324</v>
      </c>
      <c r="Q20" s="284">
        <v>1324</v>
      </c>
      <c r="R20" s="284">
        <v>1324</v>
      </c>
      <c r="S20" s="284">
        <v>1324</v>
      </c>
      <c r="T20" s="284">
        <v>1324</v>
      </c>
      <c r="U20" s="284">
        <v>1324</v>
      </c>
      <c r="V20" s="284">
        <v>1324</v>
      </c>
      <c r="W20" s="284">
        <v>1324</v>
      </c>
      <c r="X20" s="284">
        <v>1324</v>
      </c>
      <c r="Y20" s="284">
        <v>1324</v>
      </c>
      <c r="Z20" s="284">
        <v>1324</v>
      </c>
      <c r="AA20" s="284">
        <v>1324</v>
      </c>
      <c r="AB20" s="284">
        <v>1324</v>
      </c>
      <c r="AC20" s="284">
        <v>1324</v>
      </c>
      <c r="AD20" s="284">
        <v>1324</v>
      </c>
      <c r="AE20" s="284">
        <v>1324</v>
      </c>
      <c r="AF20" s="284">
        <v>1324</v>
      </c>
      <c r="AG20" s="284">
        <v>1324</v>
      </c>
      <c r="AH20" s="284">
        <v>1324</v>
      </c>
      <c r="AI20" s="284">
        <v>1324</v>
      </c>
      <c r="AJ20" s="284">
        <v>1324</v>
      </c>
      <c r="AK20" s="284">
        <v>1324</v>
      </c>
      <c r="AL20" s="284">
        <v>1324</v>
      </c>
      <c r="AM20" s="284">
        <v>1324</v>
      </c>
      <c r="AN20" s="284">
        <v>1324</v>
      </c>
      <c r="AO20" s="284">
        <v>1324</v>
      </c>
      <c r="AP20" s="284">
        <v>1324</v>
      </c>
      <c r="AQ20" s="284">
        <v>1324</v>
      </c>
      <c r="AR20" s="284">
        <v>1324</v>
      </c>
      <c r="AS20" s="284">
        <v>1324</v>
      </c>
      <c r="AT20" s="284">
        <v>1324</v>
      </c>
      <c r="AU20" s="284">
        <v>1324</v>
      </c>
      <c r="AV20" s="284">
        <v>1324</v>
      </c>
      <c r="AW20" s="284">
        <v>1324</v>
      </c>
      <c r="AX20" s="284">
        <v>1324</v>
      </c>
      <c r="AY20" s="284">
        <v>1324</v>
      </c>
      <c r="AZ20" s="284">
        <v>1324</v>
      </c>
      <c r="BA20" s="284">
        <v>1324</v>
      </c>
      <c r="BB20" s="284">
        <v>1324</v>
      </c>
      <c r="BC20" s="284">
        <v>1324</v>
      </c>
      <c r="BD20" s="284">
        <v>1324</v>
      </c>
      <c r="BE20" s="284">
        <v>1324</v>
      </c>
      <c r="BF20" s="284">
        <v>1324</v>
      </c>
      <c r="BG20" s="284">
        <v>1324</v>
      </c>
      <c r="BH20" s="284">
        <v>1324</v>
      </c>
      <c r="BI20" s="284">
        <v>1324</v>
      </c>
      <c r="BJ20" s="284">
        <v>1324</v>
      </c>
      <c r="BK20" s="284">
        <v>1324</v>
      </c>
      <c r="BL20" s="284">
        <v>1324</v>
      </c>
      <c r="BM20" s="284">
        <v>1324</v>
      </c>
      <c r="BN20" s="284">
        <v>1324</v>
      </c>
      <c r="BO20" s="284">
        <v>1324</v>
      </c>
      <c r="BP20" s="284">
        <v>1324</v>
      </c>
      <c r="BQ20" s="284">
        <v>1324</v>
      </c>
      <c r="BR20" s="284">
        <v>1324</v>
      </c>
      <c r="BS20" s="284">
        <v>1324</v>
      </c>
      <c r="BT20" s="284">
        <v>1324</v>
      </c>
      <c r="BU20" s="284">
        <v>1324</v>
      </c>
      <c r="BV20" s="284">
        <v>1324</v>
      </c>
      <c r="BW20" s="284">
        <v>1324</v>
      </c>
      <c r="BX20" s="284">
        <v>1324</v>
      </c>
      <c r="BY20" s="284">
        <v>1324</v>
      </c>
      <c r="BZ20" s="284">
        <v>1324</v>
      </c>
      <c r="CA20" s="284">
        <v>1324</v>
      </c>
      <c r="CB20" s="284">
        <v>1324</v>
      </c>
      <c r="CC20" s="284">
        <v>1324</v>
      </c>
      <c r="CD20" s="284">
        <v>1324</v>
      </c>
      <c r="CE20" s="284">
        <v>1324</v>
      </c>
      <c r="CF20" s="284">
        <v>1324</v>
      </c>
      <c r="CG20" s="284">
        <v>1324</v>
      </c>
      <c r="CH20" s="284">
        <v>1324</v>
      </c>
      <c r="CI20" s="284">
        <v>1324</v>
      </c>
      <c r="CJ20" s="284">
        <v>1324</v>
      </c>
      <c r="CK20" s="284">
        <v>1324</v>
      </c>
      <c r="CL20" s="284">
        <v>1324</v>
      </c>
      <c r="CM20" s="284">
        <v>1324</v>
      </c>
      <c r="CN20" s="284">
        <v>1324</v>
      </c>
      <c r="CO20" s="284">
        <v>1324</v>
      </c>
      <c r="CP20" s="284">
        <v>1324</v>
      </c>
      <c r="CQ20" s="284">
        <v>1324</v>
      </c>
      <c r="CR20" s="284">
        <v>1324</v>
      </c>
      <c r="CS20" s="284">
        <v>1324</v>
      </c>
      <c r="CT20" s="284">
        <v>1324</v>
      </c>
      <c r="CU20" s="284">
        <v>1324</v>
      </c>
      <c r="CV20" s="284">
        <v>1324</v>
      </c>
      <c r="CW20" s="284">
        <v>1324</v>
      </c>
      <c r="CX20" s="284">
        <v>1324</v>
      </c>
      <c r="CY20" s="284">
        <v>1324</v>
      </c>
      <c r="CZ20" s="284">
        <v>1324</v>
      </c>
      <c r="DA20" s="284">
        <v>1324</v>
      </c>
      <c r="DB20" s="284">
        <v>1324</v>
      </c>
      <c r="DC20" s="284">
        <v>1324</v>
      </c>
      <c r="DD20" s="284">
        <v>1324</v>
      </c>
      <c r="DE20" s="284">
        <v>1324</v>
      </c>
      <c r="DF20" s="284"/>
      <c r="DG20" s="284"/>
      <c r="DH20" s="284"/>
      <c r="DI20" s="284"/>
      <c r="DJ20" s="284"/>
      <c r="DK20" s="284"/>
      <c r="DL20" s="284"/>
    </row>
    <row r="21" spans="1:116" ht="15.75" customHeight="1" outlineLevel="1" x14ac:dyDescent="0.25">
      <c r="A21" s="751"/>
      <c r="B21" s="751"/>
      <c r="C21" s="291" t="s">
        <v>224</v>
      </c>
      <c r="D21" s="292"/>
      <c r="E21" s="293"/>
      <c r="F21" s="292"/>
      <c r="G21" s="292" t="s">
        <v>225</v>
      </c>
      <c r="H21" s="294">
        <f>H20*'Unit Costs and Indicators'!$B$47</f>
        <v>210012880</v>
      </c>
      <c r="I21" s="295">
        <f>I20*'Unit Costs and Indicators'!$B$47</f>
        <v>210012880</v>
      </c>
      <c r="J21" s="295">
        <f>J20*'Unit Costs and Indicators'!$B$47</f>
        <v>210012880</v>
      </c>
      <c r="K21" s="295">
        <f>K20*'Unit Costs and Indicators'!$B$47</f>
        <v>210012880</v>
      </c>
      <c r="L21" s="295">
        <f>L20*'Unit Costs and Indicators'!$B$47</f>
        <v>210012880</v>
      </c>
      <c r="M21" s="295">
        <f>M20*'Unit Costs and Indicators'!$B$47</f>
        <v>210012880</v>
      </c>
      <c r="N21" s="295">
        <f>N20*'Unit Costs and Indicators'!$B$47</f>
        <v>210012880</v>
      </c>
      <c r="O21" s="295">
        <f>O20*'Unit Costs and Indicators'!$B$47</f>
        <v>210012880</v>
      </c>
      <c r="P21" s="295">
        <f>P20*'Unit Costs and Indicators'!$B$47</f>
        <v>210012880</v>
      </c>
      <c r="Q21" s="295">
        <f>Q20*'Unit Costs and Indicators'!$B$47</f>
        <v>210012880</v>
      </c>
      <c r="R21" s="295">
        <f>R20*'Unit Costs and Indicators'!$B$47</f>
        <v>210012880</v>
      </c>
      <c r="S21" s="295">
        <f>S20*'Unit Costs and Indicators'!$B$47</f>
        <v>210012880</v>
      </c>
      <c r="T21" s="295">
        <f>T20*'Unit Costs and Indicators'!$B$47</f>
        <v>210012880</v>
      </c>
      <c r="U21" s="295">
        <f>U20*'Unit Costs and Indicators'!$B$47</f>
        <v>210012880</v>
      </c>
      <c r="V21" s="295">
        <f>V20*'Unit Costs and Indicators'!$B$47</f>
        <v>210012880</v>
      </c>
      <c r="W21" s="295">
        <f>W20*'Unit Costs and Indicators'!$B$47</f>
        <v>210012880</v>
      </c>
      <c r="X21" s="295">
        <f>X20*'Unit Costs and Indicators'!$B$47</f>
        <v>210012880</v>
      </c>
      <c r="Y21" s="295">
        <f>Y20*'Unit Costs and Indicators'!$B$47</f>
        <v>210012880</v>
      </c>
      <c r="Z21" s="295">
        <f>Z20*'Unit Costs and Indicators'!$B$47</f>
        <v>210012880</v>
      </c>
      <c r="AA21" s="295">
        <f>AA20*'Unit Costs and Indicators'!$B$47</f>
        <v>210012880</v>
      </c>
      <c r="AB21" s="295">
        <f>AB20*'Unit Costs and Indicators'!$B$47</f>
        <v>210012880</v>
      </c>
      <c r="AC21" s="295">
        <f>AC20*'Unit Costs and Indicators'!$B$47</f>
        <v>210012880</v>
      </c>
      <c r="AD21" s="295">
        <f>AD20*'Unit Costs and Indicators'!$B$47</f>
        <v>210012880</v>
      </c>
      <c r="AE21" s="295">
        <f>AE20*'Unit Costs and Indicators'!$B$47</f>
        <v>210012880</v>
      </c>
      <c r="AF21" s="295">
        <f>AF20*'Unit Costs and Indicators'!$B$47</f>
        <v>210012880</v>
      </c>
      <c r="AG21" s="295">
        <f>AG20*'Unit Costs and Indicators'!$B$47</f>
        <v>210012880</v>
      </c>
      <c r="AH21" s="295">
        <f>AH20*'Unit Costs and Indicators'!$B$47</f>
        <v>210012880</v>
      </c>
      <c r="AI21" s="295">
        <f>AI20*'Unit Costs and Indicators'!$B$47</f>
        <v>210012880</v>
      </c>
      <c r="AJ21" s="295">
        <f>AJ20*'Unit Costs and Indicators'!$B$47</f>
        <v>210012880</v>
      </c>
      <c r="AK21" s="295">
        <f>AK20*'Unit Costs and Indicators'!$B$47</f>
        <v>210012880</v>
      </c>
      <c r="AL21" s="295">
        <f>AL20*'Unit Costs and Indicators'!$B$47</f>
        <v>210012880</v>
      </c>
      <c r="AM21" s="295">
        <f>AM20*'Unit Costs and Indicators'!$B$47</f>
        <v>210012880</v>
      </c>
      <c r="AN21" s="295">
        <f>AN20*'Unit Costs and Indicators'!$B$47</f>
        <v>210012880</v>
      </c>
      <c r="AO21" s="295">
        <f>AO20*'Unit Costs and Indicators'!$B$47</f>
        <v>210012880</v>
      </c>
      <c r="AP21" s="295">
        <f>AP20*'Unit Costs and Indicators'!$B$47</f>
        <v>210012880</v>
      </c>
      <c r="AQ21" s="295">
        <f>AQ20*'Unit Costs and Indicators'!$B$47</f>
        <v>210012880</v>
      </c>
      <c r="AR21" s="295">
        <f>AR20*'Unit Costs and Indicators'!$B$47</f>
        <v>210012880</v>
      </c>
      <c r="AS21" s="295">
        <f>AS20*'Unit Costs and Indicators'!$B$47</f>
        <v>210012880</v>
      </c>
      <c r="AT21" s="295">
        <f>AT20*'Unit Costs and Indicators'!$B$47</f>
        <v>210012880</v>
      </c>
      <c r="AU21" s="295">
        <f>AU20*'Unit Costs and Indicators'!$B$47</f>
        <v>210012880</v>
      </c>
      <c r="AV21" s="295">
        <f>AV20*'Unit Costs and Indicators'!$B$47</f>
        <v>210012880</v>
      </c>
      <c r="AW21" s="295">
        <f>AW20*'Unit Costs and Indicators'!$B$47</f>
        <v>210012880</v>
      </c>
      <c r="AX21" s="295">
        <f>AX20*'Unit Costs and Indicators'!$B$47</f>
        <v>210012880</v>
      </c>
      <c r="AY21" s="295">
        <f>AY20*'Unit Costs and Indicators'!$B$47</f>
        <v>210012880</v>
      </c>
      <c r="AZ21" s="295">
        <f>AZ20*'Unit Costs and Indicators'!$B$47</f>
        <v>210012880</v>
      </c>
      <c r="BA21" s="295">
        <f>BA20*'Unit Costs and Indicators'!$B$47</f>
        <v>210012880</v>
      </c>
      <c r="BB21" s="295">
        <f>BB20*'Unit Costs and Indicators'!$B$47</f>
        <v>210012880</v>
      </c>
      <c r="BC21" s="295">
        <f>BC20*'Unit Costs and Indicators'!$B$47</f>
        <v>210012880</v>
      </c>
      <c r="BD21" s="295">
        <f>BD20*'Unit Costs and Indicators'!$B$47</f>
        <v>210012880</v>
      </c>
      <c r="BE21" s="295">
        <f>BE20*'Unit Costs and Indicators'!$B$47</f>
        <v>210012880</v>
      </c>
      <c r="BF21" s="295">
        <f>BF20*'Unit Costs and Indicators'!$B$47</f>
        <v>210012880</v>
      </c>
      <c r="BG21" s="295">
        <f>BG20*'Unit Costs and Indicators'!$B$47</f>
        <v>210012880</v>
      </c>
      <c r="BH21" s="295">
        <f>BH20*'Unit Costs and Indicators'!$B$47</f>
        <v>210012880</v>
      </c>
      <c r="BI21" s="295">
        <f>BI20*'Unit Costs and Indicators'!$B$47</f>
        <v>210012880</v>
      </c>
      <c r="BJ21" s="295">
        <f>BJ20*'Unit Costs and Indicators'!$B$47</f>
        <v>210012880</v>
      </c>
      <c r="BK21" s="295">
        <f>BK20*'Unit Costs and Indicators'!$B$47</f>
        <v>210012880</v>
      </c>
      <c r="BL21" s="295">
        <f>BL20*'Unit Costs and Indicators'!$B$47</f>
        <v>210012880</v>
      </c>
      <c r="BM21" s="295">
        <f>BM20*'Unit Costs and Indicators'!$B$47</f>
        <v>210012880</v>
      </c>
      <c r="BN21" s="295">
        <f>BN20*'Unit Costs and Indicators'!$B$47</f>
        <v>210012880</v>
      </c>
      <c r="BO21" s="295">
        <f>BO20*'Unit Costs and Indicators'!$B$47</f>
        <v>210012880</v>
      </c>
      <c r="BP21" s="295">
        <f>BP20*'Unit Costs and Indicators'!$B$47</f>
        <v>210012880</v>
      </c>
      <c r="BQ21" s="295">
        <f>BQ20*'Unit Costs and Indicators'!$B$47</f>
        <v>210012880</v>
      </c>
      <c r="BR21" s="295">
        <f>BR20*'Unit Costs and Indicators'!$B$47</f>
        <v>210012880</v>
      </c>
      <c r="BS21" s="295">
        <f>BS20*'Unit Costs and Indicators'!$B$47</f>
        <v>210012880</v>
      </c>
      <c r="BT21" s="295">
        <f>BT20*'Unit Costs and Indicators'!$B$47</f>
        <v>210012880</v>
      </c>
      <c r="BU21" s="295">
        <f>BU20*'Unit Costs and Indicators'!$B$47</f>
        <v>210012880</v>
      </c>
      <c r="BV21" s="295">
        <f>BV20*'Unit Costs and Indicators'!$B$47</f>
        <v>210012880</v>
      </c>
      <c r="BW21" s="295">
        <f>BW20*'Unit Costs and Indicators'!$B$47</f>
        <v>210012880</v>
      </c>
      <c r="BX21" s="295">
        <f>BX20*'Unit Costs and Indicators'!$B$47</f>
        <v>210012880</v>
      </c>
      <c r="BY21" s="295">
        <f>BY20*'Unit Costs and Indicators'!$B$47</f>
        <v>210012880</v>
      </c>
      <c r="BZ21" s="295">
        <f>BZ20*'Unit Costs and Indicators'!$B$47</f>
        <v>210012880</v>
      </c>
      <c r="CA21" s="295">
        <f>CA20*'Unit Costs and Indicators'!$B$47</f>
        <v>210012880</v>
      </c>
      <c r="CB21" s="295">
        <f>CB20*'Unit Costs and Indicators'!$B$47</f>
        <v>210012880</v>
      </c>
      <c r="CC21" s="295">
        <f>CC20*'Unit Costs and Indicators'!$B$47</f>
        <v>210012880</v>
      </c>
      <c r="CD21" s="295">
        <f>CD20*'Unit Costs and Indicators'!$B$47</f>
        <v>210012880</v>
      </c>
      <c r="CE21" s="295">
        <f>CE20*'Unit Costs and Indicators'!$B$47</f>
        <v>210012880</v>
      </c>
      <c r="CF21" s="295">
        <f>CF20*'Unit Costs and Indicators'!$B$47</f>
        <v>210012880</v>
      </c>
      <c r="CG21" s="295">
        <f>CG20*'Unit Costs and Indicators'!$B$47</f>
        <v>210012880</v>
      </c>
      <c r="CH21" s="295">
        <f>CH20*'Unit Costs and Indicators'!$B$47</f>
        <v>210012880</v>
      </c>
      <c r="CI21" s="295">
        <f>CI20*'Unit Costs and Indicators'!$B$47</f>
        <v>210012880</v>
      </c>
      <c r="CJ21" s="295">
        <f>CJ20*'Unit Costs and Indicators'!$B$47</f>
        <v>210012880</v>
      </c>
      <c r="CK21" s="295">
        <f>CK20*'Unit Costs and Indicators'!$B$47</f>
        <v>210012880</v>
      </c>
      <c r="CL21" s="295">
        <f>CL20*'Unit Costs and Indicators'!$B$47</f>
        <v>210012880</v>
      </c>
      <c r="CM21" s="295">
        <f>CM20*'Unit Costs and Indicators'!$B$47</f>
        <v>210012880</v>
      </c>
      <c r="CN21" s="295">
        <f>CN20*'Unit Costs and Indicators'!$B$47</f>
        <v>210012880</v>
      </c>
      <c r="CO21" s="295">
        <f>CO20*'Unit Costs and Indicators'!$B$47</f>
        <v>210012880</v>
      </c>
      <c r="CP21" s="295">
        <f>CP20*'Unit Costs and Indicators'!$B$47</f>
        <v>210012880</v>
      </c>
      <c r="CQ21" s="295">
        <f>CQ20*'Unit Costs and Indicators'!$B$47</f>
        <v>210012880</v>
      </c>
      <c r="CR21" s="295">
        <f>CR20*'Unit Costs and Indicators'!$B$47</f>
        <v>210012880</v>
      </c>
      <c r="CS21" s="295">
        <f>CS20*'Unit Costs and Indicators'!$B$47</f>
        <v>210012880</v>
      </c>
      <c r="CT21" s="295">
        <f>CT20*'Unit Costs and Indicators'!$B$47</f>
        <v>210012880</v>
      </c>
      <c r="CU21" s="295">
        <f>CU20*'Unit Costs and Indicators'!$B$47</f>
        <v>210012880</v>
      </c>
      <c r="CV21" s="295">
        <f>CV20*'Unit Costs and Indicators'!$B$47</f>
        <v>210012880</v>
      </c>
      <c r="CW21" s="295">
        <f>CW20*'Unit Costs and Indicators'!$B$47</f>
        <v>210012880</v>
      </c>
      <c r="CX21" s="295">
        <f>CX20*'Unit Costs and Indicators'!$B$47</f>
        <v>210012880</v>
      </c>
      <c r="CY21" s="295">
        <f>CY20*'Unit Costs and Indicators'!$B$47</f>
        <v>210012880</v>
      </c>
      <c r="CZ21" s="295">
        <f>CZ20*'Unit Costs and Indicators'!$B$47</f>
        <v>210012880</v>
      </c>
      <c r="DA21" s="295">
        <f>DA20*'Unit Costs and Indicators'!$B$47</f>
        <v>210012880</v>
      </c>
      <c r="DB21" s="295">
        <f>DB20*'Unit Costs and Indicators'!$B$47</f>
        <v>210012880</v>
      </c>
      <c r="DC21" s="295">
        <f>DC20*'Unit Costs and Indicators'!$B$47</f>
        <v>210012880</v>
      </c>
      <c r="DD21" s="295">
        <f>DD20*'Unit Costs and Indicators'!$B$47</f>
        <v>210012880</v>
      </c>
      <c r="DE21" s="295">
        <f>DE20*'Unit Costs and Indicators'!$B$47</f>
        <v>210012880</v>
      </c>
      <c r="DF21" s="296"/>
      <c r="DG21" s="296"/>
      <c r="DH21" s="296"/>
      <c r="DI21" s="296"/>
      <c r="DJ21" s="296"/>
      <c r="DK21" s="296"/>
      <c r="DL21" s="296"/>
    </row>
    <row r="22" spans="1:116" ht="15.75" customHeight="1" outlineLevel="1" x14ac:dyDescent="0.25">
      <c r="A22" s="751"/>
      <c r="B22" s="751"/>
      <c r="C22" s="278" t="s">
        <v>226</v>
      </c>
      <c r="D22" s="279"/>
      <c r="E22" s="280" t="s">
        <v>227</v>
      </c>
      <c r="F22" s="279"/>
      <c r="G22" s="279">
        <f>(SUM(H22:BQ22)/60)*0.335</f>
        <v>8.6541666666666668</v>
      </c>
      <c r="H22" s="297">
        <f>((H19)*5280*1.25)*'Unit Costs and Indicators'!D19</f>
        <v>25</v>
      </c>
      <c r="I22" s="298">
        <f>(I19*5280*1.25)*'Unit Costs and Indicators'!$D$19</f>
        <v>25</v>
      </c>
      <c r="J22" s="298">
        <f>(J19*5280*1.25)*'Unit Costs and Indicators'!$D$19</f>
        <v>25</v>
      </c>
      <c r="K22" s="298">
        <f>(K19*5280*1.25)*'Unit Costs and Indicators'!$D$19</f>
        <v>25</v>
      </c>
      <c r="L22" s="298">
        <f>(L19*5280*1.25)*'Unit Costs and Indicators'!$D$19</f>
        <v>25</v>
      </c>
      <c r="M22" s="298">
        <f>(M19*5280*1.25)*'Unit Costs and Indicators'!$D$19</f>
        <v>25</v>
      </c>
      <c r="N22" s="298">
        <f>(N19*5280*1.25)*'Unit Costs and Indicators'!$D$19</f>
        <v>25</v>
      </c>
      <c r="O22" s="298">
        <f>(O19*5280*1.25)*'Unit Costs and Indicators'!$D$19</f>
        <v>25</v>
      </c>
      <c r="P22" s="298">
        <f>(P19*5280*1.25)*'Unit Costs and Indicators'!$D$19</f>
        <v>25</v>
      </c>
      <c r="Q22" s="298">
        <f>(Q19*5280*1.25)*'Unit Costs and Indicators'!$D$19</f>
        <v>25</v>
      </c>
      <c r="R22" s="298">
        <f>(R19*5280*1.25)*'Unit Costs and Indicators'!$D$19</f>
        <v>25</v>
      </c>
      <c r="S22" s="298">
        <f>(S19*5280*1.25)*'Unit Costs and Indicators'!$D$19</f>
        <v>25</v>
      </c>
      <c r="T22" s="298">
        <f>(T19*5280*1.25)*'Unit Costs and Indicators'!$D$19</f>
        <v>25</v>
      </c>
      <c r="U22" s="298">
        <f>(U19*5280*1.25)*'Unit Costs and Indicators'!$D$19</f>
        <v>25</v>
      </c>
      <c r="V22" s="298">
        <f>(V19*5280*1.25)*'Unit Costs and Indicators'!$D$19</f>
        <v>25</v>
      </c>
      <c r="W22" s="298">
        <f>(W19*5280*1.25)*'Unit Costs and Indicators'!$D$19</f>
        <v>25</v>
      </c>
      <c r="X22" s="298">
        <f>(X19*5280*1.25)*'Unit Costs and Indicators'!$D$19</f>
        <v>25</v>
      </c>
      <c r="Y22" s="298">
        <f>(Y19*5280*1.25)*'Unit Costs and Indicators'!$D$19</f>
        <v>25</v>
      </c>
      <c r="Z22" s="298">
        <f>(Z19*5280*1.25)*'Unit Costs and Indicators'!$D$19</f>
        <v>25</v>
      </c>
      <c r="AA22" s="298">
        <f>(AA19*5280*1.25)*'Unit Costs and Indicators'!$D$19</f>
        <v>25</v>
      </c>
      <c r="AB22" s="298">
        <f>(AB19*5280*1.25)*'Unit Costs and Indicators'!$D$19</f>
        <v>25</v>
      </c>
      <c r="AC22" s="298">
        <f>(AC19*5280*1.25)*'Unit Costs and Indicators'!$D$19</f>
        <v>25</v>
      </c>
      <c r="AD22" s="298">
        <f>(AD19*5280*1.25)*'Unit Costs and Indicators'!$D$19</f>
        <v>25</v>
      </c>
      <c r="AE22" s="298">
        <f>(AE19*5280*1.25)*'Unit Costs and Indicators'!$D$19</f>
        <v>25</v>
      </c>
      <c r="AF22" s="298">
        <f>(AF19*5280*1.25)*'Unit Costs and Indicators'!$D$19</f>
        <v>25</v>
      </c>
      <c r="AG22" s="298">
        <f>(AG19*5280*1.25)*'Unit Costs and Indicators'!$D$19</f>
        <v>25</v>
      </c>
      <c r="AH22" s="298">
        <f>(AH19*5280*1.25)*'Unit Costs and Indicators'!$D$19</f>
        <v>25</v>
      </c>
      <c r="AI22" s="298">
        <f>(AI19*5280*1.25)*'Unit Costs and Indicators'!$D$19</f>
        <v>25</v>
      </c>
      <c r="AJ22" s="298">
        <f>(AJ19*5280*1.25)*'Unit Costs and Indicators'!$D$19</f>
        <v>25</v>
      </c>
      <c r="AK22" s="298">
        <f>(AK19*5280*1.25)*'Unit Costs and Indicators'!$D$19</f>
        <v>25</v>
      </c>
      <c r="AL22" s="298">
        <f>(AL19*5280*1.25)*'Unit Costs and Indicators'!$D$19</f>
        <v>25</v>
      </c>
      <c r="AM22" s="298">
        <f>(AM19*5280*1.25)*'Unit Costs and Indicators'!$D$19</f>
        <v>25</v>
      </c>
      <c r="AN22" s="298">
        <f>(AN19*5280*1.25)*'Unit Costs and Indicators'!$D$19</f>
        <v>25</v>
      </c>
      <c r="AO22" s="298">
        <f>(AO19*5280*1.25)*'Unit Costs and Indicators'!$D$19</f>
        <v>25</v>
      </c>
      <c r="AP22" s="298">
        <f>(AP19*5280*1.25)*'Unit Costs and Indicators'!$D$19</f>
        <v>25</v>
      </c>
      <c r="AQ22" s="298">
        <f>(AQ19*5280*1.25)*'Unit Costs and Indicators'!$D$19</f>
        <v>25</v>
      </c>
      <c r="AR22" s="298">
        <f>(AR19*5280*1.25)*'Unit Costs and Indicators'!$D$19</f>
        <v>25</v>
      </c>
      <c r="AS22" s="298">
        <f>(AS19*5280*1.25)*'Unit Costs and Indicators'!$D$19</f>
        <v>25</v>
      </c>
      <c r="AT22" s="298">
        <f>(AT19*5280*1.25)*'Unit Costs and Indicators'!$D$19</f>
        <v>25</v>
      </c>
      <c r="AU22" s="298">
        <f>(AU19*5280*1.25)*'Unit Costs and Indicators'!$D$19</f>
        <v>25</v>
      </c>
      <c r="AV22" s="298">
        <f>(AV19*5280*1.25)*'Unit Costs and Indicators'!$D$19</f>
        <v>25</v>
      </c>
      <c r="AW22" s="298">
        <f>(AW19*5280*1.25)*'Unit Costs and Indicators'!$D$19</f>
        <v>25</v>
      </c>
      <c r="AX22" s="298">
        <f>(AX19*5280*1.25)*'Unit Costs and Indicators'!$D$19</f>
        <v>25</v>
      </c>
      <c r="AY22" s="298">
        <f>(AY19*5280*1.25)*'Unit Costs and Indicators'!$D$19</f>
        <v>25</v>
      </c>
      <c r="AZ22" s="298">
        <f>(AZ19*5280*1.25)*'Unit Costs and Indicators'!$D$19</f>
        <v>25</v>
      </c>
      <c r="BA22" s="298">
        <f>(BA19*5280*1.25)*'Unit Costs and Indicators'!$D$19</f>
        <v>25</v>
      </c>
      <c r="BB22" s="298">
        <f>(BB19*5280*1.25)*'Unit Costs and Indicators'!$D$19</f>
        <v>25</v>
      </c>
      <c r="BC22" s="298">
        <f>(BC19*5280*1.25)*'Unit Costs and Indicators'!$D$19</f>
        <v>25</v>
      </c>
      <c r="BD22" s="298">
        <f>(BD19*5280*1.25)*'Unit Costs and Indicators'!$D$19</f>
        <v>25</v>
      </c>
      <c r="BE22" s="298">
        <f>(BE19*5280*1.25)*'Unit Costs and Indicators'!$D$19</f>
        <v>25</v>
      </c>
      <c r="BF22" s="298">
        <f>(BF19*5280*1.25)*'Unit Costs and Indicators'!$D$19</f>
        <v>25</v>
      </c>
      <c r="BG22" s="298">
        <f>(BG19*5280*1.25)*'Unit Costs and Indicators'!$D$19</f>
        <v>25</v>
      </c>
      <c r="BH22" s="298">
        <f>(BH19*5280*1.25)*'Unit Costs and Indicators'!$D$19</f>
        <v>25</v>
      </c>
      <c r="BI22" s="298">
        <f>(BI19*5280*1.25)*'Unit Costs and Indicators'!$D$19</f>
        <v>25</v>
      </c>
      <c r="BJ22" s="298">
        <f>(BJ19*5280*1.25)*'Unit Costs and Indicators'!$D$19</f>
        <v>25</v>
      </c>
      <c r="BK22" s="298">
        <f>(BK19*5280*1.25)*'Unit Costs and Indicators'!$D$19</f>
        <v>25</v>
      </c>
      <c r="BL22" s="298">
        <f>(BL19*5280*1.25)*'Unit Costs and Indicators'!$D$19</f>
        <v>25</v>
      </c>
      <c r="BM22" s="298">
        <f>(BM19*5280*1.25)*'Unit Costs and Indicators'!$D$19</f>
        <v>25</v>
      </c>
      <c r="BN22" s="298">
        <f>(BN19*5280*1.25)*'Unit Costs and Indicators'!$D$19</f>
        <v>25</v>
      </c>
      <c r="BO22" s="298">
        <f>(BO19*5280*1.25)*'Unit Costs and Indicators'!$D$19</f>
        <v>25</v>
      </c>
      <c r="BP22" s="298">
        <f>(BP19*5280*1.25)*'Unit Costs and Indicators'!$D$19</f>
        <v>25</v>
      </c>
      <c r="BQ22" s="298">
        <f>(BQ19*5280*1.25)*'Unit Costs and Indicators'!$D$19</f>
        <v>25</v>
      </c>
      <c r="BR22" s="298">
        <f>(BR19*5280*1.25)*'Unit Costs and Indicators'!$D$19</f>
        <v>25</v>
      </c>
      <c r="BS22" s="298">
        <f>(BS19*5280*1.25)*'Unit Costs and Indicators'!$D$19</f>
        <v>25</v>
      </c>
      <c r="BT22" s="298">
        <f>(BT19*5280*1.25)*'Unit Costs and Indicators'!$D$19</f>
        <v>25</v>
      </c>
      <c r="BU22" s="298">
        <f>(BU19*5280*1.25)*'Unit Costs and Indicators'!$D$19</f>
        <v>25</v>
      </c>
      <c r="BV22" s="298">
        <f>(BV19*5280*1.25)*'Unit Costs and Indicators'!$D$19</f>
        <v>25</v>
      </c>
      <c r="BW22" s="298">
        <f>(BW19*5280*1.25)*'Unit Costs and Indicators'!$D$19</f>
        <v>25</v>
      </c>
      <c r="BX22" s="298">
        <f>(BX19*5280*1.25)*'Unit Costs and Indicators'!$D$19</f>
        <v>25</v>
      </c>
      <c r="BY22" s="298">
        <f>(BY19*5280*1.25)*'Unit Costs and Indicators'!$D$19</f>
        <v>25</v>
      </c>
      <c r="BZ22" s="298">
        <f>(BZ19*5280*1.25)*'Unit Costs and Indicators'!$D$19</f>
        <v>25</v>
      </c>
      <c r="CA22" s="298">
        <f>(CA19*5280*1.25)*'Unit Costs and Indicators'!$D$19</f>
        <v>25</v>
      </c>
      <c r="CB22" s="298">
        <f>(CB19*5280*1.25)*'Unit Costs and Indicators'!$D$19</f>
        <v>25</v>
      </c>
      <c r="CC22" s="298">
        <f>(CC19*5280*1.25)*'Unit Costs and Indicators'!$D$19</f>
        <v>25</v>
      </c>
      <c r="CD22" s="298">
        <f>(CD19*5280*1.25)*'Unit Costs and Indicators'!$D$19</f>
        <v>25</v>
      </c>
      <c r="CE22" s="298">
        <f>(CE19*5280*1.25)*'Unit Costs and Indicators'!$D$19</f>
        <v>25</v>
      </c>
      <c r="CF22" s="298">
        <f>(CF19*5280*1.25)*'Unit Costs and Indicators'!$D$19</f>
        <v>25</v>
      </c>
      <c r="CG22" s="298">
        <f>(CG19*5280*1.25)*'Unit Costs and Indicators'!$D$19</f>
        <v>25</v>
      </c>
      <c r="CH22" s="298">
        <f>(CH19*5280*1.25)*'Unit Costs and Indicators'!$D$19</f>
        <v>25</v>
      </c>
      <c r="CI22" s="298">
        <f>(CI19*5280*1.25)*'Unit Costs and Indicators'!$D$19</f>
        <v>25</v>
      </c>
      <c r="CJ22" s="298">
        <f>(CJ19*5280*1.25)*'Unit Costs and Indicators'!$D$19</f>
        <v>25</v>
      </c>
      <c r="CK22" s="298">
        <f>(CK19*5280*1.25)*'Unit Costs and Indicators'!$D$19</f>
        <v>25</v>
      </c>
      <c r="CL22" s="298">
        <f>(CL19*5280*1.25)*'Unit Costs and Indicators'!$D$19</f>
        <v>25</v>
      </c>
      <c r="CM22" s="298">
        <f>(CM19*5280*1.25)*'Unit Costs and Indicators'!$D$19</f>
        <v>25</v>
      </c>
      <c r="CN22" s="298">
        <f>(CN19*5280*1.25)*'Unit Costs and Indicators'!$D$19</f>
        <v>25</v>
      </c>
      <c r="CO22" s="298">
        <f>(CO19*5280*1.25)*'Unit Costs and Indicators'!$D$19</f>
        <v>25</v>
      </c>
      <c r="CP22" s="298">
        <f>(CP19*5280*1.25)*'Unit Costs and Indicators'!$D$19</f>
        <v>25</v>
      </c>
      <c r="CQ22" s="298">
        <f>(CQ19*5280*1.25)*'Unit Costs and Indicators'!$D$19</f>
        <v>25</v>
      </c>
      <c r="CR22" s="298">
        <f>(CR19*5280*1.25)*'Unit Costs and Indicators'!$D$19</f>
        <v>25</v>
      </c>
      <c r="CS22" s="298">
        <f>(CS19*5280*1.25)*'Unit Costs and Indicators'!$D$19</f>
        <v>25</v>
      </c>
      <c r="CT22" s="298">
        <f>(CT19*5280*1.25)*'Unit Costs and Indicators'!$D$19</f>
        <v>25</v>
      </c>
      <c r="CU22" s="298">
        <f>(CU19*5280*1.25)*'Unit Costs and Indicators'!$D$19</f>
        <v>25</v>
      </c>
      <c r="CV22" s="298">
        <f>(CV19*5280*1.25)*'Unit Costs and Indicators'!$D$19</f>
        <v>25</v>
      </c>
      <c r="CW22" s="298">
        <f>(CW19*5280*1.25)*'Unit Costs and Indicators'!$D$19</f>
        <v>25</v>
      </c>
      <c r="CX22" s="298">
        <f>(CX19*5280*1.25)*'Unit Costs and Indicators'!$D$19</f>
        <v>25</v>
      </c>
      <c r="CY22" s="298">
        <f>(CY19*5280*1.25)*'Unit Costs and Indicators'!$D$19</f>
        <v>25</v>
      </c>
      <c r="CZ22" s="298">
        <f>(CZ19*5280*1.25)*'Unit Costs and Indicators'!$D$19</f>
        <v>25</v>
      </c>
      <c r="DA22" s="298">
        <f>(DA19*5280*1.25)*'Unit Costs and Indicators'!$D$19</f>
        <v>25</v>
      </c>
      <c r="DB22" s="298">
        <f>(DB19*5280*1.25)*'Unit Costs and Indicators'!$D$19</f>
        <v>25</v>
      </c>
      <c r="DC22" s="298">
        <f>(DC19*5280*1.25)*'Unit Costs and Indicators'!$D$19</f>
        <v>25</v>
      </c>
      <c r="DD22" s="298">
        <f>(DD19*5280*1.25)*'Unit Costs and Indicators'!$D$19</f>
        <v>25</v>
      </c>
      <c r="DE22" s="298">
        <f>(DE19*5280*1.25)*'Unit Costs and Indicators'!$D$19</f>
        <v>25</v>
      </c>
      <c r="DF22" s="298"/>
      <c r="DG22" s="298"/>
      <c r="DH22" s="298"/>
      <c r="DI22" s="298"/>
      <c r="DJ22" s="298"/>
      <c r="DK22" s="298"/>
      <c r="DL22" s="298"/>
    </row>
    <row r="23" spans="1:116" ht="15.75" customHeight="1" outlineLevel="1" x14ac:dyDescent="0.25">
      <c r="A23" s="751"/>
      <c r="B23" s="751"/>
      <c r="C23" s="278" t="s">
        <v>228</v>
      </c>
      <c r="D23" s="279"/>
      <c r="E23" s="280"/>
      <c r="F23" s="279"/>
      <c r="G23" s="279"/>
      <c r="H23" s="281">
        <f t="shared" ref="H23:DE23" si="6">(H18/3)+(H22)</f>
        <v>27.0075</v>
      </c>
      <c r="I23" s="284">
        <f t="shared" si="6"/>
        <v>27.0175375</v>
      </c>
      <c r="J23" s="284">
        <f t="shared" si="6"/>
        <v>27.0276251875</v>
      </c>
      <c r="K23" s="284">
        <f t="shared" si="6"/>
        <v>27.037763313437498</v>
      </c>
      <c r="L23" s="284">
        <f t="shared" si="6"/>
        <v>27.047952130004688</v>
      </c>
      <c r="M23" s="284">
        <f t="shared" si="6"/>
        <v>27.058191890654712</v>
      </c>
      <c r="N23" s="284">
        <f t="shared" si="6"/>
        <v>27.068482850107983</v>
      </c>
      <c r="O23" s="284">
        <f t="shared" si="6"/>
        <v>27.078825264358521</v>
      </c>
      <c r="P23" s="284">
        <f t="shared" si="6"/>
        <v>27.089219390680316</v>
      </c>
      <c r="Q23" s="284">
        <f t="shared" si="6"/>
        <v>27.099665487633718</v>
      </c>
      <c r="R23" s="284">
        <f t="shared" si="6"/>
        <v>27.110163815071886</v>
      </c>
      <c r="S23" s="284">
        <f t="shared" si="6"/>
        <v>27.120714634147244</v>
      </c>
      <c r="T23" s="284">
        <f t="shared" si="6"/>
        <v>27.131318207317982</v>
      </c>
      <c r="U23" s="284">
        <f t="shared" si="6"/>
        <v>27.141974798354571</v>
      </c>
      <c r="V23" s="284">
        <f t="shared" si="6"/>
        <v>27.152684672346343</v>
      </c>
      <c r="W23" s="284">
        <f t="shared" si="6"/>
        <v>27.163448095708073</v>
      </c>
      <c r="X23" s="284">
        <f t="shared" si="6"/>
        <v>27.174265336186615</v>
      </c>
      <c r="Y23" s="284">
        <f t="shared" si="6"/>
        <v>27.185136662867546</v>
      </c>
      <c r="Z23" s="284">
        <f t="shared" si="6"/>
        <v>27.196062346181883</v>
      </c>
      <c r="AA23" s="284">
        <f t="shared" si="6"/>
        <v>27.207042657912794</v>
      </c>
      <c r="AB23" s="284">
        <f t="shared" si="6"/>
        <v>27.218077871202357</v>
      </c>
      <c r="AC23" s="284">
        <f t="shared" si="6"/>
        <v>27.229168260558367</v>
      </c>
      <c r="AD23" s="284">
        <f t="shared" si="6"/>
        <v>27.240314101861159</v>
      </c>
      <c r="AE23" s="284">
        <f t="shared" si="6"/>
        <v>27.251515672370466</v>
      </c>
      <c r="AF23" s="284">
        <f t="shared" si="6"/>
        <v>27.262773250732319</v>
      </c>
      <c r="AG23" s="284">
        <f t="shared" si="6"/>
        <v>27.274087116985978</v>
      </c>
      <c r="AH23" s="284">
        <f t="shared" si="6"/>
        <v>27.285457552570911</v>
      </c>
      <c r="AI23" s="284">
        <f t="shared" si="6"/>
        <v>27.285457552570911</v>
      </c>
      <c r="AJ23" s="284">
        <f t="shared" si="6"/>
        <v>27.285457552570911</v>
      </c>
      <c r="AK23" s="284">
        <f t="shared" si="6"/>
        <v>27.285457552570911</v>
      </c>
      <c r="AL23" s="284">
        <f t="shared" si="6"/>
        <v>27.285457552570911</v>
      </c>
      <c r="AM23" s="284">
        <f t="shared" si="6"/>
        <v>27.285457552570911</v>
      </c>
      <c r="AN23" s="284">
        <f t="shared" si="6"/>
        <v>27.285457552570911</v>
      </c>
      <c r="AO23" s="284">
        <f t="shared" si="6"/>
        <v>27.285457552570911</v>
      </c>
      <c r="AP23" s="284">
        <f t="shared" si="6"/>
        <v>27.285457552570911</v>
      </c>
      <c r="AQ23" s="284">
        <f t="shared" si="6"/>
        <v>27.285457552570911</v>
      </c>
      <c r="AR23" s="284">
        <f t="shared" si="6"/>
        <v>27.285457552570911</v>
      </c>
      <c r="AS23" s="284">
        <f t="shared" si="6"/>
        <v>27.285457552570911</v>
      </c>
      <c r="AT23" s="284">
        <f t="shared" si="6"/>
        <v>27.285457552570911</v>
      </c>
      <c r="AU23" s="284">
        <f t="shared" si="6"/>
        <v>27.285457552570911</v>
      </c>
      <c r="AV23" s="284">
        <f t="shared" si="6"/>
        <v>27.285457552570911</v>
      </c>
      <c r="AW23" s="284">
        <f t="shared" si="6"/>
        <v>27.285457552570911</v>
      </c>
      <c r="AX23" s="284">
        <f t="shared" si="6"/>
        <v>27.285457552570911</v>
      </c>
      <c r="AY23" s="284">
        <f t="shared" si="6"/>
        <v>27.285457552570911</v>
      </c>
      <c r="AZ23" s="284">
        <f t="shared" si="6"/>
        <v>27.285457552570911</v>
      </c>
      <c r="BA23" s="284">
        <f t="shared" si="6"/>
        <v>27.285457552570911</v>
      </c>
      <c r="BB23" s="284">
        <f t="shared" si="6"/>
        <v>27.285457552570911</v>
      </c>
      <c r="BC23" s="284">
        <f t="shared" si="6"/>
        <v>27.285457552570911</v>
      </c>
      <c r="BD23" s="284">
        <f t="shared" si="6"/>
        <v>27.285457552570911</v>
      </c>
      <c r="BE23" s="284">
        <f t="shared" si="6"/>
        <v>27.285457552570911</v>
      </c>
      <c r="BF23" s="284">
        <f t="shared" si="6"/>
        <v>27.285457552570911</v>
      </c>
      <c r="BG23" s="284">
        <f t="shared" si="6"/>
        <v>27.285457552570911</v>
      </c>
      <c r="BH23" s="284">
        <f t="shared" si="6"/>
        <v>27.285457552570911</v>
      </c>
      <c r="BI23" s="284">
        <f t="shared" si="6"/>
        <v>27.285457552570911</v>
      </c>
      <c r="BJ23" s="284">
        <f t="shared" si="6"/>
        <v>27.285457552570911</v>
      </c>
      <c r="BK23" s="284">
        <f t="shared" si="6"/>
        <v>27.285457552570911</v>
      </c>
      <c r="BL23" s="284">
        <f t="shared" si="6"/>
        <v>27.285457552570911</v>
      </c>
      <c r="BM23" s="284">
        <f t="shared" si="6"/>
        <v>27.285457552570911</v>
      </c>
      <c r="BN23" s="284">
        <f t="shared" si="6"/>
        <v>27.285457552570911</v>
      </c>
      <c r="BO23" s="284">
        <f t="shared" si="6"/>
        <v>27.285457552570911</v>
      </c>
      <c r="BP23" s="284">
        <f t="shared" si="6"/>
        <v>27.285457552570911</v>
      </c>
      <c r="BQ23" s="284">
        <f t="shared" si="6"/>
        <v>27.285457552570911</v>
      </c>
      <c r="BR23" s="284">
        <f t="shared" si="6"/>
        <v>27.285457552570911</v>
      </c>
      <c r="BS23" s="284">
        <f t="shared" si="6"/>
        <v>27.285457552570911</v>
      </c>
      <c r="BT23" s="284">
        <f t="shared" si="6"/>
        <v>27.285457552570911</v>
      </c>
      <c r="BU23" s="284">
        <f t="shared" si="6"/>
        <v>27.285457552570911</v>
      </c>
      <c r="BV23" s="284">
        <f t="shared" si="6"/>
        <v>27.285457552570911</v>
      </c>
      <c r="BW23" s="284">
        <f t="shared" si="6"/>
        <v>27.285457552570911</v>
      </c>
      <c r="BX23" s="284">
        <f t="shared" si="6"/>
        <v>27.285457552570911</v>
      </c>
      <c r="BY23" s="284">
        <f t="shared" si="6"/>
        <v>27.285457552570911</v>
      </c>
      <c r="BZ23" s="284">
        <f t="shared" si="6"/>
        <v>27.285457552570911</v>
      </c>
      <c r="CA23" s="284">
        <f t="shared" si="6"/>
        <v>27.285457552570911</v>
      </c>
      <c r="CB23" s="284">
        <f t="shared" si="6"/>
        <v>27.285457552570911</v>
      </c>
      <c r="CC23" s="284">
        <f t="shared" si="6"/>
        <v>27.285457552570911</v>
      </c>
      <c r="CD23" s="284">
        <f t="shared" si="6"/>
        <v>27.285457552570911</v>
      </c>
      <c r="CE23" s="284">
        <f t="shared" si="6"/>
        <v>27.285457552570911</v>
      </c>
      <c r="CF23" s="284">
        <f t="shared" si="6"/>
        <v>27.285457552570911</v>
      </c>
      <c r="CG23" s="284">
        <f t="shared" si="6"/>
        <v>27.285457552570911</v>
      </c>
      <c r="CH23" s="284">
        <f t="shared" si="6"/>
        <v>27.285457552570911</v>
      </c>
      <c r="CI23" s="284">
        <f t="shared" si="6"/>
        <v>27.285457552570911</v>
      </c>
      <c r="CJ23" s="284">
        <f t="shared" si="6"/>
        <v>27.285457552570911</v>
      </c>
      <c r="CK23" s="284">
        <f t="shared" si="6"/>
        <v>27.285457552570911</v>
      </c>
      <c r="CL23" s="284">
        <f t="shared" si="6"/>
        <v>27.285457552570911</v>
      </c>
      <c r="CM23" s="284">
        <f t="shared" si="6"/>
        <v>27.285457552570911</v>
      </c>
      <c r="CN23" s="284">
        <f t="shared" si="6"/>
        <v>27.285457552570911</v>
      </c>
      <c r="CO23" s="284">
        <f t="shared" si="6"/>
        <v>27.285457552570911</v>
      </c>
      <c r="CP23" s="284">
        <f t="shared" si="6"/>
        <v>27.285457552570911</v>
      </c>
      <c r="CQ23" s="284">
        <f t="shared" si="6"/>
        <v>27.285457552570911</v>
      </c>
      <c r="CR23" s="284">
        <f t="shared" si="6"/>
        <v>27.285457552570911</v>
      </c>
      <c r="CS23" s="284">
        <f t="shared" si="6"/>
        <v>27.285457552570911</v>
      </c>
      <c r="CT23" s="284">
        <f t="shared" si="6"/>
        <v>27.285457552570911</v>
      </c>
      <c r="CU23" s="284">
        <f t="shared" si="6"/>
        <v>27.285457552570911</v>
      </c>
      <c r="CV23" s="284">
        <f t="shared" si="6"/>
        <v>27.285457552570911</v>
      </c>
      <c r="CW23" s="284">
        <f t="shared" si="6"/>
        <v>27.285457552570911</v>
      </c>
      <c r="CX23" s="284">
        <f t="shared" si="6"/>
        <v>27.285457552570911</v>
      </c>
      <c r="CY23" s="284">
        <f t="shared" si="6"/>
        <v>27.285457552570911</v>
      </c>
      <c r="CZ23" s="284">
        <f t="shared" si="6"/>
        <v>27.285457552570911</v>
      </c>
      <c r="DA23" s="284">
        <f t="shared" si="6"/>
        <v>27.285457552570911</v>
      </c>
      <c r="DB23" s="284">
        <f t="shared" si="6"/>
        <v>27.285457552570911</v>
      </c>
      <c r="DC23" s="284">
        <f t="shared" si="6"/>
        <v>27.285457552570911</v>
      </c>
      <c r="DD23" s="284">
        <f t="shared" si="6"/>
        <v>27.285457552570911</v>
      </c>
      <c r="DE23" s="284">
        <f t="shared" si="6"/>
        <v>27.285457552570911</v>
      </c>
      <c r="DF23" s="284"/>
      <c r="DG23" s="284"/>
      <c r="DH23" s="284"/>
      <c r="DI23" s="284"/>
      <c r="DJ23" s="284"/>
      <c r="DK23" s="284"/>
      <c r="DL23" s="284"/>
    </row>
    <row r="24" spans="1:116" ht="15.75" customHeight="1" outlineLevel="1" x14ac:dyDescent="0.25">
      <c r="A24" s="751"/>
      <c r="B24" s="751"/>
      <c r="C24" s="278" t="s">
        <v>229</v>
      </c>
      <c r="D24" s="279" t="s">
        <v>204</v>
      </c>
      <c r="E24" s="299" t="s">
        <v>230</v>
      </c>
      <c r="F24" s="279"/>
      <c r="G24" s="279" t="s">
        <v>231</v>
      </c>
      <c r="H24" s="300">
        <f>'Unit Costs and Indicators'!$B$51*H23</f>
        <v>2981.6280000000002</v>
      </c>
      <c r="I24" s="301">
        <f>('Unit Costs and Indicators'!$B$51*I23)</f>
        <v>2982.73614</v>
      </c>
      <c r="J24" s="301">
        <f>('Unit Costs and Indicators'!$B$51*J23)</f>
        <v>2983.8498207000002</v>
      </c>
      <c r="K24" s="301">
        <f>('Unit Costs and Indicators'!$B$51*K23)</f>
        <v>2984.9690698035001</v>
      </c>
      <c r="L24" s="301">
        <f>('Unit Costs and Indicators'!$B$51*L23)</f>
        <v>2986.0939151525176</v>
      </c>
      <c r="M24" s="301">
        <f>('Unit Costs and Indicators'!$B$51*M23)</f>
        <v>2987.2243847282803</v>
      </c>
      <c r="N24" s="301">
        <f>('Unit Costs and Indicators'!$B$51*N23)</f>
        <v>2988.3605066519217</v>
      </c>
      <c r="O24" s="301">
        <f>('Unit Costs and Indicators'!$B$51*O23)</f>
        <v>2989.5023091851808</v>
      </c>
      <c r="P24" s="301">
        <f>('Unit Costs and Indicators'!$B$51*P23)</f>
        <v>2990.649820731107</v>
      </c>
      <c r="Q24" s="301">
        <f>('Unit Costs and Indicators'!$B$51*Q23)</f>
        <v>2991.8030698347625</v>
      </c>
      <c r="R24" s="301">
        <f>('Unit Costs and Indicators'!$B$51*R23)</f>
        <v>2992.9620851839363</v>
      </c>
      <c r="S24" s="301">
        <f>('Unit Costs and Indicators'!$B$51*S23)</f>
        <v>2994.1268956098561</v>
      </c>
      <c r="T24" s="301">
        <f>('Unit Costs and Indicators'!$B$51*T23)</f>
        <v>2995.2975300879052</v>
      </c>
      <c r="U24" s="301">
        <f>('Unit Costs and Indicators'!$B$51*U23)</f>
        <v>2996.4740177383446</v>
      </c>
      <c r="V24" s="301">
        <f>('Unit Costs and Indicators'!$B$51*V23)</f>
        <v>2997.6563878270363</v>
      </c>
      <c r="W24" s="301">
        <f>('Unit Costs and Indicators'!$B$51*W23)</f>
        <v>2998.8446697661716</v>
      </c>
      <c r="X24" s="301">
        <f>('Unit Costs and Indicators'!$B$51*X23)</f>
        <v>3000.0388931150023</v>
      </c>
      <c r="Y24" s="301">
        <f>('Unit Costs and Indicators'!$B$51*Y23)</f>
        <v>3001.2390875805772</v>
      </c>
      <c r="Z24" s="301">
        <f>('Unit Costs and Indicators'!$B$51*Z23)</f>
        <v>3002.44528301848</v>
      </c>
      <c r="AA24" s="301">
        <f>('Unit Costs and Indicators'!$B$51*AA23)</f>
        <v>3003.6575094335726</v>
      </c>
      <c r="AB24" s="301">
        <f>('Unit Costs and Indicators'!$B$51*AB23)</f>
        <v>3004.8757969807402</v>
      </c>
      <c r="AC24" s="301">
        <f>('Unit Costs and Indicators'!$B$51*AC23)</f>
        <v>3006.1001759656438</v>
      </c>
      <c r="AD24" s="301">
        <f>('Unit Costs and Indicators'!$B$51*AD23)</f>
        <v>3007.3306768454722</v>
      </c>
      <c r="AE24" s="301">
        <f>('Unit Costs and Indicators'!$B$51*AE23)</f>
        <v>3008.5673302296996</v>
      </c>
      <c r="AF24" s="301">
        <f>('Unit Costs and Indicators'!$B$51*AF23)</f>
        <v>3009.8101668808481</v>
      </c>
      <c r="AG24" s="301">
        <f>('Unit Costs and Indicators'!$B$51*AG23)</f>
        <v>3011.0592177152521</v>
      </c>
      <c r="AH24" s="301">
        <f>('Unit Costs and Indicators'!$B$51*AH23)</f>
        <v>3012.3145138038285</v>
      </c>
      <c r="AI24" s="301">
        <f>('Unit Costs and Indicators'!$B$51*AI23)</f>
        <v>3012.3145138038285</v>
      </c>
      <c r="AJ24" s="301">
        <f>('Unit Costs and Indicators'!$B$51*AJ23)</f>
        <v>3012.3145138038285</v>
      </c>
      <c r="AK24" s="301">
        <f>('Unit Costs and Indicators'!$B$51*AK23)</f>
        <v>3012.3145138038285</v>
      </c>
      <c r="AL24" s="301">
        <f>('Unit Costs and Indicators'!$B$51*AL23)</f>
        <v>3012.3145138038285</v>
      </c>
      <c r="AM24" s="301">
        <f>('Unit Costs and Indicators'!$B$51*AM23)</f>
        <v>3012.3145138038285</v>
      </c>
      <c r="AN24" s="301">
        <f>('Unit Costs and Indicators'!$B$51*AN23)</f>
        <v>3012.3145138038285</v>
      </c>
      <c r="AO24" s="301">
        <f>('Unit Costs and Indicators'!$B$51*AO23)</f>
        <v>3012.3145138038285</v>
      </c>
      <c r="AP24" s="301">
        <f>('Unit Costs and Indicators'!$B$51*AP23)</f>
        <v>3012.3145138038285</v>
      </c>
      <c r="AQ24" s="301">
        <f>('Unit Costs and Indicators'!$B$51*AQ23)</f>
        <v>3012.3145138038285</v>
      </c>
      <c r="AR24" s="301">
        <f>('Unit Costs and Indicators'!$B$51*AR23)</f>
        <v>3012.3145138038285</v>
      </c>
      <c r="AS24" s="301">
        <f>('Unit Costs and Indicators'!$B$51*AS23)</f>
        <v>3012.3145138038285</v>
      </c>
      <c r="AT24" s="301">
        <f>('Unit Costs and Indicators'!$B$51*AT23)</f>
        <v>3012.3145138038285</v>
      </c>
      <c r="AU24" s="301">
        <f>('Unit Costs and Indicators'!$B$51*AU23)</f>
        <v>3012.3145138038285</v>
      </c>
      <c r="AV24" s="301">
        <f>('Unit Costs and Indicators'!$B$51*AV23)</f>
        <v>3012.3145138038285</v>
      </c>
      <c r="AW24" s="301">
        <f>('Unit Costs and Indicators'!$B$51*AW23)</f>
        <v>3012.3145138038285</v>
      </c>
      <c r="AX24" s="301">
        <f>('Unit Costs and Indicators'!$B$51*AX23)</f>
        <v>3012.3145138038285</v>
      </c>
      <c r="AY24" s="301">
        <f>('Unit Costs and Indicators'!$B$51*AY23)</f>
        <v>3012.3145138038285</v>
      </c>
      <c r="AZ24" s="301">
        <f>('Unit Costs and Indicators'!$B$51*AZ23)</f>
        <v>3012.3145138038285</v>
      </c>
      <c r="BA24" s="301">
        <f>('Unit Costs and Indicators'!$B$51*BA23)</f>
        <v>3012.3145138038285</v>
      </c>
      <c r="BB24" s="301">
        <f>('Unit Costs and Indicators'!$B$51*BB23)</f>
        <v>3012.3145138038285</v>
      </c>
      <c r="BC24" s="301">
        <f>('Unit Costs and Indicators'!$B$51*BC23)</f>
        <v>3012.3145138038285</v>
      </c>
      <c r="BD24" s="301">
        <f>('Unit Costs and Indicators'!$B$51*BD23)</f>
        <v>3012.3145138038285</v>
      </c>
      <c r="BE24" s="301">
        <f>('Unit Costs and Indicators'!$B$51*BE23)</f>
        <v>3012.3145138038285</v>
      </c>
      <c r="BF24" s="301">
        <f>('Unit Costs and Indicators'!$B$51*BF23)</f>
        <v>3012.3145138038285</v>
      </c>
      <c r="BG24" s="301">
        <f>('Unit Costs and Indicators'!$B$51*BG23)</f>
        <v>3012.3145138038285</v>
      </c>
      <c r="BH24" s="301">
        <f>('Unit Costs and Indicators'!$B$51*BH23)</f>
        <v>3012.3145138038285</v>
      </c>
      <c r="BI24" s="301">
        <f>('Unit Costs and Indicators'!$B$51*BI23)</f>
        <v>3012.3145138038285</v>
      </c>
      <c r="BJ24" s="301">
        <f>('Unit Costs and Indicators'!$B$51*BJ23)</f>
        <v>3012.3145138038285</v>
      </c>
      <c r="BK24" s="301">
        <f>('Unit Costs and Indicators'!$B$51*BK23)</f>
        <v>3012.3145138038285</v>
      </c>
      <c r="BL24" s="301">
        <f>('Unit Costs and Indicators'!$B$51*BL23)</f>
        <v>3012.3145138038285</v>
      </c>
      <c r="BM24" s="301">
        <f>('Unit Costs and Indicators'!$B$51*BM23)</f>
        <v>3012.3145138038285</v>
      </c>
      <c r="BN24" s="301">
        <f>('Unit Costs and Indicators'!$B$51*BN23)</f>
        <v>3012.3145138038285</v>
      </c>
      <c r="BO24" s="301">
        <f>('Unit Costs and Indicators'!$B$51*BO23)</f>
        <v>3012.3145138038285</v>
      </c>
      <c r="BP24" s="301">
        <f>('Unit Costs and Indicators'!$B$51*BP23)</f>
        <v>3012.3145138038285</v>
      </c>
      <c r="BQ24" s="301">
        <f>('Unit Costs and Indicators'!$B$51*BQ23)</f>
        <v>3012.3145138038285</v>
      </c>
      <c r="BR24" s="301">
        <f>('Unit Costs and Indicators'!$B$51*BR23)</f>
        <v>3012.3145138038285</v>
      </c>
      <c r="BS24" s="301">
        <f>('Unit Costs and Indicators'!$B$51*BS23)</f>
        <v>3012.3145138038285</v>
      </c>
      <c r="BT24" s="301">
        <f>('Unit Costs and Indicators'!$B$51*BT23)</f>
        <v>3012.3145138038285</v>
      </c>
      <c r="BU24" s="301">
        <f>('Unit Costs and Indicators'!$B$51*BU23)</f>
        <v>3012.3145138038285</v>
      </c>
      <c r="BV24" s="301">
        <f>('Unit Costs and Indicators'!$B$51*BV23)</f>
        <v>3012.3145138038285</v>
      </c>
      <c r="BW24" s="301">
        <f>('Unit Costs and Indicators'!$B$51*BW23)</f>
        <v>3012.3145138038285</v>
      </c>
      <c r="BX24" s="301">
        <f>('Unit Costs and Indicators'!$B$51*BX23)</f>
        <v>3012.3145138038285</v>
      </c>
      <c r="BY24" s="301">
        <f>('Unit Costs and Indicators'!$B$51*BY23)</f>
        <v>3012.3145138038285</v>
      </c>
      <c r="BZ24" s="301">
        <f>('Unit Costs and Indicators'!$B$51*BZ23)</f>
        <v>3012.3145138038285</v>
      </c>
      <c r="CA24" s="301">
        <f>('Unit Costs and Indicators'!$B$51*CA23)</f>
        <v>3012.3145138038285</v>
      </c>
      <c r="CB24" s="301">
        <f>('Unit Costs and Indicators'!$B$51*CB23)</f>
        <v>3012.3145138038285</v>
      </c>
      <c r="CC24" s="301">
        <f>('Unit Costs and Indicators'!$B$51*CC23)</f>
        <v>3012.3145138038285</v>
      </c>
      <c r="CD24" s="301">
        <f>('Unit Costs and Indicators'!$B$51*CD23)</f>
        <v>3012.3145138038285</v>
      </c>
      <c r="CE24" s="301">
        <f>('Unit Costs and Indicators'!$B$51*CE23)</f>
        <v>3012.3145138038285</v>
      </c>
      <c r="CF24" s="301">
        <f>('Unit Costs and Indicators'!$B$51*CF23)</f>
        <v>3012.3145138038285</v>
      </c>
      <c r="CG24" s="301">
        <f>('Unit Costs and Indicators'!$B$51*CG23)</f>
        <v>3012.3145138038285</v>
      </c>
      <c r="CH24" s="301">
        <f>('Unit Costs and Indicators'!$B$51*CH23)</f>
        <v>3012.3145138038285</v>
      </c>
      <c r="CI24" s="301">
        <f>('Unit Costs and Indicators'!$B$51*CI23)</f>
        <v>3012.3145138038285</v>
      </c>
      <c r="CJ24" s="301">
        <f>('Unit Costs and Indicators'!$B$51*CJ23)</f>
        <v>3012.3145138038285</v>
      </c>
      <c r="CK24" s="301">
        <f>('Unit Costs and Indicators'!$B$51*CK23)</f>
        <v>3012.3145138038285</v>
      </c>
      <c r="CL24" s="301">
        <f>('Unit Costs and Indicators'!$B$51*CL23)</f>
        <v>3012.3145138038285</v>
      </c>
      <c r="CM24" s="301">
        <f>('Unit Costs and Indicators'!$B$51*CM23)</f>
        <v>3012.3145138038285</v>
      </c>
      <c r="CN24" s="301">
        <f>('Unit Costs and Indicators'!$B$51*CN23)</f>
        <v>3012.3145138038285</v>
      </c>
      <c r="CO24" s="301">
        <f>('Unit Costs and Indicators'!$B$51*CO23)</f>
        <v>3012.3145138038285</v>
      </c>
      <c r="CP24" s="301">
        <f>('Unit Costs and Indicators'!$B$51*CP23)</f>
        <v>3012.3145138038285</v>
      </c>
      <c r="CQ24" s="301">
        <f>('Unit Costs and Indicators'!$B$51*CQ23)</f>
        <v>3012.3145138038285</v>
      </c>
      <c r="CR24" s="301">
        <f>('Unit Costs and Indicators'!$B$51*CR23)</f>
        <v>3012.3145138038285</v>
      </c>
      <c r="CS24" s="301">
        <f>('Unit Costs and Indicators'!$B$51*CS23)</f>
        <v>3012.3145138038285</v>
      </c>
      <c r="CT24" s="301">
        <f>('Unit Costs and Indicators'!$B$51*CT23)</f>
        <v>3012.3145138038285</v>
      </c>
      <c r="CU24" s="301">
        <f>('Unit Costs and Indicators'!$B$51*CU23)</f>
        <v>3012.3145138038285</v>
      </c>
      <c r="CV24" s="301">
        <f>('Unit Costs and Indicators'!$B$51*CV23)</f>
        <v>3012.3145138038285</v>
      </c>
      <c r="CW24" s="301">
        <f>('Unit Costs and Indicators'!$B$51*CW23)</f>
        <v>3012.3145138038285</v>
      </c>
      <c r="CX24" s="301">
        <f>('Unit Costs and Indicators'!$B$51*CX23)</f>
        <v>3012.3145138038285</v>
      </c>
      <c r="CY24" s="301">
        <f>('Unit Costs and Indicators'!$B$51*CY23)</f>
        <v>3012.3145138038285</v>
      </c>
      <c r="CZ24" s="301">
        <f>('Unit Costs and Indicators'!$B$51*CZ23)</f>
        <v>3012.3145138038285</v>
      </c>
      <c r="DA24" s="301">
        <f>('Unit Costs and Indicators'!$B$51*DA23)</f>
        <v>3012.3145138038285</v>
      </c>
      <c r="DB24" s="301">
        <f>('Unit Costs and Indicators'!$B$51*DB23)</f>
        <v>3012.3145138038285</v>
      </c>
      <c r="DC24" s="301">
        <f>('Unit Costs and Indicators'!$B$51*DC23)</f>
        <v>3012.3145138038285</v>
      </c>
      <c r="DD24" s="301">
        <f>('Unit Costs and Indicators'!$B$51*DD23)</f>
        <v>3012.3145138038285</v>
      </c>
      <c r="DE24" s="301">
        <f>('Unit Costs and Indicators'!$B$51*DE23)</f>
        <v>3012.3145138038285</v>
      </c>
      <c r="DF24" s="301"/>
      <c r="DG24" s="301"/>
      <c r="DH24" s="301"/>
      <c r="DI24" s="301"/>
      <c r="DJ24" s="301"/>
      <c r="DK24" s="301"/>
      <c r="DL24" s="301"/>
    </row>
    <row r="25" spans="1:116" ht="15.75" customHeight="1" outlineLevel="1" x14ac:dyDescent="0.25">
      <c r="A25" s="751"/>
      <c r="B25" s="751"/>
      <c r="C25" s="278" t="s">
        <v>232</v>
      </c>
      <c r="D25" s="279"/>
      <c r="E25" s="280"/>
      <c r="F25" s="279"/>
      <c r="G25" s="279"/>
      <c r="H25" s="302">
        <f>'Unit Costs and Indicators'!D18</f>
        <v>0.28409090909090912</v>
      </c>
      <c r="I25" s="303">
        <f t="shared" ref="I25:DE25" si="7">H25</f>
        <v>0.28409090909090912</v>
      </c>
      <c r="J25" s="303">
        <f t="shared" si="7"/>
        <v>0.28409090909090912</v>
      </c>
      <c r="K25" s="303">
        <f t="shared" si="7"/>
        <v>0.28409090909090912</v>
      </c>
      <c r="L25" s="303">
        <f t="shared" si="7"/>
        <v>0.28409090909090912</v>
      </c>
      <c r="M25" s="303">
        <f t="shared" si="7"/>
        <v>0.28409090909090912</v>
      </c>
      <c r="N25" s="303">
        <f t="shared" si="7"/>
        <v>0.28409090909090912</v>
      </c>
      <c r="O25" s="303">
        <f t="shared" si="7"/>
        <v>0.28409090909090912</v>
      </c>
      <c r="P25" s="303">
        <f t="shared" si="7"/>
        <v>0.28409090909090912</v>
      </c>
      <c r="Q25" s="303">
        <f t="shared" si="7"/>
        <v>0.28409090909090912</v>
      </c>
      <c r="R25" s="303">
        <f t="shared" si="7"/>
        <v>0.28409090909090912</v>
      </c>
      <c r="S25" s="303">
        <f t="shared" si="7"/>
        <v>0.28409090909090912</v>
      </c>
      <c r="T25" s="303">
        <f t="shared" si="7"/>
        <v>0.28409090909090912</v>
      </c>
      <c r="U25" s="303">
        <f t="shared" si="7"/>
        <v>0.28409090909090912</v>
      </c>
      <c r="V25" s="303">
        <f t="shared" si="7"/>
        <v>0.28409090909090912</v>
      </c>
      <c r="W25" s="303">
        <f t="shared" si="7"/>
        <v>0.28409090909090912</v>
      </c>
      <c r="X25" s="303">
        <f t="shared" si="7"/>
        <v>0.28409090909090912</v>
      </c>
      <c r="Y25" s="303">
        <f t="shared" si="7"/>
        <v>0.28409090909090912</v>
      </c>
      <c r="Z25" s="303">
        <f t="shared" si="7"/>
        <v>0.28409090909090912</v>
      </c>
      <c r="AA25" s="303">
        <f t="shared" si="7"/>
        <v>0.28409090909090912</v>
      </c>
      <c r="AB25" s="303">
        <f t="shared" si="7"/>
        <v>0.28409090909090912</v>
      </c>
      <c r="AC25" s="303">
        <f t="shared" si="7"/>
        <v>0.28409090909090912</v>
      </c>
      <c r="AD25" s="303">
        <f t="shared" si="7"/>
        <v>0.28409090909090912</v>
      </c>
      <c r="AE25" s="303">
        <f t="shared" si="7"/>
        <v>0.28409090909090912</v>
      </c>
      <c r="AF25" s="303">
        <f t="shared" si="7"/>
        <v>0.28409090909090912</v>
      </c>
      <c r="AG25" s="303">
        <f t="shared" si="7"/>
        <v>0.28409090909090912</v>
      </c>
      <c r="AH25" s="303">
        <f t="shared" si="7"/>
        <v>0.28409090909090912</v>
      </c>
      <c r="AI25" s="303">
        <f t="shared" si="7"/>
        <v>0.28409090909090912</v>
      </c>
      <c r="AJ25" s="303">
        <f t="shared" si="7"/>
        <v>0.28409090909090912</v>
      </c>
      <c r="AK25" s="303">
        <f t="shared" si="7"/>
        <v>0.28409090909090912</v>
      </c>
      <c r="AL25" s="303">
        <f t="shared" si="7"/>
        <v>0.28409090909090912</v>
      </c>
      <c r="AM25" s="303">
        <f t="shared" si="7"/>
        <v>0.28409090909090912</v>
      </c>
      <c r="AN25" s="303">
        <f t="shared" si="7"/>
        <v>0.28409090909090912</v>
      </c>
      <c r="AO25" s="303">
        <f t="shared" si="7"/>
        <v>0.28409090909090912</v>
      </c>
      <c r="AP25" s="303">
        <f t="shared" si="7"/>
        <v>0.28409090909090912</v>
      </c>
      <c r="AQ25" s="303">
        <f t="shared" si="7"/>
        <v>0.28409090909090912</v>
      </c>
      <c r="AR25" s="303">
        <f t="shared" si="7"/>
        <v>0.28409090909090912</v>
      </c>
      <c r="AS25" s="303">
        <f t="shared" si="7"/>
        <v>0.28409090909090912</v>
      </c>
      <c r="AT25" s="303">
        <f t="shared" si="7"/>
        <v>0.28409090909090912</v>
      </c>
      <c r="AU25" s="303">
        <f t="shared" si="7"/>
        <v>0.28409090909090912</v>
      </c>
      <c r="AV25" s="303">
        <f t="shared" si="7"/>
        <v>0.28409090909090912</v>
      </c>
      <c r="AW25" s="303">
        <f t="shared" si="7"/>
        <v>0.28409090909090912</v>
      </c>
      <c r="AX25" s="303">
        <f t="shared" si="7"/>
        <v>0.28409090909090912</v>
      </c>
      <c r="AY25" s="303">
        <f t="shared" si="7"/>
        <v>0.28409090909090912</v>
      </c>
      <c r="AZ25" s="303">
        <f t="shared" si="7"/>
        <v>0.28409090909090912</v>
      </c>
      <c r="BA25" s="303">
        <f t="shared" si="7"/>
        <v>0.28409090909090912</v>
      </c>
      <c r="BB25" s="303">
        <f t="shared" si="7"/>
        <v>0.28409090909090912</v>
      </c>
      <c r="BC25" s="303">
        <f t="shared" si="7"/>
        <v>0.28409090909090912</v>
      </c>
      <c r="BD25" s="303">
        <f t="shared" si="7"/>
        <v>0.28409090909090912</v>
      </c>
      <c r="BE25" s="303">
        <f t="shared" si="7"/>
        <v>0.28409090909090912</v>
      </c>
      <c r="BF25" s="303">
        <f t="shared" si="7"/>
        <v>0.28409090909090912</v>
      </c>
      <c r="BG25" s="303">
        <f t="shared" si="7"/>
        <v>0.28409090909090912</v>
      </c>
      <c r="BH25" s="303">
        <f t="shared" si="7"/>
        <v>0.28409090909090912</v>
      </c>
      <c r="BI25" s="303">
        <f t="shared" si="7"/>
        <v>0.28409090909090912</v>
      </c>
      <c r="BJ25" s="303">
        <f t="shared" si="7"/>
        <v>0.28409090909090912</v>
      </c>
      <c r="BK25" s="303">
        <f t="shared" si="7"/>
        <v>0.28409090909090912</v>
      </c>
      <c r="BL25" s="303">
        <f t="shared" si="7"/>
        <v>0.28409090909090912</v>
      </c>
      <c r="BM25" s="303">
        <f t="shared" si="7"/>
        <v>0.28409090909090912</v>
      </c>
      <c r="BN25" s="303">
        <f t="shared" si="7"/>
        <v>0.28409090909090912</v>
      </c>
      <c r="BO25" s="303">
        <f t="shared" si="7"/>
        <v>0.28409090909090912</v>
      </c>
      <c r="BP25" s="303">
        <f t="shared" si="7"/>
        <v>0.28409090909090912</v>
      </c>
      <c r="BQ25" s="303">
        <f t="shared" si="7"/>
        <v>0.28409090909090912</v>
      </c>
      <c r="BR25" s="303">
        <f t="shared" si="7"/>
        <v>0.28409090909090912</v>
      </c>
      <c r="BS25" s="303">
        <f t="shared" si="7"/>
        <v>0.28409090909090912</v>
      </c>
      <c r="BT25" s="303">
        <f t="shared" si="7"/>
        <v>0.28409090909090912</v>
      </c>
      <c r="BU25" s="303">
        <f t="shared" si="7"/>
        <v>0.28409090909090912</v>
      </c>
      <c r="BV25" s="303">
        <f t="shared" si="7"/>
        <v>0.28409090909090912</v>
      </c>
      <c r="BW25" s="303">
        <f t="shared" si="7"/>
        <v>0.28409090909090912</v>
      </c>
      <c r="BX25" s="303">
        <f t="shared" si="7"/>
        <v>0.28409090909090912</v>
      </c>
      <c r="BY25" s="303">
        <f t="shared" si="7"/>
        <v>0.28409090909090912</v>
      </c>
      <c r="BZ25" s="303">
        <f t="shared" si="7"/>
        <v>0.28409090909090912</v>
      </c>
      <c r="CA25" s="303">
        <f t="shared" si="7"/>
        <v>0.28409090909090912</v>
      </c>
      <c r="CB25" s="303">
        <f t="shared" si="7"/>
        <v>0.28409090909090912</v>
      </c>
      <c r="CC25" s="303">
        <f t="shared" si="7"/>
        <v>0.28409090909090912</v>
      </c>
      <c r="CD25" s="303">
        <f t="shared" si="7"/>
        <v>0.28409090909090912</v>
      </c>
      <c r="CE25" s="303">
        <f t="shared" si="7"/>
        <v>0.28409090909090912</v>
      </c>
      <c r="CF25" s="303">
        <f t="shared" si="7"/>
        <v>0.28409090909090912</v>
      </c>
      <c r="CG25" s="303">
        <f t="shared" si="7"/>
        <v>0.28409090909090912</v>
      </c>
      <c r="CH25" s="303">
        <f t="shared" si="7"/>
        <v>0.28409090909090912</v>
      </c>
      <c r="CI25" s="303">
        <f t="shared" si="7"/>
        <v>0.28409090909090912</v>
      </c>
      <c r="CJ25" s="303">
        <f t="shared" si="7"/>
        <v>0.28409090909090912</v>
      </c>
      <c r="CK25" s="303">
        <f t="shared" si="7"/>
        <v>0.28409090909090912</v>
      </c>
      <c r="CL25" s="303">
        <f t="shared" si="7"/>
        <v>0.28409090909090912</v>
      </c>
      <c r="CM25" s="303">
        <f t="shared" si="7"/>
        <v>0.28409090909090912</v>
      </c>
      <c r="CN25" s="303">
        <f t="shared" si="7"/>
        <v>0.28409090909090912</v>
      </c>
      <c r="CO25" s="303">
        <f t="shared" si="7"/>
        <v>0.28409090909090912</v>
      </c>
      <c r="CP25" s="303">
        <f t="shared" si="7"/>
        <v>0.28409090909090912</v>
      </c>
      <c r="CQ25" s="303">
        <f t="shared" si="7"/>
        <v>0.28409090909090912</v>
      </c>
      <c r="CR25" s="303">
        <f t="shared" si="7"/>
        <v>0.28409090909090912</v>
      </c>
      <c r="CS25" s="303">
        <f t="shared" si="7"/>
        <v>0.28409090909090912</v>
      </c>
      <c r="CT25" s="303">
        <f t="shared" si="7"/>
        <v>0.28409090909090912</v>
      </c>
      <c r="CU25" s="303">
        <f t="shared" si="7"/>
        <v>0.28409090909090912</v>
      </c>
      <c r="CV25" s="303">
        <f t="shared" si="7"/>
        <v>0.28409090909090912</v>
      </c>
      <c r="CW25" s="303">
        <f t="shared" si="7"/>
        <v>0.28409090909090912</v>
      </c>
      <c r="CX25" s="303">
        <f t="shared" si="7"/>
        <v>0.28409090909090912</v>
      </c>
      <c r="CY25" s="303">
        <f t="shared" si="7"/>
        <v>0.28409090909090912</v>
      </c>
      <c r="CZ25" s="303">
        <f t="shared" si="7"/>
        <v>0.28409090909090912</v>
      </c>
      <c r="DA25" s="303">
        <f t="shared" si="7"/>
        <v>0.28409090909090912</v>
      </c>
      <c r="DB25" s="303">
        <f t="shared" si="7"/>
        <v>0.28409090909090912</v>
      </c>
      <c r="DC25" s="303">
        <f t="shared" si="7"/>
        <v>0.28409090909090912</v>
      </c>
      <c r="DD25" s="303">
        <f t="shared" si="7"/>
        <v>0.28409090909090912</v>
      </c>
      <c r="DE25" s="303">
        <f t="shared" si="7"/>
        <v>0.28409090909090912</v>
      </c>
      <c r="DF25" s="303"/>
      <c r="DG25" s="303"/>
      <c r="DH25" s="303"/>
      <c r="DI25" s="303"/>
      <c r="DJ25" s="303"/>
      <c r="DK25" s="303"/>
      <c r="DL25" s="303"/>
    </row>
    <row r="26" spans="1:116" ht="15.75" customHeight="1" outlineLevel="1" x14ac:dyDescent="0.25">
      <c r="A26" s="751"/>
      <c r="B26" s="751"/>
      <c r="C26" s="278" t="s">
        <v>233</v>
      </c>
      <c r="D26" s="279" t="s">
        <v>204</v>
      </c>
      <c r="E26" s="280" t="s">
        <v>234</v>
      </c>
      <c r="F26" s="279"/>
      <c r="G26" s="279"/>
      <c r="H26" s="300">
        <f t="shared" ref="H26:DE26" si="8">(0.08*10)*H16</f>
        <v>19.272000000000002</v>
      </c>
      <c r="I26" s="301">
        <f t="shared" si="8"/>
        <v>19.368359999999999</v>
      </c>
      <c r="J26" s="301">
        <f t="shared" si="8"/>
        <v>19.465201799999999</v>
      </c>
      <c r="K26" s="301">
        <f t="shared" si="8"/>
        <v>19.562527808999999</v>
      </c>
      <c r="L26" s="301">
        <f t="shared" si="8"/>
        <v>19.660340448044991</v>
      </c>
      <c r="M26" s="301">
        <f t="shared" si="8"/>
        <v>19.758642150285215</v>
      </c>
      <c r="N26" s="301">
        <f t="shared" si="8"/>
        <v>19.857435361036639</v>
      </c>
      <c r="O26" s="301">
        <f t="shared" si="8"/>
        <v>19.95672253784182</v>
      </c>
      <c r="P26" s="301">
        <f t="shared" si="8"/>
        <v>20.056506150531028</v>
      </c>
      <c r="Q26" s="301">
        <f t="shared" si="8"/>
        <v>20.156788681283683</v>
      </c>
      <c r="R26" s="301">
        <f t="shared" si="8"/>
        <v>20.257572624690098</v>
      </c>
      <c r="S26" s="301">
        <f t="shared" si="8"/>
        <v>20.358860487813544</v>
      </c>
      <c r="T26" s="301">
        <f t="shared" si="8"/>
        <v>20.460654790252612</v>
      </c>
      <c r="U26" s="301">
        <f t="shared" si="8"/>
        <v>20.562958064203873</v>
      </c>
      <c r="V26" s="301">
        <f t="shared" si="8"/>
        <v>20.665772854524889</v>
      </c>
      <c r="W26" s="301">
        <f t="shared" si="8"/>
        <v>20.769101718797511</v>
      </c>
      <c r="X26" s="301">
        <f t="shared" si="8"/>
        <v>20.872947227391496</v>
      </c>
      <c r="Y26" s="301">
        <f t="shared" si="8"/>
        <v>20.97731196352845</v>
      </c>
      <c r="Z26" s="301">
        <f t="shared" si="8"/>
        <v>21.08219852334609</v>
      </c>
      <c r="AA26" s="301">
        <f t="shared" si="8"/>
        <v>21.187609515962819</v>
      </c>
      <c r="AB26" s="301">
        <f t="shared" si="8"/>
        <v>21.293547563542631</v>
      </c>
      <c r="AC26" s="301">
        <f t="shared" si="8"/>
        <v>21.400015301360344</v>
      </c>
      <c r="AD26" s="301">
        <f t="shared" si="8"/>
        <v>21.507015377867145</v>
      </c>
      <c r="AE26" s="301">
        <f t="shared" si="8"/>
        <v>21.614550454756479</v>
      </c>
      <c r="AF26" s="301">
        <f t="shared" si="8"/>
        <v>21.722623207030257</v>
      </c>
      <c r="AG26" s="301">
        <f t="shared" si="8"/>
        <v>21.831236323065404</v>
      </c>
      <c r="AH26" s="301">
        <f t="shared" si="8"/>
        <v>21.94039250468073</v>
      </c>
      <c r="AI26" s="301">
        <f t="shared" si="8"/>
        <v>21.94039250468073</v>
      </c>
      <c r="AJ26" s="301">
        <f t="shared" si="8"/>
        <v>21.94039250468073</v>
      </c>
      <c r="AK26" s="301">
        <f t="shared" si="8"/>
        <v>21.94039250468073</v>
      </c>
      <c r="AL26" s="301">
        <f t="shared" si="8"/>
        <v>21.94039250468073</v>
      </c>
      <c r="AM26" s="301">
        <f t="shared" si="8"/>
        <v>21.94039250468073</v>
      </c>
      <c r="AN26" s="301">
        <f t="shared" si="8"/>
        <v>21.94039250468073</v>
      </c>
      <c r="AO26" s="301">
        <f t="shared" si="8"/>
        <v>21.94039250468073</v>
      </c>
      <c r="AP26" s="301">
        <f t="shared" si="8"/>
        <v>21.94039250468073</v>
      </c>
      <c r="AQ26" s="301">
        <f t="shared" si="8"/>
        <v>21.94039250468073</v>
      </c>
      <c r="AR26" s="301">
        <f t="shared" si="8"/>
        <v>21.94039250468073</v>
      </c>
      <c r="AS26" s="301">
        <f t="shared" si="8"/>
        <v>21.94039250468073</v>
      </c>
      <c r="AT26" s="301">
        <f t="shared" si="8"/>
        <v>21.94039250468073</v>
      </c>
      <c r="AU26" s="301">
        <f t="shared" si="8"/>
        <v>21.94039250468073</v>
      </c>
      <c r="AV26" s="301">
        <f t="shared" si="8"/>
        <v>21.94039250468073</v>
      </c>
      <c r="AW26" s="301">
        <f t="shared" si="8"/>
        <v>21.94039250468073</v>
      </c>
      <c r="AX26" s="301">
        <f t="shared" si="8"/>
        <v>21.94039250468073</v>
      </c>
      <c r="AY26" s="301">
        <f t="shared" si="8"/>
        <v>21.94039250468073</v>
      </c>
      <c r="AZ26" s="301">
        <f t="shared" si="8"/>
        <v>21.94039250468073</v>
      </c>
      <c r="BA26" s="301">
        <f t="shared" si="8"/>
        <v>21.94039250468073</v>
      </c>
      <c r="BB26" s="301">
        <f t="shared" si="8"/>
        <v>21.94039250468073</v>
      </c>
      <c r="BC26" s="301">
        <f t="shared" si="8"/>
        <v>21.94039250468073</v>
      </c>
      <c r="BD26" s="301">
        <f t="shared" si="8"/>
        <v>21.94039250468073</v>
      </c>
      <c r="BE26" s="301">
        <f t="shared" si="8"/>
        <v>21.94039250468073</v>
      </c>
      <c r="BF26" s="301">
        <f t="shared" si="8"/>
        <v>21.94039250468073</v>
      </c>
      <c r="BG26" s="301">
        <f t="shared" si="8"/>
        <v>21.94039250468073</v>
      </c>
      <c r="BH26" s="301">
        <f t="shared" si="8"/>
        <v>21.94039250468073</v>
      </c>
      <c r="BI26" s="301">
        <f t="shared" si="8"/>
        <v>21.94039250468073</v>
      </c>
      <c r="BJ26" s="301">
        <f t="shared" si="8"/>
        <v>21.94039250468073</v>
      </c>
      <c r="BK26" s="301">
        <f t="shared" si="8"/>
        <v>21.94039250468073</v>
      </c>
      <c r="BL26" s="301">
        <f t="shared" si="8"/>
        <v>21.94039250468073</v>
      </c>
      <c r="BM26" s="301">
        <f t="shared" si="8"/>
        <v>21.94039250468073</v>
      </c>
      <c r="BN26" s="301">
        <f t="shared" si="8"/>
        <v>21.94039250468073</v>
      </c>
      <c r="BO26" s="301">
        <f t="shared" si="8"/>
        <v>21.94039250468073</v>
      </c>
      <c r="BP26" s="301">
        <f t="shared" si="8"/>
        <v>21.94039250468073</v>
      </c>
      <c r="BQ26" s="301">
        <f t="shared" si="8"/>
        <v>21.94039250468073</v>
      </c>
      <c r="BR26" s="301">
        <f t="shared" si="8"/>
        <v>21.94039250468073</v>
      </c>
      <c r="BS26" s="301">
        <f t="shared" si="8"/>
        <v>21.94039250468073</v>
      </c>
      <c r="BT26" s="301">
        <f t="shared" si="8"/>
        <v>21.94039250468073</v>
      </c>
      <c r="BU26" s="301">
        <f t="shared" si="8"/>
        <v>21.94039250468073</v>
      </c>
      <c r="BV26" s="301">
        <f t="shared" si="8"/>
        <v>21.94039250468073</v>
      </c>
      <c r="BW26" s="301">
        <f t="shared" si="8"/>
        <v>21.94039250468073</v>
      </c>
      <c r="BX26" s="301">
        <f t="shared" si="8"/>
        <v>21.94039250468073</v>
      </c>
      <c r="BY26" s="301">
        <f t="shared" si="8"/>
        <v>21.94039250468073</v>
      </c>
      <c r="BZ26" s="301">
        <f t="shared" si="8"/>
        <v>21.94039250468073</v>
      </c>
      <c r="CA26" s="301">
        <f t="shared" si="8"/>
        <v>21.94039250468073</v>
      </c>
      <c r="CB26" s="301">
        <f t="shared" si="8"/>
        <v>21.94039250468073</v>
      </c>
      <c r="CC26" s="301">
        <f t="shared" si="8"/>
        <v>21.94039250468073</v>
      </c>
      <c r="CD26" s="301">
        <f t="shared" si="8"/>
        <v>21.94039250468073</v>
      </c>
      <c r="CE26" s="301">
        <f t="shared" si="8"/>
        <v>21.94039250468073</v>
      </c>
      <c r="CF26" s="301">
        <f t="shared" si="8"/>
        <v>21.94039250468073</v>
      </c>
      <c r="CG26" s="301">
        <f t="shared" si="8"/>
        <v>21.94039250468073</v>
      </c>
      <c r="CH26" s="301">
        <f t="shared" si="8"/>
        <v>21.94039250468073</v>
      </c>
      <c r="CI26" s="301">
        <f t="shared" si="8"/>
        <v>21.94039250468073</v>
      </c>
      <c r="CJ26" s="301">
        <f t="shared" si="8"/>
        <v>21.94039250468073</v>
      </c>
      <c r="CK26" s="301">
        <f t="shared" si="8"/>
        <v>21.94039250468073</v>
      </c>
      <c r="CL26" s="301">
        <f t="shared" si="8"/>
        <v>21.94039250468073</v>
      </c>
      <c r="CM26" s="301">
        <f t="shared" si="8"/>
        <v>21.94039250468073</v>
      </c>
      <c r="CN26" s="301">
        <f t="shared" si="8"/>
        <v>21.94039250468073</v>
      </c>
      <c r="CO26" s="301">
        <f t="shared" si="8"/>
        <v>21.94039250468073</v>
      </c>
      <c r="CP26" s="301">
        <f t="shared" si="8"/>
        <v>21.94039250468073</v>
      </c>
      <c r="CQ26" s="301">
        <f t="shared" si="8"/>
        <v>21.94039250468073</v>
      </c>
      <c r="CR26" s="301">
        <f t="shared" si="8"/>
        <v>21.94039250468073</v>
      </c>
      <c r="CS26" s="301">
        <f t="shared" si="8"/>
        <v>21.94039250468073</v>
      </c>
      <c r="CT26" s="301">
        <f t="shared" si="8"/>
        <v>21.94039250468073</v>
      </c>
      <c r="CU26" s="301">
        <f t="shared" si="8"/>
        <v>21.94039250468073</v>
      </c>
      <c r="CV26" s="301">
        <f t="shared" si="8"/>
        <v>21.94039250468073</v>
      </c>
      <c r="CW26" s="301">
        <f t="shared" si="8"/>
        <v>21.94039250468073</v>
      </c>
      <c r="CX26" s="301">
        <f t="shared" si="8"/>
        <v>21.94039250468073</v>
      </c>
      <c r="CY26" s="301">
        <f t="shared" si="8"/>
        <v>21.94039250468073</v>
      </c>
      <c r="CZ26" s="301">
        <f t="shared" si="8"/>
        <v>21.94039250468073</v>
      </c>
      <c r="DA26" s="301">
        <f t="shared" si="8"/>
        <v>21.94039250468073</v>
      </c>
      <c r="DB26" s="301">
        <f t="shared" si="8"/>
        <v>21.94039250468073</v>
      </c>
      <c r="DC26" s="301">
        <f t="shared" si="8"/>
        <v>21.94039250468073</v>
      </c>
      <c r="DD26" s="301">
        <f t="shared" si="8"/>
        <v>21.94039250468073</v>
      </c>
      <c r="DE26" s="301">
        <f t="shared" si="8"/>
        <v>21.94039250468073</v>
      </c>
      <c r="DF26" s="301"/>
      <c r="DG26" s="301"/>
      <c r="DH26" s="301"/>
      <c r="DI26" s="301"/>
      <c r="DJ26" s="301"/>
      <c r="DK26" s="301"/>
      <c r="DL26" s="301"/>
    </row>
    <row r="27" spans="1:116" ht="15.75" customHeight="1" outlineLevel="1" x14ac:dyDescent="0.25">
      <c r="A27" s="751"/>
      <c r="B27" s="751"/>
      <c r="C27" s="304" t="s">
        <v>235</v>
      </c>
      <c r="D27" s="279" t="s">
        <v>221</v>
      </c>
      <c r="E27" s="305" t="s">
        <v>236</v>
      </c>
      <c r="F27" s="280" t="s">
        <v>237</v>
      </c>
      <c r="G27" s="306">
        <f>17000/1324</f>
        <v>12.839879154078551</v>
      </c>
      <c r="H27" s="307">
        <f t="shared" ref="H27:I27" si="9">H25</f>
        <v>0.28409090909090912</v>
      </c>
      <c r="I27" s="303">
        <f t="shared" si="9"/>
        <v>0.28409090909090912</v>
      </c>
      <c r="J27" s="303">
        <v>0</v>
      </c>
      <c r="K27" s="303">
        <v>0</v>
      </c>
      <c r="L27" s="303">
        <v>0</v>
      </c>
      <c r="M27" s="303">
        <v>0</v>
      </c>
      <c r="N27" s="303">
        <v>0</v>
      </c>
      <c r="O27" s="303">
        <v>0</v>
      </c>
      <c r="P27" s="303">
        <v>0</v>
      </c>
      <c r="Q27" s="303">
        <v>0</v>
      </c>
      <c r="R27" s="303">
        <v>0</v>
      </c>
      <c r="S27" s="303">
        <v>0</v>
      </c>
      <c r="T27" s="303">
        <v>0</v>
      </c>
      <c r="U27" s="303">
        <v>0</v>
      </c>
      <c r="V27" s="308">
        <f>V25</f>
        <v>0.28409090909090912</v>
      </c>
      <c r="W27" s="303">
        <v>0</v>
      </c>
      <c r="X27" s="303">
        <v>0</v>
      </c>
      <c r="Y27" s="303">
        <v>0</v>
      </c>
      <c r="Z27" s="303">
        <v>0</v>
      </c>
      <c r="AA27" s="303">
        <v>0</v>
      </c>
      <c r="AB27" s="303">
        <v>0</v>
      </c>
      <c r="AC27" s="303">
        <v>0</v>
      </c>
      <c r="AD27" s="303">
        <v>0</v>
      </c>
      <c r="AE27" s="303">
        <v>0</v>
      </c>
      <c r="AF27" s="303">
        <v>0</v>
      </c>
      <c r="AG27" s="303">
        <v>0</v>
      </c>
      <c r="AH27" s="303">
        <v>0</v>
      </c>
      <c r="AI27" s="308">
        <f>AI25</f>
        <v>0.28409090909090912</v>
      </c>
      <c r="AJ27" s="303">
        <v>0</v>
      </c>
      <c r="AK27" s="303">
        <v>0</v>
      </c>
      <c r="AL27" s="303">
        <v>0</v>
      </c>
      <c r="AM27" s="303">
        <v>0</v>
      </c>
      <c r="AN27" s="303">
        <v>0</v>
      </c>
      <c r="AO27" s="303">
        <v>0</v>
      </c>
      <c r="AP27" s="303">
        <v>0</v>
      </c>
      <c r="AQ27" s="303">
        <v>0</v>
      </c>
      <c r="AR27" s="303">
        <v>0</v>
      </c>
      <c r="AS27" s="303">
        <v>0</v>
      </c>
      <c r="AT27" s="303">
        <v>0</v>
      </c>
      <c r="AU27" s="303">
        <v>0</v>
      </c>
      <c r="AV27" s="308">
        <f>AV25</f>
        <v>0.28409090909090912</v>
      </c>
      <c r="AW27" s="303">
        <v>0</v>
      </c>
      <c r="AX27" s="303">
        <v>0</v>
      </c>
      <c r="AY27" s="303">
        <v>0</v>
      </c>
      <c r="AZ27" s="303">
        <v>0</v>
      </c>
      <c r="BA27" s="303">
        <v>0</v>
      </c>
      <c r="BB27" s="303">
        <v>0</v>
      </c>
      <c r="BC27" s="303">
        <v>0</v>
      </c>
      <c r="BD27" s="303">
        <v>0</v>
      </c>
      <c r="BE27" s="303">
        <v>0</v>
      </c>
      <c r="BF27" s="303">
        <v>0</v>
      </c>
      <c r="BG27" s="303">
        <v>0</v>
      </c>
      <c r="BH27" s="303">
        <v>0</v>
      </c>
      <c r="BI27" s="308">
        <f>BI25</f>
        <v>0.28409090909090912</v>
      </c>
      <c r="BJ27" s="303">
        <v>0</v>
      </c>
      <c r="BK27" s="303">
        <v>0</v>
      </c>
      <c r="BL27" s="303">
        <v>0</v>
      </c>
      <c r="BM27" s="303">
        <v>0</v>
      </c>
      <c r="BN27" s="303">
        <v>0</v>
      </c>
      <c r="BO27" s="303">
        <v>0</v>
      </c>
      <c r="BP27" s="303">
        <v>0</v>
      </c>
      <c r="BQ27" s="303">
        <v>0</v>
      </c>
      <c r="BR27" s="303">
        <v>0</v>
      </c>
      <c r="BS27" s="303">
        <v>0</v>
      </c>
      <c r="BT27" s="303">
        <v>0</v>
      </c>
      <c r="BU27" s="303">
        <v>0</v>
      </c>
      <c r="BV27" s="308">
        <f>BV25</f>
        <v>0.28409090909090912</v>
      </c>
      <c r="BW27" s="303">
        <v>0</v>
      </c>
      <c r="BX27" s="303">
        <v>0</v>
      </c>
      <c r="BY27" s="303">
        <v>0</v>
      </c>
      <c r="BZ27" s="303">
        <v>0</v>
      </c>
      <c r="CA27" s="303">
        <v>0</v>
      </c>
      <c r="CB27" s="303">
        <v>0</v>
      </c>
      <c r="CC27" s="303">
        <v>0</v>
      </c>
      <c r="CD27" s="303">
        <v>0</v>
      </c>
      <c r="CE27" s="303">
        <v>0</v>
      </c>
      <c r="CF27" s="303">
        <v>0</v>
      </c>
      <c r="CG27" s="303">
        <v>0</v>
      </c>
      <c r="CH27" s="303">
        <v>0</v>
      </c>
      <c r="CI27" s="308">
        <f>CI25</f>
        <v>0.28409090909090912</v>
      </c>
      <c r="CJ27" s="303">
        <v>0</v>
      </c>
      <c r="CK27" s="303">
        <v>0</v>
      </c>
      <c r="CL27" s="303">
        <v>0</v>
      </c>
      <c r="CM27" s="303">
        <v>0</v>
      </c>
      <c r="CN27" s="303">
        <v>0</v>
      </c>
      <c r="CO27" s="303">
        <v>0</v>
      </c>
      <c r="CP27" s="303">
        <v>0</v>
      </c>
      <c r="CQ27" s="303">
        <v>0</v>
      </c>
      <c r="CR27" s="303">
        <v>0</v>
      </c>
      <c r="CS27" s="303">
        <v>0</v>
      </c>
      <c r="CT27" s="303">
        <v>0</v>
      </c>
      <c r="CU27" s="303">
        <v>0</v>
      </c>
      <c r="CV27" s="308">
        <f>CV25</f>
        <v>0.28409090909090912</v>
      </c>
      <c r="CW27" s="303">
        <v>0</v>
      </c>
      <c r="CX27" s="303">
        <v>0</v>
      </c>
      <c r="CY27" s="303">
        <v>0</v>
      </c>
      <c r="CZ27" s="303">
        <v>0</v>
      </c>
      <c r="DA27" s="303">
        <v>0</v>
      </c>
      <c r="DB27" s="303">
        <v>0</v>
      </c>
      <c r="DC27" s="303">
        <v>0</v>
      </c>
      <c r="DD27" s="303">
        <v>0</v>
      </c>
      <c r="DE27" s="303">
        <v>0</v>
      </c>
      <c r="DF27" s="309"/>
      <c r="DG27" s="309"/>
      <c r="DH27" s="309"/>
      <c r="DI27" s="309"/>
      <c r="DJ27" s="309"/>
      <c r="DK27" s="309"/>
      <c r="DL27" s="309"/>
    </row>
    <row r="28" spans="1:116" ht="15.75" customHeight="1" outlineLevel="1" x14ac:dyDescent="0.25">
      <c r="A28" s="751"/>
      <c r="B28" s="751"/>
      <c r="C28" s="278" t="s">
        <v>238</v>
      </c>
      <c r="D28" s="279" t="s">
        <v>239</v>
      </c>
      <c r="E28" s="280" t="s">
        <v>240</v>
      </c>
      <c r="F28" s="280"/>
      <c r="G28" s="310"/>
      <c r="H28" s="300">
        <f>('Unit Costs and Indicators'!$B$47)</f>
        <v>158620</v>
      </c>
      <c r="I28" s="301">
        <f>('Unit Costs and Indicators'!$B$47)</f>
        <v>158620</v>
      </c>
      <c r="J28" s="301">
        <f>('Unit Costs and Indicators'!$B$47)</f>
        <v>158620</v>
      </c>
      <c r="K28" s="301">
        <f>('Unit Costs and Indicators'!$B$47)</f>
        <v>158620</v>
      </c>
      <c r="L28" s="301">
        <f>('Unit Costs and Indicators'!$B$47)</f>
        <v>158620</v>
      </c>
      <c r="M28" s="301">
        <f>('Unit Costs and Indicators'!$B$47)</f>
        <v>158620</v>
      </c>
      <c r="N28" s="301">
        <f>('Unit Costs and Indicators'!$B$47)</f>
        <v>158620</v>
      </c>
      <c r="O28" s="301">
        <f>('Unit Costs and Indicators'!$B$47)</f>
        <v>158620</v>
      </c>
      <c r="P28" s="301">
        <f>('Unit Costs and Indicators'!$B$47)</f>
        <v>158620</v>
      </c>
      <c r="Q28" s="301">
        <f>('Unit Costs and Indicators'!$B$47)</f>
        <v>158620</v>
      </c>
      <c r="R28" s="301">
        <f>('Unit Costs and Indicators'!$B$47)</f>
        <v>158620</v>
      </c>
      <c r="S28" s="301">
        <f>('Unit Costs and Indicators'!$B$47)</f>
        <v>158620</v>
      </c>
      <c r="T28" s="301">
        <f>('Unit Costs and Indicators'!$B$47)</f>
        <v>158620</v>
      </c>
      <c r="U28" s="301">
        <f>('Unit Costs and Indicators'!$B$47)</f>
        <v>158620</v>
      </c>
      <c r="V28" s="301">
        <f>('Unit Costs and Indicators'!$B$47)</f>
        <v>158620</v>
      </c>
      <c r="W28" s="301">
        <f>('Unit Costs and Indicators'!$B$47)</f>
        <v>158620</v>
      </c>
      <c r="X28" s="301">
        <f>('Unit Costs and Indicators'!$B$47)</f>
        <v>158620</v>
      </c>
      <c r="Y28" s="301">
        <f>('Unit Costs and Indicators'!$B$47)</f>
        <v>158620</v>
      </c>
      <c r="Z28" s="301">
        <f>('Unit Costs and Indicators'!$B$47)</f>
        <v>158620</v>
      </c>
      <c r="AA28" s="301">
        <f>('Unit Costs and Indicators'!$B$47)</f>
        <v>158620</v>
      </c>
      <c r="AB28" s="301">
        <f>('Unit Costs and Indicators'!$B$47)</f>
        <v>158620</v>
      </c>
      <c r="AC28" s="301">
        <f>('Unit Costs and Indicators'!$B$47)</f>
        <v>158620</v>
      </c>
      <c r="AD28" s="301">
        <f>('Unit Costs and Indicators'!$B$47)</f>
        <v>158620</v>
      </c>
      <c r="AE28" s="301">
        <f>('Unit Costs and Indicators'!$B$47)</f>
        <v>158620</v>
      </c>
      <c r="AF28" s="301">
        <f>('Unit Costs and Indicators'!$B$47)</f>
        <v>158620</v>
      </c>
      <c r="AG28" s="301">
        <f>('Unit Costs and Indicators'!$B$47)</f>
        <v>158620</v>
      </c>
      <c r="AH28" s="301">
        <f>('Unit Costs and Indicators'!$B$47)</f>
        <v>158620</v>
      </c>
      <c r="AI28" s="301">
        <f>('Unit Costs and Indicators'!$B$47)</f>
        <v>158620</v>
      </c>
      <c r="AJ28" s="301">
        <f>('Unit Costs and Indicators'!$B$47)</f>
        <v>158620</v>
      </c>
      <c r="AK28" s="301">
        <f>('Unit Costs and Indicators'!$B$47)</f>
        <v>158620</v>
      </c>
      <c r="AL28" s="301">
        <f>('Unit Costs and Indicators'!$B$47)</f>
        <v>158620</v>
      </c>
      <c r="AM28" s="301">
        <f>('Unit Costs and Indicators'!$B$47)</f>
        <v>158620</v>
      </c>
      <c r="AN28" s="301">
        <f>('Unit Costs and Indicators'!$B$47)</f>
        <v>158620</v>
      </c>
      <c r="AO28" s="301">
        <f>('Unit Costs and Indicators'!$B$47)</f>
        <v>158620</v>
      </c>
      <c r="AP28" s="301">
        <f>('Unit Costs and Indicators'!$B$47)</f>
        <v>158620</v>
      </c>
      <c r="AQ28" s="301">
        <f>('Unit Costs and Indicators'!$B$47)</f>
        <v>158620</v>
      </c>
      <c r="AR28" s="301">
        <f>('Unit Costs and Indicators'!$B$47)</f>
        <v>158620</v>
      </c>
      <c r="AS28" s="301">
        <f>('Unit Costs and Indicators'!$B$47)</f>
        <v>158620</v>
      </c>
      <c r="AT28" s="301">
        <f>('Unit Costs and Indicators'!$B$47)</f>
        <v>158620</v>
      </c>
      <c r="AU28" s="301">
        <f>('Unit Costs and Indicators'!$B$47)</f>
        <v>158620</v>
      </c>
      <c r="AV28" s="301">
        <f>('Unit Costs and Indicators'!$B$47)</f>
        <v>158620</v>
      </c>
      <c r="AW28" s="301">
        <f>('Unit Costs and Indicators'!$B$47)</f>
        <v>158620</v>
      </c>
      <c r="AX28" s="301">
        <f>('Unit Costs and Indicators'!$B$47)</f>
        <v>158620</v>
      </c>
      <c r="AY28" s="301">
        <f>('Unit Costs and Indicators'!$B$47)</f>
        <v>158620</v>
      </c>
      <c r="AZ28" s="301">
        <f>('Unit Costs and Indicators'!$B$47)</f>
        <v>158620</v>
      </c>
      <c r="BA28" s="301">
        <f>('Unit Costs and Indicators'!$B$47)</f>
        <v>158620</v>
      </c>
      <c r="BB28" s="301">
        <f>('Unit Costs and Indicators'!$B$47)</f>
        <v>158620</v>
      </c>
      <c r="BC28" s="301">
        <f>('Unit Costs and Indicators'!$B$47)</f>
        <v>158620</v>
      </c>
      <c r="BD28" s="301">
        <f>('Unit Costs and Indicators'!$B$47)</f>
        <v>158620</v>
      </c>
      <c r="BE28" s="301">
        <f>('Unit Costs and Indicators'!$B$47)</f>
        <v>158620</v>
      </c>
      <c r="BF28" s="301">
        <f>('Unit Costs and Indicators'!$B$47)</f>
        <v>158620</v>
      </c>
      <c r="BG28" s="301">
        <f>('Unit Costs and Indicators'!$B$47)</f>
        <v>158620</v>
      </c>
      <c r="BH28" s="301">
        <f>('Unit Costs and Indicators'!$B$47)</f>
        <v>158620</v>
      </c>
      <c r="BI28" s="301">
        <f>('Unit Costs and Indicators'!$B$47)</f>
        <v>158620</v>
      </c>
      <c r="BJ28" s="301">
        <f>('Unit Costs and Indicators'!$B$47)</f>
        <v>158620</v>
      </c>
      <c r="BK28" s="301">
        <f>('Unit Costs and Indicators'!$B$47)</f>
        <v>158620</v>
      </c>
      <c r="BL28" s="301">
        <f>('Unit Costs and Indicators'!$B$47)</f>
        <v>158620</v>
      </c>
      <c r="BM28" s="301">
        <f>('Unit Costs and Indicators'!$B$47)</f>
        <v>158620</v>
      </c>
      <c r="BN28" s="301">
        <f>('Unit Costs and Indicators'!$B$47)</f>
        <v>158620</v>
      </c>
      <c r="BO28" s="301">
        <f>('Unit Costs and Indicators'!$B$47)</f>
        <v>158620</v>
      </c>
      <c r="BP28" s="301">
        <f>('Unit Costs and Indicators'!$B$47)</f>
        <v>158620</v>
      </c>
      <c r="BQ28" s="301">
        <f>('Unit Costs and Indicators'!$B$47)</f>
        <v>158620</v>
      </c>
      <c r="BR28" s="301">
        <f>('Unit Costs and Indicators'!$B$47)</f>
        <v>158620</v>
      </c>
      <c r="BS28" s="301">
        <f>('Unit Costs and Indicators'!$B$47)</f>
        <v>158620</v>
      </c>
      <c r="BT28" s="301">
        <f>('Unit Costs and Indicators'!$B$47)</f>
        <v>158620</v>
      </c>
      <c r="BU28" s="301">
        <f>('Unit Costs and Indicators'!$B$47)</f>
        <v>158620</v>
      </c>
      <c r="BV28" s="301">
        <f>('Unit Costs and Indicators'!$B$47)</f>
        <v>158620</v>
      </c>
      <c r="BW28" s="301">
        <f>('Unit Costs and Indicators'!$B$47)</f>
        <v>158620</v>
      </c>
      <c r="BX28" s="301">
        <f>('Unit Costs and Indicators'!$B$47)</f>
        <v>158620</v>
      </c>
      <c r="BY28" s="301">
        <f>('Unit Costs and Indicators'!$B$47)</f>
        <v>158620</v>
      </c>
      <c r="BZ28" s="301">
        <f>('Unit Costs and Indicators'!$B$47)</f>
        <v>158620</v>
      </c>
      <c r="CA28" s="301">
        <f>('Unit Costs and Indicators'!$B$47)</f>
        <v>158620</v>
      </c>
      <c r="CB28" s="301">
        <f>('Unit Costs and Indicators'!$B$47)</f>
        <v>158620</v>
      </c>
      <c r="CC28" s="301">
        <f>('Unit Costs and Indicators'!$B$47)</f>
        <v>158620</v>
      </c>
      <c r="CD28" s="301">
        <f>('Unit Costs and Indicators'!$B$47)</f>
        <v>158620</v>
      </c>
      <c r="CE28" s="301">
        <f>('Unit Costs and Indicators'!$B$47)</f>
        <v>158620</v>
      </c>
      <c r="CF28" s="301">
        <f>('Unit Costs and Indicators'!$B$47)</f>
        <v>158620</v>
      </c>
      <c r="CG28" s="301">
        <f>('Unit Costs and Indicators'!$B$47)</f>
        <v>158620</v>
      </c>
      <c r="CH28" s="301">
        <f>('Unit Costs and Indicators'!$B$47)</f>
        <v>158620</v>
      </c>
      <c r="CI28" s="301">
        <f>('Unit Costs and Indicators'!$B$47)</f>
        <v>158620</v>
      </c>
      <c r="CJ28" s="301">
        <f>('Unit Costs and Indicators'!$B$47)</f>
        <v>158620</v>
      </c>
      <c r="CK28" s="301">
        <f>('Unit Costs and Indicators'!$B$47)</f>
        <v>158620</v>
      </c>
      <c r="CL28" s="301">
        <f>('Unit Costs and Indicators'!$B$47)</f>
        <v>158620</v>
      </c>
      <c r="CM28" s="301">
        <f>('Unit Costs and Indicators'!$B$47)</f>
        <v>158620</v>
      </c>
      <c r="CN28" s="301">
        <f>('Unit Costs and Indicators'!$B$47)</f>
        <v>158620</v>
      </c>
      <c r="CO28" s="301">
        <f>('Unit Costs and Indicators'!$B$47)</f>
        <v>158620</v>
      </c>
      <c r="CP28" s="301">
        <f>('Unit Costs and Indicators'!$B$47)</f>
        <v>158620</v>
      </c>
      <c r="CQ28" s="301">
        <f>('Unit Costs and Indicators'!$B$47)</f>
        <v>158620</v>
      </c>
      <c r="CR28" s="301">
        <f>('Unit Costs and Indicators'!$B$47)</f>
        <v>158620</v>
      </c>
      <c r="CS28" s="301">
        <f>('Unit Costs and Indicators'!$B$47)</f>
        <v>158620</v>
      </c>
      <c r="CT28" s="301">
        <f>('Unit Costs and Indicators'!$B$47)</f>
        <v>158620</v>
      </c>
      <c r="CU28" s="301">
        <f>('Unit Costs and Indicators'!$B$47)</f>
        <v>158620</v>
      </c>
      <c r="CV28" s="301">
        <f>('Unit Costs and Indicators'!$B$47)</f>
        <v>158620</v>
      </c>
      <c r="CW28" s="301">
        <f>('Unit Costs and Indicators'!$B$47)</f>
        <v>158620</v>
      </c>
      <c r="CX28" s="301">
        <f>('Unit Costs and Indicators'!$B$47)</f>
        <v>158620</v>
      </c>
      <c r="CY28" s="301">
        <f>('Unit Costs and Indicators'!$B$47)</f>
        <v>158620</v>
      </c>
      <c r="CZ28" s="301">
        <f>('Unit Costs and Indicators'!$B$47)</f>
        <v>158620</v>
      </c>
      <c r="DA28" s="301">
        <f>('Unit Costs and Indicators'!$B$47)</f>
        <v>158620</v>
      </c>
      <c r="DB28" s="301">
        <f>('Unit Costs and Indicators'!$B$47)</f>
        <v>158620</v>
      </c>
      <c r="DC28" s="301">
        <f>('Unit Costs and Indicators'!$B$47)</f>
        <v>158620</v>
      </c>
      <c r="DD28" s="301">
        <f>('Unit Costs and Indicators'!$B$47)</f>
        <v>158620</v>
      </c>
      <c r="DE28" s="301">
        <f>('Unit Costs and Indicators'!$B$47)</f>
        <v>158620</v>
      </c>
      <c r="DF28" s="301"/>
      <c r="DG28" s="301"/>
      <c r="DH28" s="301"/>
      <c r="DI28" s="301"/>
      <c r="DJ28" s="301"/>
      <c r="DK28" s="301"/>
      <c r="DL28" s="301"/>
    </row>
    <row r="29" spans="1:116" ht="15.75" customHeight="1" outlineLevel="1" x14ac:dyDescent="0.25">
      <c r="A29" s="751"/>
      <c r="B29" s="751"/>
      <c r="C29" s="278" t="s">
        <v>241</v>
      </c>
      <c r="D29" s="279"/>
      <c r="E29" s="280" t="s">
        <v>242</v>
      </c>
      <c r="F29" s="280"/>
      <c r="G29" s="310"/>
      <c r="H29" s="311">
        <f>H146*'Unit Costs and Indicators'!$L$10*H123</f>
        <v>7.1455256067836731E-2</v>
      </c>
      <c r="I29" s="311">
        <f>I146*'Unit Costs and Indicators'!$L$10*I123</f>
        <v>7.1455256067836731E-2</v>
      </c>
      <c r="J29" s="311">
        <f>J146*'Unit Costs and Indicators'!$L$10*J123</f>
        <v>7.1455256067836731E-2</v>
      </c>
      <c r="K29" s="311">
        <f>K146*'Unit Costs and Indicators'!$L$10*K123</f>
        <v>7.1455256067836731E-2</v>
      </c>
      <c r="L29" s="311">
        <f>L146*'Unit Costs and Indicators'!$L$10*L123</f>
        <v>7.1455256067836731E-2</v>
      </c>
      <c r="M29" s="311">
        <f>M146*'Unit Costs and Indicators'!$L$10*M123</f>
        <v>7.1455256067836731E-2</v>
      </c>
      <c r="N29" s="311">
        <f>N146*'Unit Costs and Indicators'!$L$10*N123</f>
        <v>7.1455256067836731E-2</v>
      </c>
      <c r="O29" s="311">
        <f>O146*'Unit Costs and Indicators'!$L$10*O123</f>
        <v>7.1455256067836731E-2</v>
      </c>
      <c r="P29" s="311">
        <f>P146*'Unit Costs and Indicators'!$L$10*P123</f>
        <v>7.1455256067836731E-2</v>
      </c>
      <c r="Q29" s="311">
        <f>Q146*'Unit Costs and Indicators'!$L$10*Q123</f>
        <v>7.1455256067836731E-2</v>
      </c>
      <c r="R29" s="311">
        <f>R146*'Unit Costs and Indicators'!$L$10*R123</f>
        <v>7.1455256067836731E-2</v>
      </c>
      <c r="S29" s="311">
        <f>S146*'Unit Costs and Indicators'!$L$10*S123</f>
        <v>7.1455256067836731E-2</v>
      </c>
      <c r="T29" s="311">
        <f>T146*'Unit Costs and Indicators'!$L$10*T123</f>
        <v>7.1455256067836731E-2</v>
      </c>
      <c r="U29" s="311">
        <f>U146*'Unit Costs and Indicators'!$L$10*U123</f>
        <v>7.1455256067836731E-2</v>
      </c>
      <c r="V29" s="311">
        <f>V146*'Unit Costs and Indicators'!$L$10*V123</f>
        <v>7.1455256067836731E-2</v>
      </c>
      <c r="W29" s="311">
        <f>W146*'Unit Costs and Indicators'!$L$10*W123</f>
        <v>7.1455256067836731E-2</v>
      </c>
      <c r="X29" s="311">
        <f>X146*'Unit Costs and Indicators'!$L$10*X123</f>
        <v>7.1455256067836731E-2</v>
      </c>
      <c r="Y29" s="311">
        <f>Y146*'Unit Costs and Indicators'!$L$10*Y123</f>
        <v>7.1455256067836731E-2</v>
      </c>
      <c r="Z29" s="311">
        <f>Z146*'Unit Costs and Indicators'!$L$10*Z123</f>
        <v>7.1455256067836731E-2</v>
      </c>
      <c r="AA29" s="311">
        <f>AA146*'Unit Costs and Indicators'!$L$10*AA123</f>
        <v>7.1455256067836731E-2</v>
      </c>
      <c r="AB29" s="311">
        <f>AB146*'Unit Costs and Indicators'!$L$10*AB123</f>
        <v>7.1455256067836731E-2</v>
      </c>
      <c r="AC29" s="311">
        <f>AC146*'Unit Costs and Indicators'!$L$10*AC123</f>
        <v>7.1455256067836731E-2</v>
      </c>
      <c r="AD29" s="311">
        <f>AD146*'Unit Costs and Indicators'!$L$10*AD123</f>
        <v>7.1455256067836731E-2</v>
      </c>
      <c r="AE29" s="311">
        <f>AE146*'Unit Costs and Indicators'!$L$10*AE123</f>
        <v>7.1455256067836731E-2</v>
      </c>
      <c r="AF29" s="311">
        <f>AF146*'Unit Costs and Indicators'!$L$10*AF123</f>
        <v>7.1455256067836731E-2</v>
      </c>
      <c r="AG29" s="311">
        <f>AG146*'Unit Costs and Indicators'!$L$10*AG123</f>
        <v>7.1455256067836731E-2</v>
      </c>
      <c r="AH29" s="311">
        <f>AH146*'Unit Costs and Indicators'!$L$10*AH123</f>
        <v>7.1455256067836731E-2</v>
      </c>
      <c r="AI29" s="311">
        <f>AI146*'Unit Costs and Indicators'!$L$10*AI123</f>
        <v>7.1455256067836731E-2</v>
      </c>
      <c r="AJ29" s="311">
        <f>AJ146*'Unit Costs and Indicators'!$L$10*AJ123</f>
        <v>7.1455256067836731E-2</v>
      </c>
      <c r="AK29" s="311">
        <f>AK146*'Unit Costs and Indicators'!$L$10*AK123</f>
        <v>7.1455256067836731E-2</v>
      </c>
      <c r="AL29" s="311">
        <f>AL146*'Unit Costs and Indicators'!$L$10*AL123</f>
        <v>7.1455256067836731E-2</v>
      </c>
      <c r="AM29" s="311">
        <f>AM146*'Unit Costs and Indicators'!$L$10*AM123</f>
        <v>7.1455256067836731E-2</v>
      </c>
      <c r="AN29" s="311">
        <f>AN146*'Unit Costs and Indicators'!$L$10*AN123</f>
        <v>7.1455256067836731E-2</v>
      </c>
      <c r="AO29" s="311">
        <f>AO146*'Unit Costs and Indicators'!$L$10*AO123</f>
        <v>7.1455256067836731E-2</v>
      </c>
      <c r="AP29" s="311">
        <f>AP146*'Unit Costs and Indicators'!$L$10*AP123</f>
        <v>7.1455256067836731E-2</v>
      </c>
      <c r="AQ29" s="311">
        <f>AQ146*'Unit Costs and Indicators'!$L$10*AQ123</f>
        <v>7.1455256067836731E-2</v>
      </c>
      <c r="AR29" s="311">
        <f>AR146*'Unit Costs and Indicators'!$L$10*AR123</f>
        <v>7.1455256067836731E-2</v>
      </c>
      <c r="AS29" s="311">
        <f>AS146*'Unit Costs and Indicators'!$L$10*AS123</f>
        <v>7.1455256067836731E-2</v>
      </c>
      <c r="AT29" s="311">
        <f>AT146*'Unit Costs and Indicators'!$L$10*AT123</f>
        <v>7.1455256067836731E-2</v>
      </c>
      <c r="AU29" s="311">
        <f>AU146*'Unit Costs and Indicators'!$L$10*AU123</f>
        <v>7.1455256067836731E-2</v>
      </c>
      <c r="AV29" s="311">
        <f>AV146*'Unit Costs and Indicators'!$L$10*AV123</f>
        <v>7.1455256067836731E-2</v>
      </c>
      <c r="AW29" s="311">
        <f>AW146*'Unit Costs and Indicators'!$L$10*AW123</f>
        <v>7.1455256067836731E-2</v>
      </c>
      <c r="AX29" s="311">
        <f>AX146*'Unit Costs and Indicators'!$L$10*AX123</f>
        <v>7.1455256067836731E-2</v>
      </c>
      <c r="AY29" s="311">
        <f>AY146*'Unit Costs and Indicators'!$L$10*AY123</f>
        <v>7.1455256067836731E-2</v>
      </c>
      <c r="AZ29" s="311">
        <f>AZ146*'Unit Costs and Indicators'!$L$10*AZ123</f>
        <v>7.1455256067836731E-2</v>
      </c>
      <c r="BA29" s="311">
        <f>BA146*'Unit Costs and Indicators'!$L$10*BA123</f>
        <v>7.1455256067836731E-2</v>
      </c>
      <c r="BB29" s="311">
        <f>BB146*'Unit Costs and Indicators'!$L$10*BB123</f>
        <v>7.1455256067836731E-2</v>
      </c>
      <c r="BC29" s="311">
        <f>BC146*'Unit Costs and Indicators'!$L$10*BC123</f>
        <v>7.1455256067836731E-2</v>
      </c>
      <c r="BD29" s="311">
        <f>BD146*'Unit Costs and Indicators'!$L$10*BD123</f>
        <v>7.1455256067836731E-2</v>
      </c>
      <c r="BE29" s="311">
        <f>BE146*'Unit Costs and Indicators'!$L$10*BE123</f>
        <v>7.1455256067836731E-2</v>
      </c>
      <c r="BF29" s="311">
        <f>BF146*'Unit Costs and Indicators'!$L$10*BF123</f>
        <v>7.1455256067836731E-2</v>
      </c>
      <c r="BG29" s="311">
        <f>BG146*'Unit Costs and Indicators'!$L$10*BG123</f>
        <v>7.1455256067836731E-2</v>
      </c>
      <c r="BH29" s="311">
        <f>BH146*'Unit Costs and Indicators'!$L$10*BH123</f>
        <v>7.1455256067836731E-2</v>
      </c>
      <c r="BI29" s="311">
        <f>BI146*'Unit Costs and Indicators'!$L$10*BI123</f>
        <v>7.1455256067836731E-2</v>
      </c>
      <c r="BJ29" s="311">
        <f>BJ146*'Unit Costs and Indicators'!$L$10*BJ123</f>
        <v>7.1455256067836731E-2</v>
      </c>
      <c r="BK29" s="311">
        <f>BK146*'Unit Costs and Indicators'!$L$10*BK123</f>
        <v>7.1455256067836731E-2</v>
      </c>
      <c r="BL29" s="311">
        <f>BL146*'Unit Costs and Indicators'!$L$10*BL123</f>
        <v>7.1455256067836731E-2</v>
      </c>
      <c r="BM29" s="311">
        <f>BM146*'Unit Costs and Indicators'!$L$10*BM123</f>
        <v>7.1455256067836731E-2</v>
      </c>
      <c r="BN29" s="311">
        <f>BN146*'Unit Costs and Indicators'!$L$10*BN123</f>
        <v>7.1455256067836731E-2</v>
      </c>
      <c r="BO29" s="311">
        <f>BO146*'Unit Costs and Indicators'!$L$10*BO123</f>
        <v>7.1455256067836731E-2</v>
      </c>
      <c r="BP29" s="311">
        <f>BP146*'Unit Costs and Indicators'!$L$10*BP123</f>
        <v>7.1455256067836731E-2</v>
      </c>
      <c r="BQ29" s="311">
        <f>BQ146*'Unit Costs and Indicators'!$L$10*BQ123</f>
        <v>7.1455256067836731E-2</v>
      </c>
      <c r="BR29" s="311">
        <f>BR146*'Unit Costs and Indicators'!$L$10*BR123</f>
        <v>7.1455256067836731E-2</v>
      </c>
      <c r="BS29" s="311">
        <f>BS146*'Unit Costs and Indicators'!$L$10*BS123</f>
        <v>7.1455256067836731E-2</v>
      </c>
      <c r="BT29" s="311">
        <f>BT146*'Unit Costs and Indicators'!$L$10*BT123</f>
        <v>7.1455256067836731E-2</v>
      </c>
      <c r="BU29" s="311">
        <f>BU146*'Unit Costs and Indicators'!$L$10*BU123</f>
        <v>7.1455256067836731E-2</v>
      </c>
      <c r="BV29" s="311">
        <f>BV146*'Unit Costs and Indicators'!$L$10*BV123</f>
        <v>7.1455256067836731E-2</v>
      </c>
      <c r="BW29" s="311">
        <f>BW146*'Unit Costs and Indicators'!$L$10*BW123</f>
        <v>7.1455256067836731E-2</v>
      </c>
      <c r="BX29" s="311">
        <f>BX146*'Unit Costs and Indicators'!$L$10*BX123</f>
        <v>7.1455256067836731E-2</v>
      </c>
      <c r="BY29" s="311">
        <f>BY146*'Unit Costs and Indicators'!$L$10*BY123</f>
        <v>7.1455256067836731E-2</v>
      </c>
      <c r="BZ29" s="311">
        <f>BZ146*'Unit Costs and Indicators'!$L$10*BZ123</f>
        <v>7.1455256067836731E-2</v>
      </c>
      <c r="CA29" s="311">
        <f>CA146*'Unit Costs and Indicators'!$L$10*CA123</f>
        <v>7.1455256067836731E-2</v>
      </c>
      <c r="CB29" s="311">
        <f>CB146*'Unit Costs and Indicators'!$L$10*CB123</f>
        <v>7.1455256067836731E-2</v>
      </c>
      <c r="CC29" s="311">
        <f>CC146*'Unit Costs and Indicators'!$L$10*CC123</f>
        <v>7.1455256067836731E-2</v>
      </c>
      <c r="CD29" s="311">
        <f>CD146*'Unit Costs and Indicators'!$L$10*CD123</f>
        <v>7.1455256067836731E-2</v>
      </c>
      <c r="CE29" s="311">
        <f>CE146*'Unit Costs and Indicators'!$L$10*CE123</f>
        <v>7.1455256067836731E-2</v>
      </c>
      <c r="CF29" s="311">
        <f>CF146*'Unit Costs and Indicators'!$L$10*CF123</f>
        <v>7.1455256067836731E-2</v>
      </c>
      <c r="CG29" s="311">
        <f>CG146*'Unit Costs and Indicators'!$L$10*CG123</f>
        <v>7.1455256067836731E-2</v>
      </c>
      <c r="CH29" s="311">
        <f>CH146*'Unit Costs and Indicators'!$L$10*CH123</f>
        <v>7.1455256067836731E-2</v>
      </c>
      <c r="CI29" s="311">
        <f>CI146*'Unit Costs and Indicators'!$L$10*CI123</f>
        <v>7.1455256067836731E-2</v>
      </c>
      <c r="CJ29" s="311">
        <f>CJ146*'Unit Costs and Indicators'!$L$10*CJ123</f>
        <v>7.1455256067836731E-2</v>
      </c>
      <c r="CK29" s="311">
        <f>CK146*'Unit Costs and Indicators'!$L$10*CK123</f>
        <v>7.1455256067836731E-2</v>
      </c>
      <c r="CL29" s="311">
        <f>CL146*'Unit Costs and Indicators'!$L$10*CL123</f>
        <v>7.1455256067836731E-2</v>
      </c>
      <c r="CM29" s="311">
        <f>CM146*'Unit Costs and Indicators'!$L$10*CM123</f>
        <v>7.1455256067836731E-2</v>
      </c>
      <c r="CN29" s="311">
        <f>CN146*'Unit Costs and Indicators'!$L$10*CN123</f>
        <v>7.1455256067836731E-2</v>
      </c>
      <c r="CO29" s="311">
        <f>CO146*'Unit Costs and Indicators'!$L$10*CO123</f>
        <v>7.1455256067836731E-2</v>
      </c>
      <c r="CP29" s="311">
        <f>CP146*'Unit Costs and Indicators'!$L$10*CP123</f>
        <v>7.1455256067836731E-2</v>
      </c>
      <c r="CQ29" s="311">
        <f>CQ146*'Unit Costs and Indicators'!$L$10*CQ123</f>
        <v>7.1455256067836731E-2</v>
      </c>
      <c r="CR29" s="311">
        <f>CR146*'Unit Costs and Indicators'!$L$10*CR123</f>
        <v>7.1455256067836731E-2</v>
      </c>
      <c r="CS29" s="311">
        <f>CS146*'Unit Costs and Indicators'!$L$10*CS123</f>
        <v>7.1455256067836731E-2</v>
      </c>
      <c r="CT29" s="311">
        <f>CT146*'Unit Costs and Indicators'!$L$10*CT123</f>
        <v>7.1455256067836731E-2</v>
      </c>
      <c r="CU29" s="311">
        <f>CU146*'Unit Costs and Indicators'!$L$10*CU123</f>
        <v>7.1455256067836731E-2</v>
      </c>
      <c r="CV29" s="311">
        <f>CV146*'Unit Costs and Indicators'!$L$10*CV123</f>
        <v>7.1455256067836731E-2</v>
      </c>
      <c r="CW29" s="311">
        <f>CW146*'Unit Costs and Indicators'!$L$10*CW123</f>
        <v>7.1455256067836731E-2</v>
      </c>
      <c r="CX29" s="311">
        <f>CX146*'Unit Costs and Indicators'!$L$10*CX123</f>
        <v>7.1455256067836731E-2</v>
      </c>
      <c r="CY29" s="311">
        <f>CY146*'Unit Costs and Indicators'!$L$10*CY123</f>
        <v>7.1455256067836731E-2</v>
      </c>
      <c r="CZ29" s="311">
        <f>CZ146*'Unit Costs and Indicators'!$L$10*CZ123</f>
        <v>7.1455256067836731E-2</v>
      </c>
      <c r="DA29" s="311">
        <f>DA146*'Unit Costs and Indicators'!$L$10*DA123</f>
        <v>7.1455256067836731E-2</v>
      </c>
      <c r="DB29" s="311">
        <f>DB146*'Unit Costs and Indicators'!$L$10*DB123</f>
        <v>7.1455256067836731E-2</v>
      </c>
      <c r="DC29" s="311">
        <f>DC146*'Unit Costs and Indicators'!$L$10*DC123</f>
        <v>7.1455256067836731E-2</v>
      </c>
      <c r="DD29" s="311">
        <f>DD146*'Unit Costs and Indicators'!$L$10*DD123</f>
        <v>7.1455256067836731E-2</v>
      </c>
      <c r="DE29" s="311">
        <f>DE146*'Unit Costs and Indicators'!$L$10*DE123</f>
        <v>7.1455256067836731E-2</v>
      </c>
      <c r="DF29" s="312"/>
      <c r="DG29" s="312"/>
      <c r="DH29" s="312"/>
      <c r="DI29" s="312"/>
      <c r="DJ29" s="312"/>
      <c r="DK29" s="312"/>
      <c r="DL29" s="312"/>
    </row>
    <row r="30" spans="1:116" ht="15.75" customHeight="1" outlineLevel="1" x14ac:dyDescent="0.25">
      <c r="A30" s="751"/>
      <c r="B30" s="751"/>
      <c r="C30" s="278" t="s">
        <v>243</v>
      </c>
      <c r="D30" s="279"/>
      <c r="E30" s="280" t="s">
        <v>234</v>
      </c>
      <c r="F30" s="280"/>
      <c r="G30" s="310"/>
      <c r="H30" s="313">
        <f>(2050+(938*1.87))*(1 + 2%)^3</f>
        <v>4036.8989044800001</v>
      </c>
      <c r="I30" s="296">
        <f t="shared" ref="I30:DE30" si="10">H30</f>
        <v>4036.8989044800001</v>
      </c>
      <c r="J30" s="296">
        <f t="shared" si="10"/>
        <v>4036.8989044800001</v>
      </c>
      <c r="K30" s="296">
        <f t="shared" si="10"/>
        <v>4036.8989044800001</v>
      </c>
      <c r="L30" s="296">
        <f t="shared" si="10"/>
        <v>4036.8989044800001</v>
      </c>
      <c r="M30" s="296">
        <f t="shared" si="10"/>
        <v>4036.8989044800001</v>
      </c>
      <c r="N30" s="296">
        <f t="shared" si="10"/>
        <v>4036.8989044800001</v>
      </c>
      <c r="O30" s="296">
        <f t="shared" si="10"/>
        <v>4036.8989044800001</v>
      </c>
      <c r="P30" s="296">
        <f t="shared" si="10"/>
        <v>4036.8989044800001</v>
      </c>
      <c r="Q30" s="296">
        <f t="shared" si="10"/>
        <v>4036.8989044800001</v>
      </c>
      <c r="R30" s="296">
        <f t="shared" si="10"/>
        <v>4036.8989044800001</v>
      </c>
      <c r="S30" s="296">
        <f t="shared" si="10"/>
        <v>4036.8989044800001</v>
      </c>
      <c r="T30" s="296">
        <f t="shared" si="10"/>
        <v>4036.8989044800001</v>
      </c>
      <c r="U30" s="296">
        <f t="shared" si="10"/>
        <v>4036.8989044800001</v>
      </c>
      <c r="V30" s="296">
        <f t="shared" si="10"/>
        <v>4036.8989044800001</v>
      </c>
      <c r="W30" s="296">
        <f t="shared" si="10"/>
        <v>4036.8989044800001</v>
      </c>
      <c r="X30" s="296">
        <f t="shared" si="10"/>
        <v>4036.8989044800001</v>
      </c>
      <c r="Y30" s="296">
        <f t="shared" si="10"/>
        <v>4036.8989044800001</v>
      </c>
      <c r="Z30" s="296">
        <f t="shared" si="10"/>
        <v>4036.8989044800001</v>
      </c>
      <c r="AA30" s="296">
        <f t="shared" si="10"/>
        <v>4036.8989044800001</v>
      </c>
      <c r="AB30" s="296">
        <f t="shared" si="10"/>
        <v>4036.8989044800001</v>
      </c>
      <c r="AC30" s="296">
        <f t="shared" si="10"/>
        <v>4036.8989044800001</v>
      </c>
      <c r="AD30" s="296">
        <f t="shared" si="10"/>
        <v>4036.8989044800001</v>
      </c>
      <c r="AE30" s="296">
        <f t="shared" si="10"/>
        <v>4036.8989044800001</v>
      </c>
      <c r="AF30" s="296">
        <f t="shared" si="10"/>
        <v>4036.8989044800001</v>
      </c>
      <c r="AG30" s="296">
        <f t="shared" si="10"/>
        <v>4036.8989044800001</v>
      </c>
      <c r="AH30" s="296">
        <f t="shared" si="10"/>
        <v>4036.8989044800001</v>
      </c>
      <c r="AI30" s="296">
        <f t="shared" si="10"/>
        <v>4036.8989044800001</v>
      </c>
      <c r="AJ30" s="296">
        <f t="shared" si="10"/>
        <v>4036.8989044800001</v>
      </c>
      <c r="AK30" s="296">
        <f t="shared" si="10"/>
        <v>4036.8989044800001</v>
      </c>
      <c r="AL30" s="296">
        <f t="shared" si="10"/>
        <v>4036.8989044800001</v>
      </c>
      <c r="AM30" s="296">
        <f t="shared" si="10"/>
        <v>4036.8989044800001</v>
      </c>
      <c r="AN30" s="296">
        <f t="shared" si="10"/>
        <v>4036.8989044800001</v>
      </c>
      <c r="AO30" s="296">
        <f t="shared" si="10"/>
        <v>4036.8989044800001</v>
      </c>
      <c r="AP30" s="296">
        <f t="shared" si="10"/>
        <v>4036.8989044800001</v>
      </c>
      <c r="AQ30" s="296">
        <f t="shared" si="10"/>
        <v>4036.8989044800001</v>
      </c>
      <c r="AR30" s="296">
        <f t="shared" si="10"/>
        <v>4036.8989044800001</v>
      </c>
      <c r="AS30" s="296">
        <f t="shared" si="10"/>
        <v>4036.8989044800001</v>
      </c>
      <c r="AT30" s="296">
        <f t="shared" si="10"/>
        <v>4036.8989044800001</v>
      </c>
      <c r="AU30" s="296">
        <f t="shared" si="10"/>
        <v>4036.8989044800001</v>
      </c>
      <c r="AV30" s="296">
        <f t="shared" si="10"/>
        <v>4036.8989044800001</v>
      </c>
      <c r="AW30" s="296">
        <f t="shared" si="10"/>
        <v>4036.8989044800001</v>
      </c>
      <c r="AX30" s="296">
        <f t="shared" si="10"/>
        <v>4036.8989044800001</v>
      </c>
      <c r="AY30" s="296">
        <f t="shared" si="10"/>
        <v>4036.8989044800001</v>
      </c>
      <c r="AZ30" s="296">
        <f t="shared" si="10"/>
        <v>4036.8989044800001</v>
      </c>
      <c r="BA30" s="296">
        <f t="shared" si="10"/>
        <v>4036.8989044800001</v>
      </c>
      <c r="BB30" s="296">
        <f t="shared" si="10"/>
        <v>4036.8989044800001</v>
      </c>
      <c r="BC30" s="296">
        <f t="shared" si="10"/>
        <v>4036.8989044800001</v>
      </c>
      <c r="BD30" s="296">
        <f t="shared" si="10"/>
        <v>4036.8989044800001</v>
      </c>
      <c r="BE30" s="296">
        <f t="shared" si="10"/>
        <v>4036.8989044800001</v>
      </c>
      <c r="BF30" s="296">
        <f t="shared" si="10"/>
        <v>4036.8989044800001</v>
      </c>
      <c r="BG30" s="296">
        <f t="shared" si="10"/>
        <v>4036.8989044800001</v>
      </c>
      <c r="BH30" s="296">
        <f t="shared" si="10"/>
        <v>4036.8989044800001</v>
      </c>
      <c r="BI30" s="296">
        <f t="shared" si="10"/>
        <v>4036.8989044800001</v>
      </c>
      <c r="BJ30" s="296">
        <f t="shared" si="10"/>
        <v>4036.8989044800001</v>
      </c>
      <c r="BK30" s="296">
        <f t="shared" si="10"/>
        <v>4036.8989044800001</v>
      </c>
      <c r="BL30" s="296">
        <f t="shared" si="10"/>
        <v>4036.8989044800001</v>
      </c>
      <c r="BM30" s="296">
        <f t="shared" si="10"/>
        <v>4036.8989044800001</v>
      </c>
      <c r="BN30" s="296">
        <f t="shared" si="10"/>
        <v>4036.8989044800001</v>
      </c>
      <c r="BO30" s="296">
        <f t="shared" si="10"/>
        <v>4036.8989044800001</v>
      </c>
      <c r="BP30" s="296">
        <f t="shared" si="10"/>
        <v>4036.8989044800001</v>
      </c>
      <c r="BQ30" s="296">
        <f t="shared" si="10"/>
        <v>4036.8989044800001</v>
      </c>
      <c r="BR30" s="296">
        <f t="shared" si="10"/>
        <v>4036.8989044800001</v>
      </c>
      <c r="BS30" s="296">
        <f t="shared" si="10"/>
        <v>4036.8989044800001</v>
      </c>
      <c r="BT30" s="296">
        <f t="shared" si="10"/>
        <v>4036.8989044800001</v>
      </c>
      <c r="BU30" s="296">
        <f t="shared" si="10"/>
        <v>4036.8989044800001</v>
      </c>
      <c r="BV30" s="296">
        <f t="shared" si="10"/>
        <v>4036.8989044800001</v>
      </c>
      <c r="BW30" s="296">
        <f t="shared" si="10"/>
        <v>4036.8989044800001</v>
      </c>
      <c r="BX30" s="296">
        <f t="shared" si="10"/>
        <v>4036.8989044800001</v>
      </c>
      <c r="BY30" s="296">
        <f t="shared" si="10"/>
        <v>4036.8989044800001</v>
      </c>
      <c r="BZ30" s="296">
        <f t="shared" si="10"/>
        <v>4036.8989044800001</v>
      </c>
      <c r="CA30" s="296">
        <f t="shared" si="10"/>
        <v>4036.8989044800001</v>
      </c>
      <c r="CB30" s="296">
        <f t="shared" si="10"/>
        <v>4036.8989044800001</v>
      </c>
      <c r="CC30" s="296">
        <f t="shared" si="10"/>
        <v>4036.8989044800001</v>
      </c>
      <c r="CD30" s="296">
        <f t="shared" si="10"/>
        <v>4036.8989044800001</v>
      </c>
      <c r="CE30" s="296">
        <f t="shared" si="10"/>
        <v>4036.8989044800001</v>
      </c>
      <c r="CF30" s="296">
        <f t="shared" si="10"/>
        <v>4036.8989044800001</v>
      </c>
      <c r="CG30" s="296">
        <f t="shared" si="10"/>
        <v>4036.8989044800001</v>
      </c>
      <c r="CH30" s="296">
        <f t="shared" si="10"/>
        <v>4036.8989044800001</v>
      </c>
      <c r="CI30" s="296">
        <f t="shared" si="10"/>
        <v>4036.8989044800001</v>
      </c>
      <c r="CJ30" s="296">
        <f t="shared" si="10"/>
        <v>4036.8989044800001</v>
      </c>
      <c r="CK30" s="296">
        <f t="shared" si="10"/>
        <v>4036.8989044800001</v>
      </c>
      <c r="CL30" s="296">
        <f t="shared" si="10"/>
        <v>4036.8989044800001</v>
      </c>
      <c r="CM30" s="296">
        <f t="shared" si="10"/>
        <v>4036.8989044800001</v>
      </c>
      <c r="CN30" s="296">
        <f t="shared" si="10"/>
        <v>4036.8989044800001</v>
      </c>
      <c r="CO30" s="296">
        <f t="shared" si="10"/>
        <v>4036.8989044800001</v>
      </c>
      <c r="CP30" s="296">
        <f t="shared" si="10"/>
        <v>4036.8989044800001</v>
      </c>
      <c r="CQ30" s="296">
        <f t="shared" si="10"/>
        <v>4036.8989044800001</v>
      </c>
      <c r="CR30" s="296">
        <f t="shared" si="10"/>
        <v>4036.8989044800001</v>
      </c>
      <c r="CS30" s="296">
        <f t="shared" si="10"/>
        <v>4036.8989044800001</v>
      </c>
      <c r="CT30" s="296">
        <f t="shared" si="10"/>
        <v>4036.8989044800001</v>
      </c>
      <c r="CU30" s="296">
        <f t="shared" si="10"/>
        <v>4036.8989044800001</v>
      </c>
      <c r="CV30" s="296">
        <f t="shared" si="10"/>
        <v>4036.8989044800001</v>
      </c>
      <c r="CW30" s="296">
        <f t="shared" si="10"/>
        <v>4036.8989044800001</v>
      </c>
      <c r="CX30" s="296">
        <f t="shared" si="10"/>
        <v>4036.8989044800001</v>
      </c>
      <c r="CY30" s="296">
        <f t="shared" si="10"/>
        <v>4036.8989044800001</v>
      </c>
      <c r="CZ30" s="296">
        <f t="shared" si="10"/>
        <v>4036.8989044800001</v>
      </c>
      <c r="DA30" s="296">
        <f t="shared" si="10"/>
        <v>4036.8989044800001</v>
      </c>
      <c r="DB30" s="296">
        <f t="shared" si="10"/>
        <v>4036.8989044800001</v>
      </c>
      <c r="DC30" s="296">
        <f t="shared" si="10"/>
        <v>4036.8989044800001</v>
      </c>
      <c r="DD30" s="296">
        <f t="shared" si="10"/>
        <v>4036.8989044800001</v>
      </c>
      <c r="DE30" s="296">
        <f t="shared" si="10"/>
        <v>4036.8989044800001</v>
      </c>
      <c r="DF30" s="296"/>
      <c r="DG30" s="296"/>
      <c r="DH30" s="296"/>
      <c r="DI30" s="296"/>
      <c r="DJ30" s="296"/>
      <c r="DK30" s="296"/>
      <c r="DL30" s="296"/>
    </row>
    <row r="31" spans="1:116" ht="15.75" customHeight="1" outlineLevel="1" x14ac:dyDescent="0.25">
      <c r="A31" s="751"/>
      <c r="B31" s="751"/>
      <c r="C31" s="278" t="s">
        <v>244</v>
      </c>
      <c r="D31" s="279"/>
      <c r="E31" s="280" t="s">
        <v>245</v>
      </c>
      <c r="F31" s="280"/>
      <c r="G31" s="310"/>
      <c r="H31" s="300">
        <f>H30*H29</f>
        <v>288.45764493958796</v>
      </c>
      <c r="I31" s="301">
        <f t="shared" ref="I31:DE31" si="11">I30*I29</f>
        <v>288.45764493958796</v>
      </c>
      <c r="J31" s="301">
        <f t="shared" si="11"/>
        <v>288.45764493958796</v>
      </c>
      <c r="K31" s="301">
        <f t="shared" si="11"/>
        <v>288.45764493958796</v>
      </c>
      <c r="L31" s="301">
        <f t="shared" si="11"/>
        <v>288.45764493958796</v>
      </c>
      <c r="M31" s="301">
        <f t="shared" si="11"/>
        <v>288.45764493958796</v>
      </c>
      <c r="N31" s="301">
        <f t="shared" si="11"/>
        <v>288.45764493958796</v>
      </c>
      <c r="O31" s="301">
        <f t="shared" si="11"/>
        <v>288.45764493958796</v>
      </c>
      <c r="P31" s="301">
        <f t="shared" si="11"/>
        <v>288.45764493958796</v>
      </c>
      <c r="Q31" s="301">
        <f t="shared" si="11"/>
        <v>288.45764493958796</v>
      </c>
      <c r="R31" s="301">
        <f t="shared" si="11"/>
        <v>288.45764493958796</v>
      </c>
      <c r="S31" s="301">
        <f t="shared" si="11"/>
        <v>288.45764493958796</v>
      </c>
      <c r="T31" s="301">
        <f t="shared" si="11"/>
        <v>288.45764493958796</v>
      </c>
      <c r="U31" s="301">
        <f t="shared" si="11"/>
        <v>288.45764493958796</v>
      </c>
      <c r="V31" s="301">
        <f t="shared" si="11"/>
        <v>288.45764493958796</v>
      </c>
      <c r="W31" s="301">
        <f t="shared" si="11"/>
        <v>288.45764493958796</v>
      </c>
      <c r="X31" s="301">
        <f t="shared" si="11"/>
        <v>288.45764493958796</v>
      </c>
      <c r="Y31" s="301">
        <f t="shared" si="11"/>
        <v>288.45764493958796</v>
      </c>
      <c r="Z31" s="301">
        <f t="shared" si="11"/>
        <v>288.45764493958796</v>
      </c>
      <c r="AA31" s="301">
        <f t="shared" si="11"/>
        <v>288.45764493958796</v>
      </c>
      <c r="AB31" s="301">
        <f t="shared" si="11"/>
        <v>288.45764493958796</v>
      </c>
      <c r="AC31" s="301">
        <f t="shared" si="11"/>
        <v>288.45764493958796</v>
      </c>
      <c r="AD31" s="301">
        <f t="shared" si="11"/>
        <v>288.45764493958796</v>
      </c>
      <c r="AE31" s="301">
        <f t="shared" si="11"/>
        <v>288.45764493958796</v>
      </c>
      <c r="AF31" s="301">
        <f t="shared" si="11"/>
        <v>288.45764493958796</v>
      </c>
      <c r="AG31" s="301">
        <f t="shared" si="11"/>
        <v>288.45764493958796</v>
      </c>
      <c r="AH31" s="301">
        <f t="shared" si="11"/>
        <v>288.45764493958796</v>
      </c>
      <c r="AI31" s="301">
        <f t="shared" si="11"/>
        <v>288.45764493958796</v>
      </c>
      <c r="AJ31" s="301">
        <f t="shared" si="11"/>
        <v>288.45764493958796</v>
      </c>
      <c r="AK31" s="301">
        <f t="shared" si="11"/>
        <v>288.45764493958796</v>
      </c>
      <c r="AL31" s="301">
        <f t="shared" si="11"/>
        <v>288.45764493958796</v>
      </c>
      <c r="AM31" s="301">
        <f t="shared" si="11"/>
        <v>288.45764493958796</v>
      </c>
      <c r="AN31" s="301">
        <f t="shared" si="11"/>
        <v>288.45764493958796</v>
      </c>
      <c r="AO31" s="301">
        <f t="shared" si="11"/>
        <v>288.45764493958796</v>
      </c>
      <c r="AP31" s="301">
        <f t="shared" si="11"/>
        <v>288.45764493958796</v>
      </c>
      <c r="AQ31" s="301">
        <f t="shared" si="11"/>
        <v>288.45764493958796</v>
      </c>
      <c r="AR31" s="301">
        <f t="shared" si="11"/>
        <v>288.45764493958796</v>
      </c>
      <c r="AS31" s="301">
        <f t="shared" si="11"/>
        <v>288.45764493958796</v>
      </c>
      <c r="AT31" s="301">
        <f t="shared" si="11"/>
        <v>288.45764493958796</v>
      </c>
      <c r="AU31" s="301">
        <f t="shared" si="11"/>
        <v>288.45764493958796</v>
      </c>
      <c r="AV31" s="301">
        <f t="shared" si="11"/>
        <v>288.45764493958796</v>
      </c>
      <c r="AW31" s="301">
        <f t="shared" si="11"/>
        <v>288.45764493958796</v>
      </c>
      <c r="AX31" s="301">
        <f t="shared" si="11"/>
        <v>288.45764493958796</v>
      </c>
      <c r="AY31" s="301">
        <f t="shared" si="11"/>
        <v>288.45764493958796</v>
      </c>
      <c r="AZ31" s="301">
        <f t="shared" si="11"/>
        <v>288.45764493958796</v>
      </c>
      <c r="BA31" s="301">
        <f t="shared" si="11"/>
        <v>288.45764493958796</v>
      </c>
      <c r="BB31" s="301">
        <f t="shared" si="11"/>
        <v>288.45764493958796</v>
      </c>
      <c r="BC31" s="301">
        <f t="shared" si="11"/>
        <v>288.45764493958796</v>
      </c>
      <c r="BD31" s="301">
        <f t="shared" si="11"/>
        <v>288.45764493958796</v>
      </c>
      <c r="BE31" s="301">
        <f t="shared" si="11"/>
        <v>288.45764493958796</v>
      </c>
      <c r="BF31" s="301">
        <f t="shared" si="11"/>
        <v>288.45764493958796</v>
      </c>
      <c r="BG31" s="301">
        <f t="shared" si="11"/>
        <v>288.45764493958796</v>
      </c>
      <c r="BH31" s="301">
        <f t="shared" si="11"/>
        <v>288.45764493958796</v>
      </c>
      <c r="BI31" s="301">
        <f t="shared" si="11"/>
        <v>288.45764493958796</v>
      </c>
      <c r="BJ31" s="301">
        <f t="shared" si="11"/>
        <v>288.45764493958796</v>
      </c>
      <c r="BK31" s="301">
        <f t="shared" si="11"/>
        <v>288.45764493958796</v>
      </c>
      <c r="BL31" s="301">
        <f t="shared" si="11"/>
        <v>288.45764493958796</v>
      </c>
      <c r="BM31" s="301">
        <f t="shared" si="11"/>
        <v>288.45764493958796</v>
      </c>
      <c r="BN31" s="301">
        <f t="shared" si="11"/>
        <v>288.45764493958796</v>
      </c>
      <c r="BO31" s="301">
        <f t="shared" si="11"/>
        <v>288.45764493958796</v>
      </c>
      <c r="BP31" s="301">
        <f t="shared" si="11"/>
        <v>288.45764493958796</v>
      </c>
      <c r="BQ31" s="301">
        <f t="shared" si="11"/>
        <v>288.45764493958796</v>
      </c>
      <c r="BR31" s="301">
        <f t="shared" si="11"/>
        <v>288.45764493958796</v>
      </c>
      <c r="BS31" s="301">
        <f t="shared" si="11"/>
        <v>288.45764493958796</v>
      </c>
      <c r="BT31" s="301">
        <f t="shared" si="11"/>
        <v>288.45764493958796</v>
      </c>
      <c r="BU31" s="301">
        <f t="shared" si="11"/>
        <v>288.45764493958796</v>
      </c>
      <c r="BV31" s="301">
        <f t="shared" si="11"/>
        <v>288.45764493958796</v>
      </c>
      <c r="BW31" s="301">
        <f t="shared" si="11"/>
        <v>288.45764493958796</v>
      </c>
      <c r="BX31" s="301">
        <f t="shared" si="11"/>
        <v>288.45764493958796</v>
      </c>
      <c r="BY31" s="301">
        <f t="shared" si="11"/>
        <v>288.45764493958796</v>
      </c>
      <c r="BZ31" s="301">
        <f t="shared" si="11"/>
        <v>288.45764493958796</v>
      </c>
      <c r="CA31" s="301">
        <f t="shared" si="11"/>
        <v>288.45764493958796</v>
      </c>
      <c r="CB31" s="301">
        <f t="shared" si="11"/>
        <v>288.45764493958796</v>
      </c>
      <c r="CC31" s="301">
        <f t="shared" si="11"/>
        <v>288.45764493958796</v>
      </c>
      <c r="CD31" s="301">
        <f t="shared" si="11"/>
        <v>288.45764493958796</v>
      </c>
      <c r="CE31" s="301">
        <f t="shared" si="11"/>
        <v>288.45764493958796</v>
      </c>
      <c r="CF31" s="301">
        <f t="shared" si="11"/>
        <v>288.45764493958796</v>
      </c>
      <c r="CG31" s="301">
        <f t="shared" si="11"/>
        <v>288.45764493958796</v>
      </c>
      <c r="CH31" s="301">
        <f t="shared" si="11"/>
        <v>288.45764493958796</v>
      </c>
      <c r="CI31" s="301">
        <f t="shared" si="11"/>
        <v>288.45764493958796</v>
      </c>
      <c r="CJ31" s="301">
        <f t="shared" si="11"/>
        <v>288.45764493958796</v>
      </c>
      <c r="CK31" s="301">
        <f t="shared" si="11"/>
        <v>288.45764493958796</v>
      </c>
      <c r="CL31" s="301">
        <f t="shared" si="11"/>
        <v>288.45764493958796</v>
      </c>
      <c r="CM31" s="301">
        <f t="shared" si="11"/>
        <v>288.45764493958796</v>
      </c>
      <c r="CN31" s="301">
        <f t="shared" si="11"/>
        <v>288.45764493958796</v>
      </c>
      <c r="CO31" s="301">
        <f t="shared" si="11"/>
        <v>288.45764493958796</v>
      </c>
      <c r="CP31" s="301">
        <f t="shared" si="11"/>
        <v>288.45764493958796</v>
      </c>
      <c r="CQ31" s="301">
        <f t="shared" si="11"/>
        <v>288.45764493958796</v>
      </c>
      <c r="CR31" s="301">
        <f t="shared" si="11"/>
        <v>288.45764493958796</v>
      </c>
      <c r="CS31" s="301">
        <f t="shared" si="11"/>
        <v>288.45764493958796</v>
      </c>
      <c r="CT31" s="301">
        <f t="shared" si="11"/>
        <v>288.45764493958796</v>
      </c>
      <c r="CU31" s="301">
        <f t="shared" si="11"/>
        <v>288.45764493958796</v>
      </c>
      <c r="CV31" s="301">
        <f t="shared" si="11"/>
        <v>288.45764493958796</v>
      </c>
      <c r="CW31" s="301">
        <f t="shared" si="11"/>
        <v>288.45764493958796</v>
      </c>
      <c r="CX31" s="301">
        <f t="shared" si="11"/>
        <v>288.45764493958796</v>
      </c>
      <c r="CY31" s="301">
        <f t="shared" si="11"/>
        <v>288.45764493958796</v>
      </c>
      <c r="CZ31" s="301">
        <f t="shared" si="11"/>
        <v>288.45764493958796</v>
      </c>
      <c r="DA31" s="301">
        <f t="shared" si="11"/>
        <v>288.45764493958796</v>
      </c>
      <c r="DB31" s="301">
        <f t="shared" si="11"/>
        <v>288.45764493958796</v>
      </c>
      <c r="DC31" s="301">
        <f t="shared" si="11"/>
        <v>288.45764493958796</v>
      </c>
      <c r="DD31" s="301">
        <f t="shared" si="11"/>
        <v>288.45764493958796</v>
      </c>
      <c r="DE31" s="301">
        <f t="shared" si="11"/>
        <v>288.45764493958796</v>
      </c>
      <c r="DF31" s="301"/>
      <c r="DG31" s="301"/>
      <c r="DH31" s="301"/>
      <c r="DI31" s="301"/>
      <c r="DJ31" s="301"/>
      <c r="DK31" s="301"/>
      <c r="DL31" s="301"/>
    </row>
    <row r="32" spans="1:116" ht="15" customHeight="1" outlineLevel="1" x14ac:dyDescent="0.25">
      <c r="A32" s="752" t="s">
        <v>246</v>
      </c>
      <c r="B32" s="756"/>
      <c r="C32" s="757"/>
      <c r="D32" s="314" t="s">
        <v>247</v>
      </c>
      <c r="E32" s="315"/>
      <c r="F32" s="316" t="s">
        <v>14</v>
      </c>
      <c r="G32" s="317">
        <f t="array" ref="G32">NPV($D$6, J32:DE32)+I32</f>
        <v>503673.116966767</v>
      </c>
      <c r="H32" s="318"/>
      <c r="I32" s="319">
        <f>((I27*I28)+I24+I26+I30+I31)</f>
        <v>52389.961049419602</v>
      </c>
      <c r="J32" s="319">
        <f t="shared" ref="J32:DE32" si="12">((J27*J28)+J24+J26+J30+J31)*(1 + $D$5)^(J2-$I$2)</f>
        <v>7475.2450033579807</v>
      </c>
      <c r="K32" s="319">
        <f t="shared" si="12"/>
        <v>7626.0156281721847</v>
      </c>
      <c r="L32" s="319">
        <f t="shared" si="12"/>
        <v>7779.833435173824</v>
      </c>
      <c r="M32" s="319">
        <f t="shared" si="12"/>
        <v>7936.7601654258951</v>
      </c>
      <c r="N32" s="319">
        <f t="shared" si="12"/>
        <v>8096.8588148278768</v>
      </c>
      <c r="O32" s="319">
        <f t="shared" si="12"/>
        <v>8260.1936597148451</v>
      </c>
      <c r="P32" s="319">
        <f t="shared" si="12"/>
        <v>8426.830282981171</v>
      </c>
      <c r="Q32" s="319">
        <f t="shared" si="12"/>
        <v>8596.8356007396305</v>
      </c>
      <c r="R32" s="319">
        <f t="shared" si="12"/>
        <v>8770.2778895269421</v>
      </c>
      <c r="S32" s="319">
        <f t="shared" si="12"/>
        <v>8947.2268140669912</v>
      </c>
      <c r="T32" s="319">
        <f t="shared" si="12"/>
        <v>9127.7534556032497</v>
      </c>
      <c r="U32" s="319">
        <f t="shared" si="12"/>
        <v>9311.9303408121359</v>
      </c>
      <c r="V32" s="319">
        <f t="shared" si="12"/>
        <v>67792.980256133436</v>
      </c>
      <c r="W32" s="319">
        <f t="shared" si="12"/>
        <v>9691.5323537606528</v>
      </c>
      <c r="X32" s="319">
        <f t="shared" si="12"/>
        <v>9887.110030612037</v>
      </c>
      <c r="Y32" s="319">
        <f t="shared" si="12"/>
        <v>10086.643111447833</v>
      </c>
      <c r="Z32" s="319">
        <f t="shared" si="12"/>
        <v>10290.211804993955</v>
      </c>
      <c r="AA32" s="319">
        <f t="shared" si="12"/>
        <v>10497.89795177706</v>
      </c>
      <c r="AB32" s="319">
        <f t="shared" si="12"/>
        <v>10709.785057453977</v>
      </c>
      <c r="AC32" s="319">
        <f t="shared" si="12"/>
        <v>10925.958326825132</v>
      </c>
      <c r="AD32" s="319">
        <f t="shared" si="12"/>
        <v>11146.504698546081</v>
      </c>
      <c r="AE32" s="319">
        <f t="shared" si="12"/>
        <v>11371.512880551583</v>
      </c>
      <c r="AF32" s="319">
        <f t="shared" si="12"/>
        <v>11601.073386206857</v>
      </c>
      <c r="AG32" s="319">
        <f t="shared" si="12"/>
        <v>11835.27857120115</v>
      </c>
      <c r="AH32" s="319">
        <f t="shared" si="12"/>
        <v>12074.222671198811</v>
      </c>
      <c r="AI32" s="319">
        <f t="shared" si="12"/>
        <v>87724.110902701024</v>
      </c>
      <c r="AJ32" s="319">
        <f t="shared" si="12"/>
        <v>12562.021267115244</v>
      </c>
      <c r="AK32" s="319">
        <f t="shared" si="12"/>
        <v>12813.26169245755</v>
      </c>
      <c r="AL32" s="319">
        <f t="shared" si="12"/>
        <v>13069.5269263067</v>
      </c>
      <c r="AM32" s="319">
        <f t="shared" si="12"/>
        <v>13330.917464832835</v>
      </c>
      <c r="AN32" s="319">
        <f t="shared" si="12"/>
        <v>13597.535814129489</v>
      </c>
      <c r="AO32" s="319">
        <f t="shared" si="12"/>
        <v>13869.486530412081</v>
      </c>
      <c r="AP32" s="319">
        <f t="shared" si="12"/>
        <v>14146.876261020323</v>
      </c>
      <c r="AQ32" s="319">
        <f t="shared" si="12"/>
        <v>14429.813786240729</v>
      </c>
      <c r="AR32" s="319">
        <f t="shared" si="12"/>
        <v>14718.410061965544</v>
      </c>
      <c r="AS32" s="319">
        <f t="shared" si="12"/>
        <v>15012.778263204853</v>
      </c>
      <c r="AT32" s="319">
        <f t="shared" si="12"/>
        <v>15313.033828468951</v>
      </c>
      <c r="AU32" s="319">
        <f t="shared" si="12"/>
        <v>15619.294505038333</v>
      </c>
      <c r="AV32" s="319">
        <f t="shared" si="12"/>
        <v>113480.49151439816</v>
      </c>
      <c r="AW32" s="319">
        <f t="shared" si="12"/>
        <v>16250.31400304188</v>
      </c>
      <c r="AX32" s="319">
        <f t="shared" si="12"/>
        <v>16575.320283102716</v>
      </c>
      <c r="AY32" s="319">
        <f t="shared" si="12"/>
        <v>16906.82668876477</v>
      </c>
      <c r="AZ32" s="319">
        <f t="shared" si="12"/>
        <v>17244.963222540064</v>
      </c>
      <c r="BA32" s="319">
        <f t="shared" si="12"/>
        <v>17589.862486990867</v>
      </c>
      <c r="BB32" s="319">
        <f t="shared" si="12"/>
        <v>17941.659736730686</v>
      </c>
      <c r="BC32" s="319">
        <f t="shared" si="12"/>
        <v>18300.492931465302</v>
      </c>
      <c r="BD32" s="319">
        <f t="shared" si="12"/>
        <v>18666.502790094601</v>
      </c>
      <c r="BE32" s="319">
        <f t="shared" si="12"/>
        <v>19039.832845896493</v>
      </c>
      <c r="BF32" s="319">
        <f t="shared" si="12"/>
        <v>19420.629502814427</v>
      </c>
      <c r="BG32" s="319">
        <f t="shared" si="12"/>
        <v>19809.042092870714</v>
      </c>
      <c r="BH32" s="319">
        <f t="shared" si="12"/>
        <v>20205.222934728125</v>
      </c>
      <c r="BI32" s="319">
        <f t="shared" si="12"/>
        <v>146799.11625018125</v>
      </c>
      <c r="BJ32" s="319">
        <f t="shared" si="12"/>
        <v>21021.513941291141</v>
      </c>
      <c r="BK32" s="319">
        <f t="shared" si="12"/>
        <v>21441.94422011697</v>
      </c>
      <c r="BL32" s="319">
        <f t="shared" si="12"/>
        <v>21870.783104519302</v>
      </c>
      <c r="BM32" s="319">
        <f t="shared" si="12"/>
        <v>22308.19876660969</v>
      </c>
      <c r="BN32" s="319">
        <f t="shared" si="12"/>
        <v>22754.362741941881</v>
      </c>
      <c r="BO32" s="319">
        <f t="shared" si="12"/>
        <v>23209.449996780724</v>
      </c>
      <c r="BP32" s="319">
        <f t="shared" si="12"/>
        <v>23673.638996716334</v>
      </c>
      <c r="BQ32" s="319">
        <f t="shared" si="12"/>
        <v>24147.111776650665</v>
      </c>
      <c r="BR32" s="319">
        <f t="shared" si="12"/>
        <v>24630.054012183675</v>
      </c>
      <c r="BS32" s="319">
        <f t="shared" si="12"/>
        <v>25122.655092427351</v>
      </c>
      <c r="BT32" s="319">
        <f t="shared" si="12"/>
        <v>25625.108194275894</v>
      </c>
      <c r="BU32" s="319">
        <f t="shared" si="12"/>
        <v>26137.610358161415</v>
      </c>
      <c r="BV32" s="319">
        <f t="shared" si="12"/>
        <v>189900.31012599208</v>
      </c>
      <c r="BW32" s="319">
        <f t="shared" si="12"/>
        <v>27193.569816631134</v>
      </c>
      <c r="BX32" s="319">
        <f t="shared" si="12"/>
        <v>27737.441212963757</v>
      </c>
      <c r="BY32" s="319">
        <f t="shared" si="12"/>
        <v>28292.190037223034</v>
      </c>
      <c r="BZ32" s="319">
        <f t="shared" si="12"/>
        <v>28858.033837967494</v>
      </c>
      <c r="CA32" s="319">
        <f t="shared" si="12"/>
        <v>29435.194514726849</v>
      </c>
      <c r="CB32" s="319">
        <f t="shared" si="12"/>
        <v>30023.89840502138</v>
      </c>
      <c r="CC32" s="319">
        <f t="shared" si="12"/>
        <v>30624.37637312181</v>
      </c>
      <c r="CD32" s="319">
        <f t="shared" si="12"/>
        <v>31236.863900584241</v>
      </c>
      <c r="CE32" s="319">
        <f t="shared" si="12"/>
        <v>31861.601178595931</v>
      </c>
      <c r="CF32" s="319">
        <f t="shared" si="12"/>
        <v>32498.833202167843</v>
      </c>
      <c r="CG32" s="319">
        <f t="shared" si="12"/>
        <v>33148.80986621121</v>
      </c>
      <c r="CH32" s="319">
        <f t="shared" si="12"/>
        <v>33811.78606353543</v>
      </c>
      <c r="CI32" s="319">
        <f t="shared" si="12"/>
        <v>245656.30030421552</v>
      </c>
      <c r="CJ32" s="319">
        <f t="shared" si="12"/>
        <v>35177.782220502253</v>
      </c>
      <c r="CK32" s="319">
        <f t="shared" si="12"/>
        <v>35881.337864912304</v>
      </c>
      <c r="CL32" s="319">
        <f t="shared" si="12"/>
        <v>36598.964622210551</v>
      </c>
      <c r="CM32" s="319">
        <f t="shared" si="12"/>
        <v>37330.943914654759</v>
      </c>
      <c r="CN32" s="319">
        <f t="shared" si="12"/>
        <v>38077.562792947851</v>
      </c>
      <c r="CO32" s="319">
        <f t="shared" si="12"/>
        <v>38839.114048806812</v>
      </c>
      <c r="CP32" s="319">
        <f t="shared" si="12"/>
        <v>39615.896329782947</v>
      </c>
      <c r="CQ32" s="319">
        <f t="shared" si="12"/>
        <v>40408.214256378611</v>
      </c>
      <c r="CR32" s="319">
        <f t="shared" si="12"/>
        <v>41216.378541506172</v>
      </c>
      <c r="CS32" s="319">
        <f t="shared" si="12"/>
        <v>42040.706112336295</v>
      </c>
      <c r="CT32" s="319">
        <f t="shared" si="12"/>
        <v>42881.520234583026</v>
      </c>
      <c r="CU32" s="319">
        <f t="shared" si="12"/>
        <v>43739.150639274689</v>
      </c>
      <c r="CV32" s="319">
        <f t="shared" si="12"/>
        <v>317782.61888628203</v>
      </c>
      <c r="CW32" s="319">
        <f t="shared" si="12"/>
        <v>45506.212325101391</v>
      </c>
      <c r="CX32" s="319">
        <f t="shared" si="12"/>
        <v>46416.33657160341</v>
      </c>
      <c r="CY32" s="319">
        <f t="shared" si="12"/>
        <v>47344.663303035486</v>
      </c>
      <c r="CZ32" s="319">
        <f t="shared" si="12"/>
        <v>48291.556569096181</v>
      </c>
      <c r="DA32" s="319">
        <f t="shared" si="12"/>
        <v>49257.38770047811</v>
      </c>
      <c r="DB32" s="319">
        <f t="shared" si="12"/>
        <v>50242.535454487683</v>
      </c>
      <c r="DC32" s="319">
        <f t="shared" si="12"/>
        <v>51247.386163577423</v>
      </c>
      <c r="DD32" s="319">
        <f t="shared" si="12"/>
        <v>52272.333886848981</v>
      </c>
      <c r="DE32" s="319">
        <f t="shared" si="12"/>
        <v>53317.780564585955</v>
      </c>
      <c r="DF32" s="320"/>
      <c r="DG32" s="320"/>
      <c r="DH32" s="320"/>
      <c r="DI32" s="320"/>
      <c r="DJ32" s="320"/>
      <c r="DK32" s="320"/>
      <c r="DL32" s="320"/>
    </row>
    <row r="33" spans="1:116" ht="15.75" hidden="1" customHeight="1" outlineLevel="1" x14ac:dyDescent="0.25">
      <c r="A33" s="763" t="s">
        <v>48</v>
      </c>
      <c r="B33" s="764" t="s">
        <v>79</v>
      </c>
      <c r="C33" s="321" t="s">
        <v>581</v>
      </c>
      <c r="D33" s="322"/>
      <c r="E33" s="323" t="s">
        <v>249</v>
      </c>
      <c r="F33" s="279"/>
      <c r="G33" s="279" t="s">
        <v>250</v>
      </c>
      <c r="H33" s="281">
        <v>2651.5151515151515</v>
      </c>
      <c r="I33" s="284">
        <f>H33*(1+'Unit Costs and Indicators'!$D$145%)</f>
        <v>2651.5151515151515</v>
      </c>
      <c r="J33" s="284">
        <f>I33*(1+'Unit Costs and Indicators'!$D$145%)</f>
        <v>2651.5151515151515</v>
      </c>
      <c r="K33" s="284">
        <f>J33*(1+'Unit Costs and Indicators'!$D$145%)</f>
        <v>2651.5151515151515</v>
      </c>
      <c r="L33" s="284">
        <f>K33*(1+'Unit Costs and Indicators'!$D$145%)</f>
        <v>2651.5151515151515</v>
      </c>
      <c r="M33" s="284">
        <f>L33*(1+'Unit Costs and Indicators'!$D$145%)</f>
        <v>2651.5151515151515</v>
      </c>
      <c r="N33" s="284">
        <f>M33*(1+'Unit Costs and Indicators'!$D$145%)</f>
        <v>2651.5151515151515</v>
      </c>
      <c r="O33" s="284">
        <f>N33*(1+'Unit Costs and Indicators'!$D$145%)</f>
        <v>2651.5151515151515</v>
      </c>
      <c r="P33" s="284">
        <f>O33*(1+'Unit Costs and Indicators'!$D$145%)</f>
        <v>2651.5151515151515</v>
      </c>
      <c r="Q33" s="284">
        <f>P33*(1+'Unit Costs and Indicators'!$D$145%)</f>
        <v>2651.5151515151515</v>
      </c>
      <c r="R33" s="284">
        <f>Q33*(1+'Unit Costs and Indicators'!$D$145%)</f>
        <v>2651.5151515151515</v>
      </c>
      <c r="S33" s="284">
        <f>R33*(1+'Unit Costs and Indicators'!$D$145%)</f>
        <v>2651.5151515151515</v>
      </c>
      <c r="T33" s="284">
        <f>S33*(1+'Unit Costs and Indicators'!$D$145%)</f>
        <v>2651.5151515151515</v>
      </c>
      <c r="U33" s="284">
        <f>T33*(1+'Unit Costs and Indicators'!$D$145%)</f>
        <v>2651.5151515151515</v>
      </c>
      <c r="V33" s="284">
        <f>U33*(1+'Unit Costs and Indicators'!$D$145%)</f>
        <v>2651.5151515151515</v>
      </c>
      <c r="W33" s="284">
        <f>V33*(1+'Unit Costs and Indicators'!$D$145%)</f>
        <v>2651.5151515151515</v>
      </c>
      <c r="X33" s="284">
        <f>W33*(1+'Unit Costs and Indicators'!$D$145%)</f>
        <v>2651.5151515151515</v>
      </c>
      <c r="Y33" s="284">
        <f>X33*(1+'Unit Costs and Indicators'!$D$145%)</f>
        <v>2651.5151515151515</v>
      </c>
      <c r="Z33" s="284">
        <f>Y33*(1+'Unit Costs and Indicators'!$D$145%)</f>
        <v>2651.5151515151515</v>
      </c>
      <c r="AA33" s="284">
        <f>Z33*(1+'Unit Costs and Indicators'!$D$145%)</f>
        <v>2651.5151515151515</v>
      </c>
      <c r="AB33" s="284">
        <f>AA33*(1+'Unit Costs and Indicators'!$D$145%)</f>
        <v>2651.5151515151515</v>
      </c>
      <c r="AC33" s="284">
        <f>AB33*(1+'Unit Costs and Indicators'!$D$145%)</f>
        <v>2651.5151515151515</v>
      </c>
      <c r="AD33" s="284">
        <f>AC33*(1+'Unit Costs and Indicators'!$D$145%)</f>
        <v>2651.5151515151515</v>
      </c>
      <c r="AE33" s="284">
        <f>AD33*(1+'Unit Costs and Indicators'!$D$145%)</f>
        <v>2651.5151515151515</v>
      </c>
      <c r="AF33" s="284">
        <f>AE33*(1+'Unit Costs and Indicators'!$D$145%)</f>
        <v>2651.5151515151515</v>
      </c>
      <c r="AG33" s="284">
        <f>AF33*(1+'Unit Costs and Indicators'!$D$145%)</f>
        <v>2651.5151515151515</v>
      </c>
      <c r="AH33" s="284">
        <f>AG33*(1+'Unit Costs and Indicators'!$D$145%)</f>
        <v>2651.5151515151515</v>
      </c>
      <c r="AI33" s="284">
        <f>AH33*(1+'Unit Costs and Indicators'!$D$145%)</f>
        <v>2651.5151515151515</v>
      </c>
      <c r="AJ33" s="284">
        <f>AI33*(1+'Unit Costs and Indicators'!$D$145%)</f>
        <v>2651.5151515151515</v>
      </c>
      <c r="AK33" s="284">
        <f>AJ33*(1+'Unit Costs and Indicators'!$D$145%)</f>
        <v>2651.5151515151515</v>
      </c>
      <c r="AL33" s="284">
        <f>AK33*(1+'Unit Costs and Indicators'!$D$145%)</f>
        <v>2651.5151515151515</v>
      </c>
      <c r="AM33" s="284">
        <f>AL33*(1+'Unit Costs and Indicators'!$D$145%)</f>
        <v>2651.5151515151515</v>
      </c>
      <c r="AN33" s="284">
        <f>AM33*(1+'Unit Costs and Indicators'!$D$145%)</f>
        <v>2651.5151515151515</v>
      </c>
      <c r="AO33" s="284">
        <f>AN33*(1+'Unit Costs and Indicators'!$D$145%)</f>
        <v>2651.5151515151515</v>
      </c>
      <c r="AP33" s="284">
        <f>AO33*(1+'Unit Costs and Indicators'!$D$145%)</f>
        <v>2651.5151515151515</v>
      </c>
      <c r="AQ33" s="284">
        <f>AP33*(1+'Unit Costs and Indicators'!$D$145%)</f>
        <v>2651.5151515151515</v>
      </c>
      <c r="AR33" s="284">
        <f>AQ33*(1+'Unit Costs and Indicators'!$D$145%)</f>
        <v>2651.5151515151515</v>
      </c>
      <c r="AS33" s="284">
        <f>AR33*(1+'Unit Costs and Indicators'!$D$145%)</f>
        <v>2651.5151515151515</v>
      </c>
      <c r="AT33" s="284">
        <f>AS33*(1+'Unit Costs and Indicators'!$D$145%)</f>
        <v>2651.5151515151515</v>
      </c>
      <c r="AU33" s="284">
        <f>AT33*(1+'Unit Costs and Indicators'!$D$145%)</f>
        <v>2651.5151515151515</v>
      </c>
      <c r="AV33" s="284">
        <f>AU33*(1+'Unit Costs and Indicators'!$D$145%)</f>
        <v>2651.5151515151515</v>
      </c>
      <c r="AW33" s="284">
        <f>AV33*(1+'Unit Costs and Indicators'!$D$145%)</f>
        <v>2651.5151515151515</v>
      </c>
      <c r="AX33" s="284">
        <f>AW33*(1+'Unit Costs and Indicators'!$D$145%)</f>
        <v>2651.5151515151515</v>
      </c>
      <c r="AY33" s="284">
        <f>AX33*(1+'Unit Costs and Indicators'!$D$145%)</f>
        <v>2651.5151515151515</v>
      </c>
      <c r="AZ33" s="284">
        <f>AY33*(1+'Unit Costs and Indicators'!$D$145%)</f>
        <v>2651.5151515151515</v>
      </c>
      <c r="BA33" s="284">
        <f>AZ33*(1+'Unit Costs and Indicators'!$D$145%)</f>
        <v>2651.5151515151515</v>
      </c>
      <c r="BB33" s="284">
        <f>BA33*(1+'Unit Costs and Indicators'!$D$145%)</f>
        <v>2651.5151515151515</v>
      </c>
      <c r="BC33" s="284">
        <f>BB33*(1+'Unit Costs and Indicators'!$D$145%)</f>
        <v>2651.5151515151515</v>
      </c>
      <c r="BD33" s="284">
        <f>BC33*(1+'Unit Costs and Indicators'!$D$145%)</f>
        <v>2651.5151515151515</v>
      </c>
      <c r="BE33" s="284">
        <f>BD33*(1+'Unit Costs and Indicators'!$D$145%)</f>
        <v>2651.5151515151515</v>
      </c>
      <c r="BF33" s="284">
        <f>BE33*(1+'Unit Costs and Indicators'!$D$145%)</f>
        <v>2651.5151515151515</v>
      </c>
      <c r="BG33" s="284">
        <f>BF33*(1+'Unit Costs and Indicators'!$D$145%)</f>
        <v>2651.5151515151515</v>
      </c>
      <c r="BH33" s="284">
        <f>BG33*(1+'Unit Costs and Indicators'!$D$145%)</f>
        <v>2651.5151515151515</v>
      </c>
      <c r="BI33" s="284">
        <f>BH33*(1+'Unit Costs and Indicators'!$D$145%)</f>
        <v>2651.5151515151515</v>
      </c>
      <c r="BJ33" s="284">
        <f>BI33*(1+'Unit Costs and Indicators'!$D$145%)</f>
        <v>2651.5151515151515</v>
      </c>
      <c r="BK33" s="284">
        <f>BJ33*(1+'Unit Costs and Indicators'!$D$145%)</f>
        <v>2651.5151515151515</v>
      </c>
      <c r="BL33" s="284">
        <f>BK33*(1+'Unit Costs and Indicators'!$D$145%)</f>
        <v>2651.5151515151515</v>
      </c>
      <c r="BM33" s="284">
        <f>BL33*(1+'Unit Costs and Indicators'!$D$145%)</f>
        <v>2651.5151515151515</v>
      </c>
      <c r="BN33" s="284">
        <f>BM33*(1+'Unit Costs and Indicators'!$D$145%)</f>
        <v>2651.5151515151515</v>
      </c>
      <c r="BO33" s="284">
        <f>BN33*(1+'Unit Costs and Indicators'!$D$145%)</f>
        <v>2651.5151515151515</v>
      </c>
      <c r="BP33" s="284">
        <f>BO33*(1+'Unit Costs and Indicators'!$D$145%)</f>
        <v>2651.5151515151515</v>
      </c>
      <c r="BQ33" s="284">
        <f>BP33*(1+'Unit Costs and Indicators'!$D$145%)</f>
        <v>2651.5151515151515</v>
      </c>
      <c r="BR33" s="284">
        <f>BQ33*(1+'Unit Costs and Indicators'!$D$145%)</f>
        <v>2651.5151515151515</v>
      </c>
      <c r="BS33" s="284">
        <f>BR33*(1+'Unit Costs and Indicators'!$D$145%)</f>
        <v>2651.5151515151515</v>
      </c>
      <c r="BT33" s="284">
        <f>BS33*(1+'Unit Costs and Indicators'!$D$145%)</f>
        <v>2651.5151515151515</v>
      </c>
      <c r="BU33" s="284">
        <f>BT33*(1+'Unit Costs and Indicators'!$D$145%)</f>
        <v>2651.5151515151515</v>
      </c>
      <c r="BV33" s="284">
        <f>BU33*(1+'Unit Costs and Indicators'!$D$145%)</f>
        <v>2651.5151515151515</v>
      </c>
      <c r="BW33" s="284">
        <f>BV33*(1+'Unit Costs and Indicators'!$D$145%)</f>
        <v>2651.5151515151515</v>
      </c>
      <c r="BX33" s="284">
        <f>BW33*(1+'Unit Costs and Indicators'!$D$145%)</f>
        <v>2651.5151515151515</v>
      </c>
      <c r="BY33" s="284">
        <f>BX33*(1+'Unit Costs and Indicators'!$D$145%)</f>
        <v>2651.5151515151515</v>
      </c>
      <c r="BZ33" s="284">
        <f>BY33*(1+'Unit Costs and Indicators'!$D$145%)</f>
        <v>2651.5151515151515</v>
      </c>
      <c r="CA33" s="284">
        <f>BZ33*(1+'Unit Costs and Indicators'!$D$145%)</f>
        <v>2651.5151515151515</v>
      </c>
      <c r="CB33" s="284">
        <f>CA33*(1+'Unit Costs and Indicators'!$D$145%)</f>
        <v>2651.5151515151515</v>
      </c>
      <c r="CC33" s="284">
        <f>CB33*(1+'Unit Costs and Indicators'!$D$145%)</f>
        <v>2651.5151515151515</v>
      </c>
      <c r="CD33" s="284">
        <f>CC33*(1+'Unit Costs and Indicators'!$D$145%)</f>
        <v>2651.5151515151515</v>
      </c>
      <c r="CE33" s="284">
        <f>CD33*(1+'Unit Costs and Indicators'!$D$145%)</f>
        <v>2651.5151515151515</v>
      </c>
      <c r="CF33" s="284">
        <f>CE33*(1+'Unit Costs and Indicators'!$D$145%)</f>
        <v>2651.5151515151515</v>
      </c>
      <c r="CG33" s="284">
        <f>CF33*(1+'Unit Costs and Indicators'!$D$145%)</f>
        <v>2651.5151515151515</v>
      </c>
      <c r="CH33" s="284">
        <f>CG33*(1+'Unit Costs and Indicators'!$D$145%)</f>
        <v>2651.5151515151515</v>
      </c>
      <c r="CI33" s="284">
        <f>CH33*(1+'Unit Costs and Indicators'!$D$145%)</f>
        <v>2651.5151515151515</v>
      </c>
      <c r="CJ33" s="284">
        <f>CI33*(1+'Unit Costs and Indicators'!$D$145%)</f>
        <v>2651.5151515151515</v>
      </c>
      <c r="CK33" s="284">
        <f>CJ33*(1+'Unit Costs and Indicators'!$D$145%)</f>
        <v>2651.5151515151515</v>
      </c>
      <c r="CL33" s="284">
        <f>CK33*(1+'Unit Costs and Indicators'!$D$145%)</f>
        <v>2651.5151515151515</v>
      </c>
      <c r="CM33" s="284">
        <f>CL33*(1+'Unit Costs and Indicators'!$D$145%)</f>
        <v>2651.5151515151515</v>
      </c>
      <c r="CN33" s="284">
        <f>CM33*(1+'Unit Costs and Indicators'!$D$145%)</f>
        <v>2651.5151515151515</v>
      </c>
      <c r="CO33" s="284">
        <f>CN33*(1+'Unit Costs and Indicators'!$D$145%)</f>
        <v>2651.5151515151515</v>
      </c>
      <c r="CP33" s="284">
        <f>CO33*(1+'Unit Costs and Indicators'!$D$145%)</f>
        <v>2651.5151515151515</v>
      </c>
      <c r="CQ33" s="284">
        <f>CP33*(1+'Unit Costs and Indicators'!$D$145%)</f>
        <v>2651.5151515151515</v>
      </c>
      <c r="CR33" s="284">
        <f>CQ33*(1+'Unit Costs and Indicators'!$D$145%)</f>
        <v>2651.5151515151515</v>
      </c>
      <c r="CS33" s="284">
        <f>CR33*(1+'Unit Costs and Indicators'!$D$145%)</f>
        <v>2651.5151515151515</v>
      </c>
      <c r="CT33" s="284">
        <f>CS33*(1+'Unit Costs and Indicators'!$D$145%)</f>
        <v>2651.5151515151515</v>
      </c>
      <c r="CU33" s="284">
        <f>CT33*(1+'Unit Costs and Indicators'!$D$145%)</f>
        <v>2651.5151515151515</v>
      </c>
      <c r="CV33" s="284">
        <f>CU33*(1+'Unit Costs and Indicators'!$D$145%)</f>
        <v>2651.5151515151515</v>
      </c>
      <c r="CW33" s="284">
        <f>CV33*(1+'Unit Costs and Indicators'!$D$145%)</f>
        <v>2651.5151515151515</v>
      </c>
      <c r="CX33" s="284">
        <f>CW33*(1+'Unit Costs and Indicators'!$D$145%)</f>
        <v>2651.5151515151515</v>
      </c>
      <c r="CY33" s="284">
        <f>CX33*(1+'Unit Costs and Indicators'!$D$145%)</f>
        <v>2651.5151515151515</v>
      </c>
      <c r="CZ33" s="284">
        <f>CY33*(1+'Unit Costs and Indicators'!$D$145%)</f>
        <v>2651.5151515151515</v>
      </c>
      <c r="DA33" s="284">
        <f>CZ33*(1+'Unit Costs and Indicators'!$D$145%)</f>
        <v>2651.5151515151515</v>
      </c>
      <c r="DB33" s="284">
        <f>DA33*(1+'Unit Costs and Indicators'!$D$145%)</f>
        <v>2651.5151515151515</v>
      </c>
      <c r="DC33" s="284">
        <f>DB33*(1+'Unit Costs and Indicators'!$D$145%)</f>
        <v>2651.5151515151515</v>
      </c>
      <c r="DD33" s="284">
        <f>DC33*(1+'Unit Costs and Indicators'!$D$145%)</f>
        <v>2651.5151515151515</v>
      </c>
      <c r="DE33" s="284">
        <f>DD33*(1+'Unit Costs and Indicators'!$D$145%)</f>
        <v>2651.5151515151515</v>
      </c>
      <c r="DF33" s="279"/>
      <c r="DG33" s="279"/>
      <c r="DH33" s="279"/>
      <c r="DI33" s="279"/>
      <c r="DJ33" s="279"/>
      <c r="DK33" s="279"/>
      <c r="DL33" s="279"/>
    </row>
    <row r="34" spans="1:116" ht="15.75" hidden="1" customHeight="1" outlineLevel="1" x14ac:dyDescent="0.25">
      <c r="A34" s="763"/>
      <c r="B34" s="764"/>
      <c r="C34" s="321" t="s">
        <v>251</v>
      </c>
      <c r="D34" s="3"/>
      <c r="E34" s="299" t="s">
        <v>252</v>
      </c>
      <c r="F34" s="324"/>
      <c r="G34" s="324">
        <v>1.7899999999999999E-2</v>
      </c>
      <c r="H34" s="325">
        <f>'Unit Costs and Indicators'!$L$10*H33</f>
        <v>0.22192337748467222</v>
      </c>
      <c r="I34" s="326">
        <f>'Unit Costs and Indicators'!$L$10*I33</f>
        <v>0.22192337748467222</v>
      </c>
      <c r="J34" s="326">
        <f>'Unit Costs and Indicators'!$L$10*J33</f>
        <v>0.22192337748467222</v>
      </c>
      <c r="K34" s="326">
        <f>'Unit Costs and Indicators'!$L$10*K33</f>
        <v>0.22192337748467222</v>
      </c>
      <c r="L34" s="326">
        <f>'Unit Costs and Indicators'!$L$10*L33</f>
        <v>0.22192337748467222</v>
      </c>
      <c r="M34" s="326">
        <f>'Unit Costs and Indicators'!$L$10*M33</f>
        <v>0.22192337748467222</v>
      </c>
      <c r="N34" s="326">
        <f>'Unit Costs and Indicators'!$L$10*N33</f>
        <v>0.22192337748467222</v>
      </c>
      <c r="O34" s="326">
        <f>'Unit Costs and Indicators'!$L$10*O33</f>
        <v>0.22192337748467222</v>
      </c>
      <c r="P34" s="326">
        <f>'Unit Costs and Indicators'!$L$10*P33</f>
        <v>0.22192337748467222</v>
      </c>
      <c r="Q34" s="326">
        <f>'Unit Costs and Indicators'!$L$10*Q33</f>
        <v>0.22192337748467222</v>
      </c>
      <c r="R34" s="326">
        <f>'Unit Costs and Indicators'!$L$10*R33</f>
        <v>0.22192337748467222</v>
      </c>
      <c r="S34" s="326">
        <f>'Unit Costs and Indicators'!$L$10*S33</f>
        <v>0.22192337748467222</v>
      </c>
      <c r="T34" s="326">
        <f>'Unit Costs and Indicators'!$L$10*T33</f>
        <v>0.22192337748467222</v>
      </c>
      <c r="U34" s="326">
        <f>'Unit Costs and Indicators'!$L$10*U33</f>
        <v>0.22192337748467222</v>
      </c>
      <c r="V34" s="326">
        <f>'Unit Costs and Indicators'!$L$10*V33</f>
        <v>0.22192337748467222</v>
      </c>
      <c r="W34" s="326">
        <f>'Unit Costs and Indicators'!$L$10*W33</f>
        <v>0.22192337748467222</v>
      </c>
      <c r="X34" s="326">
        <f>'Unit Costs and Indicators'!$L$10*X33</f>
        <v>0.22192337748467222</v>
      </c>
      <c r="Y34" s="326">
        <f>'Unit Costs and Indicators'!$L$10*Y33</f>
        <v>0.22192337748467222</v>
      </c>
      <c r="Z34" s="326">
        <f>'Unit Costs and Indicators'!$L$10*Z33</f>
        <v>0.22192337748467222</v>
      </c>
      <c r="AA34" s="326">
        <f>'Unit Costs and Indicators'!$L$10*AA33</f>
        <v>0.22192337748467222</v>
      </c>
      <c r="AB34" s="326">
        <f>'Unit Costs and Indicators'!$L$10*AB33</f>
        <v>0.22192337748467222</v>
      </c>
      <c r="AC34" s="326">
        <f>'Unit Costs and Indicators'!$L$10*AC33</f>
        <v>0.22192337748467222</v>
      </c>
      <c r="AD34" s="326">
        <f>'Unit Costs and Indicators'!$L$10*AD33</f>
        <v>0.22192337748467222</v>
      </c>
      <c r="AE34" s="326">
        <f>'Unit Costs and Indicators'!$L$10*AE33</f>
        <v>0.22192337748467222</v>
      </c>
      <c r="AF34" s="326">
        <f>'Unit Costs and Indicators'!$L$10*AF33</f>
        <v>0.22192337748467222</v>
      </c>
      <c r="AG34" s="326">
        <f>'Unit Costs and Indicators'!$L$10*AG33</f>
        <v>0.22192337748467222</v>
      </c>
      <c r="AH34" s="326">
        <f>'Unit Costs and Indicators'!$L$10*AH33</f>
        <v>0.22192337748467222</v>
      </c>
      <c r="AI34" s="326">
        <f>'Unit Costs and Indicators'!$L$10*AI33</f>
        <v>0.22192337748467222</v>
      </c>
      <c r="AJ34" s="326">
        <f>'Unit Costs and Indicators'!$L$10*AJ33</f>
        <v>0.22192337748467222</v>
      </c>
      <c r="AK34" s="326">
        <f>'Unit Costs and Indicators'!$L$10*AK33</f>
        <v>0.22192337748467222</v>
      </c>
      <c r="AL34" s="326">
        <f>'Unit Costs and Indicators'!$L$10*AL33</f>
        <v>0.22192337748467222</v>
      </c>
      <c r="AM34" s="326">
        <f>'Unit Costs and Indicators'!$L$10*AM33</f>
        <v>0.22192337748467222</v>
      </c>
      <c r="AN34" s="326">
        <f>'Unit Costs and Indicators'!$L$10*AN33</f>
        <v>0.22192337748467222</v>
      </c>
      <c r="AO34" s="326">
        <f>'Unit Costs and Indicators'!$L$10*AO33</f>
        <v>0.22192337748467222</v>
      </c>
      <c r="AP34" s="326">
        <f>'Unit Costs and Indicators'!$L$10*AP33</f>
        <v>0.22192337748467222</v>
      </c>
      <c r="AQ34" s="326">
        <f>'Unit Costs and Indicators'!$L$10*AQ33</f>
        <v>0.22192337748467222</v>
      </c>
      <c r="AR34" s="326">
        <f>'Unit Costs and Indicators'!$L$10*AR33</f>
        <v>0.22192337748467222</v>
      </c>
      <c r="AS34" s="326">
        <f>'Unit Costs and Indicators'!$L$10*AS33</f>
        <v>0.22192337748467222</v>
      </c>
      <c r="AT34" s="326">
        <f>'Unit Costs and Indicators'!$L$10*AT33</f>
        <v>0.22192337748467222</v>
      </c>
      <c r="AU34" s="326">
        <f>'Unit Costs and Indicators'!$L$10*AU33</f>
        <v>0.22192337748467222</v>
      </c>
      <c r="AV34" s="326">
        <f>'Unit Costs and Indicators'!$L$10*AV33</f>
        <v>0.22192337748467222</v>
      </c>
      <c r="AW34" s="326">
        <f>'Unit Costs and Indicators'!$L$10*AW33</f>
        <v>0.22192337748467222</v>
      </c>
      <c r="AX34" s="326">
        <f>'Unit Costs and Indicators'!$L$10*AX33</f>
        <v>0.22192337748467222</v>
      </c>
      <c r="AY34" s="326">
        <f>'Unit Costs and Indicators'!$L$10*AY33</f>
        <v>0.22192337748467222</v>
      </c>
      <c r="AZ34" s="326">
        <f>'Unit Costs and Indicators'!$L$10*AZ33</f>
        <v>0.22192337748467222</v>
      </c>
      <c r="BA34" s="326">
        <f>'Unit Costs and Indicators'!$L$10*BA33</f>
        <v>0.22192337748467222</v>
      </c>
      <c r="BB34" s="326">
        <f>'Unit Costs and Indicators'!$L$10*BB33</f>
        <v>0.22192337748467222</v>
      </c>
      <c r="BC34" s="326">
        <f>'Unit Costs and Indicators'!$L$10*BC33</f>
        <v>0.22192337748467222</v>
      </c>
      <c r="BD34" s="326">
        <f>'Unit Costs and Indicators'!$L$10*BD33</f>
        <v>0.22192337748467222</v>
      </c>
      <c r="BE34" s="326">
        <f>'Unit Costs and Indicators'!$L$10*BE33</f>
        <v>0.22192337748467222</v>
      </c>
      <c r="BF34" s="326">
        <f>'Unit Costs and Indicators'!$L$10*BF33</f>
        <v>0.22192337748467222</v>
      </c>
      <c r="BG34" s="326">
        <f>'Unit Costs and Indicators'!$L$10*BG33</f>
        <v>0.22192337748467222</v>
      </c>
      <c r="BH34" s="326">
        <f>'Unit Costs and Indicators'!$L$10*BH33</f>
        <v>0.22192337748467222</v>
      </c>
      <c r="BI34" s="326">
        <f>'Unit Costs and Indicators'!$L$10*BI33</f>
        <v>0.22192337748467222</v>
      </c>
      <c r="BJ34" s="326">
        <f>'Unit Costs and Indicators'!$L$10*BJ33</f>
        <v>0.22192337748467222</v>
      </c>
      <c r="BK34" s="326">
        <f>'Unit Costs and Indicators'!$L$10*BK33</f>
        <v>0.22192337748467222</v>
      </c>
      <c r="BL34" s="326">
        <f>'Unit Costs and Indicators'!$L$10*BL33</f>
        <v>0.22192337748467222</v>
      </c>
      <c r="BM34" s="326">
        <f>'Unit Costs and Indicators'!$L$10*BM33</f>
        <v>0.22192337748467222</v>
      </c>
      <c r="BN34" s="326">
        <f>'Unit Costs and Indicators'!$L$10*BN33</f>
        <v>0.22192337748467222</v>
      </c>
      <c r="BO34" s="326">
        <f>'Unit Costs and Indicators'!$L$10*BO33</f>
        <v>0.22192337748467222</v>
      </c>
      <c r="BP34" s="326">
        <f>'Unit Costs and Indicators'!$L$10*BP33</f>
        <v>0.22192337748467222</v>
      </c>
      <c r="BQ34" s="326">
        <f>'Unit Costs and Indicators'!$L$10*BQ33</f>
        <v>0.22192337748467222</v>
      </c>
      <c r="BR34" s="326">
        <f>'Unit Costs and Indicators'!$L$10*BR33</f>
        <v>0.22192337748467222</v>
      </c>
      <c r="BS34" s="326">
        <f>'Unit Costs and Indicators'!$L$10*BS33</f>
        <v>0.22192337748467222</v>
      </c>
      <c r="BT34" s="326">
        <f>'Unit Costs and Indicators'!$L$10*BT33</f>
        <v>0.22192337748467222</v>
      </c>
      <c r="BU34" s="326">
        <f>'Unit Costs and Indicators'!$L$10*BU33</f>
        <v>0.22192337748467222</v>
      </c>
      <c r="BV34" s="326">
        <f>'Unit Costs and Indicators'!$L$10*BV33</f>
        <v>0.22192337748467222</v>
      </c>
      <c r="BW34" s="326">
        <f>'Unit Costs and Indicators'!$L$10*BW33</f>
        <v>0.22192337748467222</v>
      </c>
      <c r="BX34" s="326">
        <f>'Unit Costs and Indicators'!$L$10*BX33</f>
        <v>0.22192337748467222</v>
      </c>
      <c r="BY34" s="326">
        <f>'Unit Costs and Indicators'!$L$10*BY33</f>
        <v>0.22192337748467222</v>
      </c>
      <c r="BZ34" s="326">
        <f>'Unit Costs and Indicators'!$L$10*BZ33</f>
        <v>0.22192337748467222</v>
      </c>
      <c r="CA34" s="326">
        <f>'Unit Costs and Indicators'!$L$10*CA33</f>
        <v>0.22192337748467222</v>
      </c>
      <c r="CB34" s="326">
        <f>'Unit Costs and Indicators'!$L$10*CB33</f>
        <v>0.22192337748467222</v>
      </c>
      <c r="CC34" s="326">
        <f>'Unit Costs and Indicators'!$L$10*CC33</f>
        <v>0.22192337748467222</v>
      </c>
      <c r="CD34" s="326">
        <f>'Unit Costs and Indicators'!$L$10*CD33</f>
        <v>0.22192337748467222</v>
      </c>
      <c r="CE34" s="326">
        <f>'Unit Costs and Indicators'!$L$10*CE33</f>
        <v>0.22192337748467222</v>
      </c>
      <c r="CF34" s="326">
        <f>'Unit Costs and Indicators'!$L$10*CF33</f>
        <v>0.22192337748467222</v>
      </c>
      <c r="CG34" s="326">
        <f>'Unit Costs and Indicators'!$L$10*CG33</f>
        <v>0.22192337748467222</v>
      </c>
      <c r="CH34" s="326">
        <f>'Unit Costs and Indicators'!$L$10*CH33</f>
        <v>0.22192337748467222</v>
      </c>
      <c r="CI34" s="326">
        <f>'Unit Costs and Indicators'!$L$10*CI33</f>
        <v>0.22192337748467222</v>
      </c>
      <c r="CJ34" s="326">
        <f>'Unit Costs and Indicators'!$L$10*CJ33</f>
        <v>0.22192337748467222</v>
      </c>
      <c r="CK34" s="326">
        <f>'Unit Costs and Indicators'!$L$10*CK33</f>
        <v>0.22192337748467222</v>
      </c>
      <c r="CL34" s="326">
        <f>'Unit Costs and Indicators'!$L$10*CL33</f>
        <v>0.22192337748467222</v>
      </c>
      <c r="CM34" s="326">
        <f>'Unit Costs and Indicators'!$L$10*CM33</f>
        <v>0.22192337748467222</v>
      </c>
      <c r="CN34" s="326">
        <f>'Unit Costs and Indicators'!$L$10*CN33</f>
        <v>0.22192337748467222</v>
      </c>
      <c r="CO34" s="326">
        <f>'Unit Costs and Indicators'!$L$10*CO33</f>
        <v>0.22192337748467222</v>
      </c>
      <c r="CP34" s="326">
        <f>'Unit Costs and Indicators'!$L$10*CP33</f>
        <v>0.22192337748467222</v>
      </c>
      <c r="CQ34" s="326">
        <f>'Unit Costs and Indicators'!$L$10*CQ33</f>
        <v>0.22192337748467222</v>
      </c>
      <c r="CR34" s="326">
        <f>'Unit Costs and Indicators'!$L$10*CR33</f>
        <v>0.22192337748467222</v>
      </c>
      <c r="CS34" s="326">
        <f>'Unit Costs and Indicators'!$L$10*CS33</f>
        <v>0.22192337748467222</v>
      </c>
      <c r="CT34" s="326">
        <f>'Unit Costs and Indicators'!$L$10*CT33</f>
        <v>0.22192337748467222</v>
      </c>
      <c r="CU34" s="326">
        <f>'Unit Costs and Indicators'!$L$10*CU33</f>
        <v>0.22192337748467222</v>
      </c>
      <c r="CV34" s="326">
        <f>'Unit Costs and Indicators'!$L$10*CV33</f>
        <v>0.22192337748467222</v>
      </c>
      <c r="CW34" s="326">
        <f>'Unit Costs and Indicators'!$L$10*CW33</f>
        <v>0.22192337748467222</v>
      </c>
      <c r="CX34" s="326">
        <f>'Unit Costs and Indicators'!$L$10*CX33</f>
        <v>0.22192337748467222</v>
      </c>
      <c r="CY34" s="326">
        <f>'Unit Costs and Indicators'!$L$10*CY33</f>
        <v>0.22192337748467222</v>
      </c>
      <c r="CZ34" s="326">
        <f>'Unit Costs and Indicators'!$L$10*CZ33</f>
        <v>0.22192337748467222</v>
      </c>
      <c r="DA34" s="326">
        <f>'Unit Costs and Indicators'!$L$10*DA33</f>
        <v>0.22192337748467222</v>
      </c>
      <c r="DB34" s="326">
        <f>'Unit Costs and Indicators'!$L$10*DB33</f>
        <v>0.22192337748467222</v>
      </c>
      <c r="DC34" s="326">
        <f>'Unit Costs and Indicators'!$L$10*DC33</f>
        <v>0.22192337748467222</v>
      </c>
      <c r="DD34" s="326">
        <f>'Unit Costs and Indicators'!$L$10*DD33</f>
        <v>0.22192337748467222</v>
      </c>
      <c r="DE34" s="326">
        <f>'Unit Costs and Indicators'!$L$10*DE33</f>
        <v>0.22192337748467222</v>
      </c>
      <c r="DF34" s="326"/>
      <c r="DG34" s="326"/>
      <c r="DH34" s="326"/>
      <c r="DI34" s="326"/>
      <c r="DJ34" s="326"/>
      <c r="DK34" s="326"/>
      <c r="DL34" s="326"/>
    </row>
    <row r="35" spans="1:116" ht="15.75" hidden="1" customHeight="1" outlineLevel="1" x14ac:dyDescent="0.25">
      <c r="A35" s="763"/>
      <c r="B35" s="764"/>
      <c r="C35" s="321" t="s">
        <v>253</v>
      </c>
      <c r="D35" s="3"/>
      <c r="E35" s="280" t="s">
        <v>254</v>
      </c>
      <c r="F35" s="327"/>
      <c r="G35" s="328">
        <v>5.4</v>
      </c>
      <c r="H35" s="302">
        <v>5.4</v>
      </c>
      <c r="I35" s="308">
        <f>H35*(1+'Unit Costs and Indicators'!$D$136)</f>
        <v>5.4</v>
      </c>
      <c r="J35" s="308">
        <f>I35*(1+'Unit Costs and Indicators'!$D$136)</f>
        <v>5.4</v>
      </c>
      <c r="K35" s="308">
        <f>J35*(1+'Unit Costs and Indicators'!$D$136)</f>
        <v>5.4</v>
      </c>
      <c r="L35" s="308">
        <f>K35*(1+'Unit Costs and Indicators'!$D$136)</f>
        <v>5.4</v>
      </c>
      <c r="M35" s="308">
        <f>L35*(1+'Unit Costs and Indicators'!$D$136)</f>
        <v>5.4</v>
      </c>
      <c r="N35" s="308">
        <f>M35*(1+'Unit Costs and Indicators'!$D$136)</f>
        <v>5.4</v>
      </c>
      <c r="O35" s="308">
        <f>N35*(1+'Unit Costs and Indicators'!$D$136)</f>
        <v>5.4</v>
      </c>
      <c r="P35" s="308">
        <f>O35*(1+'Unit Costs and Indicators'!$D$136)</f>
        <v>5.4</v>
      </c>
      <c r="Q35" s="308">
        <f>P35*(1+'Unit Costs and Indicators'!$D$136)</f>
        <v>5.4</v>
      </c>
      <c r="R35" s="308">
        <f>Q35*(1+'Unit Costs and Indicators'!$D$136)</f>
        <v>5.4</v>
      </c>
      <c r="S35" s="308">
        <f>R35*(1+'Unit Costs and Indicators'!$D$136)</f>
        <v>5.4</v>
      </c>
      <c r="T35" s="308">
        <f>S35*(1+'Unit Costs and Indicators'!$D$136)</f>
        <v>5.4</v>
      </c>
      <c r="U35" s="308">
        <f>T35*(1+'Unit Costs and Indicators'!$D$136)</f>
        <v>5.4</v>
      </c>
      <c r="V35" s="308">
        <f>U35*(1+'Unit Costs and Indicators'!$D$136)</f>
        <v>5.4</v>
      </c>
      <c r="W35" s="308">
        <f>V35*(1+'Unit Costs and Indicators'!$D$136)</f>
        <v>5.4</v>
      </c>
      <c r="X35" s="308">
        <f>W35*(1+'Unit Costs and Indicators'!$D$136)</f>
        <v>5.4</v>
      </c>
      <c r="Y35" s="308">
        <f>X35*(1+'Unit Costs and Indicators'!$D$136)</f>
        <v>5.4</v>
      </c>
      <c r="Z35" s="308">
        <f>Y35*(1+'Unit Costs and Indicators'!$D$136)</f>
        <v>5.4</v>
      </c>
      <c r="AA35" s="308">
        <f>Z35*(1+'Unit Costs and Indicators'!$D$136)</f>
        <v>5.4</v>
      </c>
      <c r="AB35" s="308">
        <f>AA35*(1+'Unit Costs and Indicators'!$D$136)</f>
        <v>5.4</v>
      </c>
      <c r="AC35" s="308">
        <f>AB35*(1+'Unit Costs and Indicators'!$D$136)</f>
        <v>5.4</v>
      </c>
      <c r="AD35" s="308">
        <f>AC35*(1+'Unit Costs and Indicators'!$D$136)</f>
        <v>5.4</v>
      </c>
      <c r="AE35" s="308">
        <f>AD35*(1+'Unit Costs and Indicators'!$D$136)</f>
        <v>5.4</v>
      </c>
      <c r="AF35" s="308">
        <f>AE35*(1+'Unit Costs and Indicators'!$D$136)</f>
        <v>5.4</v>
      </c>
      <c r="AG35" s="308">
        <f>AF35*(1+'Unit Costs and Indicators'!$D$136)</f>
        <v>5.4</v>
      </c>
      <c r="AH35" s="308">
        <f>AG35*(1+'Unit Costs and Indicators'!$D$136)</f>
        <v>5.4</v>
      </c>
      <c r="AI35" s="308">
        <f>AH35*(1+'Unit Costs and Indicators'!$D$136)</f>
        <v>5.4</v>
      </c>
      <c r="AJ35" s="308">
        <f>AI35*(1+'Unit Costs and Indicators'!$D$136)</f>
        <v>5.4</v>
      </c>
      <c r="AK35" s="308">
        <f>AJ35*(1+'Unit Costs and Indicators'!$D$136)</f>
        <v>5.4</v>
      </c>
      <c r="AL35" s="308">
        <f>AK35*(1+'Unit Costs and Indicators'!$D$136)</f>
        <v>5.4</v>
      </c>
      <c r="AM35" s="308">
        <f>AL35*(1+'Unit Costs and Indicators'!$D$136)</f>
        <v>5.4</v>
      </c>
      <c r="AN35" s="308">
        <f>AM35*(1+'Unit Costs and Indicators'!$D$136)</f>
        <v>5.4</v>
      </c>
      <c r="AO35" s="308">
        <f>AN35*(1+'Unit Costs and Indicators'!$D$136)</f>
        <v>5.4</v>
      </c>
      <c r="AP35" s="308">
        <f>AO35*(1+'Unit Costs and Indicators'!$D$136)</f>
        <v>5.4</v>
      </c>
      <c r="AQ35" s="308">
        <f>AP35*(1+'Unit Costs and Indicators'!$D$136)</f>
        <v>5.4</v>
      </c>
      <c r="AR35" s="308">
        <f>AQ35*(1+'Unit Costs and Indicators'!$D$136)</f>
        <v>5.4</v>
      </c>
      <c r="AS35" s="308">
        <f>AR35*(1+'Unit Costs and Indicators'!$D$136)</f>
        <v>5.4</v>
      </c>
      <c r="AT35" s="308">
        <f>AS35*(1+'Unit Costs and Indicators'!$D$136)</f>
        <v>5.4</v>
      </c>
      <c r="AU35" s="308">
        <f>AT35*(1+'Unit Costs and Indicators'!$D$136)</f>
        <v>5.4</v>
      </c>
      <c r="AV35" s="308">
        <f>AU35*(1+'Unit Costs and Indicators'!$D$136)</f>
        <v>5.4</v>
      </c>
      <c r="AW35" s="308">
        <f>AV35*(1+'Unit Costs and Indicators'!$D$136)</f>
        <v>5.4</v>
      </c>
      <c r="AX35" s="308">
        <f>AW35*(1+'Unit Costs and Indicators'!$D$136)</f>
        <v>5.4</v>
      </c>
      <c r="AY35" s="308">
        <f>AX35*(1+'Unit Costs and Indicators'!$D$136)</f>
        <v>5.4</v>
      </c>
      <c r="AZ35" s="308">
        <f>AY35*(1+'Unit Costs and Indicators'!$D$136)</f>
        <v>5.4</v>
      </c>
      <c r="BA35" s="308">
        <f>AZ35*(1+'Unit Costs and Indicators'!$D$136)</f>
        <v>5.4</v>
      </c>
      <c r="BB35" s="308">
        <f>BA35*(1+'Unit Costs and Indicators'!$D$136)</f>
        <v>5.4</v>
      </c>
      <c r="BC35" s="308">
        <f>BB35*(1+'Unit Costs and Indicators'!$D$136)</f>
        <v>5.4</v>
      </c>
      <c r="BD35" s="308">
        <f>BC35*(1+'Unit Costs and Indicators'!$D$136)</f>
        <v>5.4</v>
      </c>
      <c r="BE35" s="308">
        <f>BD35*(1+'Unit Costs and Indicators'!$D$136)</f>
        <v>5.4</v>
      </c>
      <c r="BF35" s="308">
        <f>BE35*(1+'Unit Costs and Indicators'!$D$136)</f>
        <v>5.4</v>
      </c>
      <c r="BG35" s="308">
        <f>BF35*(1+'Unit Costs and Indicators'!$D$136)</f>
        <v>5.4</v>
      </c>
      <c r="BH35" s="308">
        <f>BG35*(1+'Unit Costs and Indicators'!$D$136)</f>
        <v>5.4</v>
      </c>
      <c r="BI35" s="308">
        <f>BH35*(1+'Unit Costs and Indicators'!$D$136)</f>
        <v>5.4</v>
      </c>
      <c r="BJ35" s="308">
        <f>BI35*(1+'Unit Costs and Indicators'!$D$136)</f>
        <v>5.4</v>
      </c>
      <c r="BK35" s="308">
        <f>BJ35*(1+'Unit Costs and Indicators'!$D$136)</f>
        <v>5.4</v>
      </c>
      <c r="BL35" s="308">
        <f>BK35*(1+'Unit Costs and Indicators'!$D$136)</f>
        <v>5.4</v>
      </c>
      <c r="BM35" s="308">
        <f>BL35*(1+'Unit Costs and Indicators'!$D$136)</f>
        <v>5.4</v>
      </c>
      <c r="BN35" s="308">
        <f>BM35*(1+'Unit Costs and Indicators'!$D$136)</f>
        <v>5.4</v>
      </c>
      <c r="BO35" s="308">
        <f>BN35*(1+'Unit Costs and Indicators'!$D$136)</f>
        <v>5.4</v>
      </c>
      <c r="BP35" s="308">
        <f>BO35*(1+'Unit Costs and Indicators'!$D$136)</f>
        <v>5.4</v>
      </c>
      <c r="BQ35" s="308">
        <f>BP35*(1+'Unit Costs and Indicators'!$D$136)</f>
        <v>5.4</v>
      </c>
      <c r="BR35" s="308">
        <f>BQ35*(1+'Unit Costs and Indicators'!$D$136)</f>
        <v>5.4</v>
      </c>
      <c r="BS35" s="308">
        <f>BR35*(1+'Unit Costs and Indicators'!$D$136)</f>
        <v>5.4</v>
      </c>
      <c r="BT35" s="308">
        <f>BS35*(1+'Unit Costs and Indicators'!$D$136)</f>
        <v>5.4</v>
      </c>
      <c r="BU35" s="308">
        <f>BT35*(1+'Unit Costs and Indicators'!$D$136)</f>
        <v>5.4</v>
      </c>
      <c r="BV35" s="308">
        <f>BU35*(1+'Unit Costs and Indicators'!$D$136)</f>
        <v>5.4</v>
      </c>
      <c r="BW35" s="308">
        <f>BV35*(1+'Unit Costs and Indicators'!$D$136)</f>
        <v>5.4</v>
      </c>
      <c r="BX35" s="308">
        <f>BW35*(1+'Unit Costs and Indicators'!$D$136)</f>
        <v>5.4</v>
      </c>
      <c r="BY35" s="308">
        <f>BX35*(1+'Unit Costs and Indicators'!$D$136)</f>
        <v>5.4</v>
      </c>
      <c r="BZ35" s="308">
        <f>BY35*(1+'Unit Costs and Indicators'!$D$136)</f>
        <v>5.4</v>
      </c>
      <c r="CA35" s="308">
        <f>BZ35*(1+'Unit Costs and Indicators'!$D$136)</f>
        <v>5.4</v>
      </c>
      <c r="CB35" s="308">
        <f>CA35*(1+'Unit Costs and Indicators'!$D$136)</f>
        <v>5.4</v>
      </c>
      <c r="CC35" s="308">
        <f>CB35*(1+'Unit Costs and Indicators'!$D$136)</f>
        <v>5.4</v>
      </c>
      <c r="CD35" s="308">
        <f>CC35*(1+'Unit Costs and Indicators'!$D$136)</f>
        <v>5.4</v>
      </c>
      <c r="CE35" s="308">
        <f>CD35*(1+'Unit Costs and Indicators'!$D$136)</f>
        <v>5.4</v>
      </c>
      <c r="CF35" s="308">
        <f>CE35*(1+'Unit Costs and Indicators'!$D$136)</f>
        <v>5.4</v>
      </c>
      <c r="CG35" s="308">
        <f>CF35*(1+'Unit Costs and Indicators'!$D$136)</f>
        <v>5.4</v>
      </c>
      <c r="CH35" s="308">
        <f>CG35*(1+'Unit Costs and Indicators'!$D$136)</f>
        <v>5.4</v>
      </c>
      <c r="CI35" s="308">
        <f>CH35*(1+'Unit Costs and Indicators'!$D$136)</f>
        <v>5.4</v>
      </c>
      <c r="CJ35" s="308">
        <f>CI35*(1+'Unit Costs and Indicators'!$D$136)</f>
        <v>5.4</v>
      </c>
      <c r="CK35" s="308">
        <f>CJ35*(1+'Unit Costs and Indicators'!$D$136)</f>
        <v>5.4</v>
      </c>
      <c r="CL35" s="308">
        <f>CK35*(1+'Unit Costs and Indicators'!$D$136)</f>
        <v>5.4</v>
      </c>
      <c r="CM35" s="308">
        <f>CL35*(1+'Unit Costs and Indicators'!$D$136)</f>
        <v>5.4</v>
      </c>
      <c r="CN35" s="308">
        <f>CM35*(1+'Unit Costs and Indicators'!$D$136)</f>
        <v>5.4</v>
      </c>
      <c r="CO35" s="308">
        <f>CN35*(1+'Unit Costs and Indicators'!$D$136)</f>
        <v>5.4</v>
      </c>
      <c r="CP35" s="308">
        <f>CO35*(1+'Unit Costs and Indicators'!$D$136)</f>
        <v>5.4</v>
      </c>
      <c r="CQ35" s="308">
        <f>CP35*(1+'Unit Costs and Indicators'!$D$136)</f>
        <v>5.4</v>
      </c>
      <c r="CR35" s="308">
        <f>CQ35*(1+'Unit Costs and Indicators'!$D$136)</f>
        <v>5.4</v>
      </c>
      <c r="CS35" s="308">
        <f>CR35*(1+'Unit Costs and Indicators'!$D$136)</f>
        <v>5.4</v>
      </c>
      <c r="CT35" s="308">
        <f>CS35*(1+'Unit Costs and Indicators'!$D$136)</f>
        <v>5.4</v>
      </c>
      <c r="CU35" s="308">
        <f>CT35*(1+'Unit Costs and Indicators'!$D$136)</f>
        <v>5.4</v>
      </c>
      <c r="CV35" s="308">
        <f>CU35*(1+'Unit Costs and Indicators'!$D$136)</f>
        <v>5.4</v>
      </c>
      <c r="CW35" s="308">
        <f>CV35*(1+'Unit Costs and Indicators'!$D$136)</f>
        <v>5.4</v>
      </c>
      <c r="CX35" s="308">
        <f>CW35*(1+'Unit Costs and Indicators'!$D$136)</f>
        <v>5.4</v>
      </c>
      <c r="CY35" s="308">
        <f>CX35*(1+'Unit Costs and Indicators'!$D$136)</f>
        <v>5.4</v>
      </c>
      <c r="CZ35" s="308">
        <f>CY35*(1+'Unit Costs and Indicators'!$D$136)</f>
        <v>5.4</v>
      </c>
      <c r="DA35" s="308">
        <f>CZ35*(1+'Unit Costs and Indicators'!$D$136)</f>
        <v>5.4</v>
      </c>
      <c r="DB35" s="308">
        <f>DA35*(1+'Unit Costs and Indicators'!$D$136)</f>
        <v>5.4</v>
      </c>
      <c r="DC35" s="308">
        <f>DB35*(1+'Unit Costs and Indicators'!$D$136)</f>
        <v>5.4</v>
      </c>
      <c r="DD35" s="308">
        <f>DC35*(1+'Unit Costs and Indicators'!$D$136)</f>
        <v>5.4</v>
      </c>
      <c r="DE35" s="308">
        <f>DD35*(1+'Unit Costs and Indicators'!$D$136)</f>
        <v>5.4</v>
      </c>
      <c r="DF35" s="308"/>
      <c r="DG35" s="308"/>
      <c r="DH35" s="308"/>
      <c r="DI35" s="308"/>
      <c r="DJ35" s="308"/>
      <c r="DK35" s="308"/>
      <c r="DL35" s="308"/>
    </row>
    <row r="36" spans="1:116" ht="15.75" hidden="1" customHeight="1" outlineLevel="1" x14ac:dyDescent="0.25">
      <c r="A36" s="763"/>
      <c r="B36" s="764"/>
      <c r="C36" s="321" t="s">
        <v>255</v>
      </c>
      <c r="D36" s="3"/>
      <c r="E36" s="280" t="s">
        <v>234</v>
      </c>
      <c r="F36" s="327"/>
      <c r="G36" s="328"/>
      <c r="H36" s="302">
        <f t="shared" ref="H36:DE36" si="13">16+H35</f>
        <v>21.4</v>
      </c>
      <c r="I36" s="303">
        <f t="shared" si="13"/>
        <v>21.4</v>
      </c>
      <c r="J36" s="303">
        <f t="shared" si="13"/>
        <v>21.4</v>
      </c>
      <c r="K36" s="303">
        <f t="shared" si="13"/>
        <v>21.4</v>
      </c>
      <c r="L36" s="303">
        <f t="shared" si="13"/>
        <v>21.4</v>
      </c>
      <c r="M36" s="303">
        <f t="shared" si="13"/>
        <v>21.4</v>
      </c>
      <c r="N36" s="303">
        <f t="shared" si="13"/>
        <v>21.4</v>
      </c>
      <c r="O36" s="303">
        <f t="shared" si="13"/>
        <v>21.4</v>
      </c>
      <c r="P36" s="303">
        <f t="shared" si="13"/>
        <v>21.4</v>
      </c>
      <c r="Q36" s="303">
        <f t="shared" si="13"/>
        <v>21.4</v>
      </c>
      <c r="R36" s="303">
        <f t="shared" si="13"/>
        <v>21.4</v>
      </c>
      <c r="S36" s="303">
        <f t="shared" si="13"/>
        <v>21.4</v>
      </c>
      <c r="T36" s="303">
        <f t="shared" si="13"/>
        <v>21.4</v>
      </c>
      <c r="U36" s="303">
        <f t="shared" si="13"/>
        <v>21.4</v>
      </c>
      <c r="V36" s="303">
        <f t="shared" si="13"/>
        <v>21.4</v>
      </c>
      <c r="W36" s="303">
        <f t="shared" si="13"/>
        <v>21.4</v>
      </c>
      <c r="X36" s="303">
        <f t="shared" si="13"/>
        <v>21.4</v>
      </c>
      <c r="Y36" s="303">
        <f t="shared" si="13"/>
        <v>21.4</v>
      </c>
      <c r="Z36" s="303">
        <f t="shared" si="13"/>
        <v>21.4</v>
      </c>
      <c r="AA36" s="303">
        <f t="shared" si="13"/>
        <v>21.4</v>
      </c>
      <c r="AB36" s="303">
        <f t="shared" si="13"/>
        <v>21.4</v>
      </c>
      <c r="AC36" s="303">
        <f t="shared" si="13"/>
        <v>21.4</v>
      </c>
      <c r="AD36" s="303">
        <f t="shared" si="13"/>
        <v>21.4</v>
      </c>
      <c r="AE36" s="303">
        <f t="shared" si="13"/>
        <v>21.4</v>
      </c>
      <c r="AF36" s="303">
        <f t="shared" si="13"/>
        <v>21.4</v>
      </c>
      <c r="AG36" s="303">
        <f t="shared" si="13"/>
        <v>21.4</v>
      </c>
      <c r="AH36" s="303">
        <f t="shared" si="13"/>
        <v>21.4</v>
      </c>
      <c r="AI36" s="303">
        <f t="shared" si="13"/>
        <v>21.4</v>
      </c>
      <c r="AJ36" s="303">
        <f t="shared" si="13"/>
        <v>21.4</v>
      </c>
      <c r="AK36" s="303">
        <f t="shared" si="13"/>
        <v>21.4</v>
      </c>
      <c r="AL36" s="303">
        <f t="shared" si="13"/>
        <v>21.4</v>
      </c>
      <c r="AM36" s="303">
        <f t="shared" si="13"/>
        <v>21.4</v>
      </c>
      <c r="AN36" s="303">
        <f t="shared" si="13"/>
        <v>21.4</v>
      </c>
      <c r="AO36" s="303">
        <f t="shared" si="13"/>
        <v>21.4</v>
      </c>
      <c r="AP36" s="303">
        <f t="shared" si="13"/>
        <v>21.4</v>
      </c>
      <c r="AQ36" s="303">
        <f t="shared" si="13"/>
        <v>21.4</v>
      </c>
      <c r="AR36" s="303">
        <f t="shared" si="13"/>
        <v>21.4</v>
      </c>
      <c r="AS36" s="303">
        <f t="shared" si="13"/>
        <v>21.4</v>
      </c>
      <c r="AT36" s="303">
        <f t="shared" si="13"/>
        <v>21.4</v>
      </c>
      <c r="AU36" s="303">
        <f t="shared" si="13"/>
        <v>21.4</v>
      </c>
      <c r="AV36" s="303">
        <f t="shared" si="13"/>
        <v>21.4</v>
      </c>
      <c r="AW36" s="303">
        <f t="shared" si="13"/>
        <v>21.4</v>
      </c>
      <c r="AX36" s="303">
        <f t="shared" si="13"/>
        <v>21.4</v>
      </c>
      <c r="AY36" s="303">
        <f t="shared" si="13"/>
        <v>21.4</v>
      </c>
      <c r="AZ36" s="303">
        <f t="shared" si="13"/>
        <v>21.4</v>
      </c>
      <c r="BA36" s="303">
        <f t="shared" si="13"/>
        <v>21.4</v>
      </c>
      <c r="BB36" s="303">
        <f t="shared" si="13"/>
        <v>21.4</v>
      </c>
      <c r="BC36" s="303">
        <f t="shared" si="13"/>
        <v>21.4</v>
      </c>
      <c r="BD36" s="303">
        <f t="shared" si="13"/>
        <v>21.4</v>
      </c>
      <c r="BE36" s="303">
        <f t="shared" si="13"/>
        <v>21.4</v>
      </c>
      <c r="BF36" s="303">
        <f t="shared" si="13"/>
        <v>21.4</v>
      </c>
      <c r="BG36" s="303">
        <f t="shared" si="13"/>
        <v>21.4</v>
      </c>
      <c r="BH36" s="303">
        <f t="shared" si="13"/>
        <v>21.4</v>
      </c>
      <c r="BI36" s="303">
        <f t="shared" si="13"/>
        <v>21.4</v>
      </c>
      <c r="BJ36" s="303">
        <f t="shared" si="13"/>
        <v>21.4</v>
      </c>
      <c r="BK36" s="303">
        <f t="shared" si="13"/>
        <v>21.4</v>
      </c>
      <c r="BL36" s="303">
        <f t="shared" si="13"/>
        <v>21.4</v>
      </c>
      <c r="BM36" s="303">
        <f t="shared" si="13"/>
        <v>21.4</v>
      </c>
      <c r="BN36" s="303">
        <f t="shared" si="13"/>
        <v>21.4</v>
      </c>
      <c r="BO36" s="303">
        <f t="shared" si="13"/>
        <v>21.4</v>
      </c>
      <c r="BP36" s="303">
        <f t="shared" si="13"/>
        <v>21.4</v>
      </c>
      <c r="BQ36" s="303">
        <f t="shared" si="13"/>
        <v>21.4</v>
      </c>
      <c r="BR36" s="303">
        <f t="shared" si="13"/>
        <v>21.4</v>
      </c>
      <c r="BS36" s="303">
        <f t="shared" si="13"/>
        <v>21.4</v>
      </c>
      <c r="BT36" s="303">
        <f t="shared" si="13"/>
        <v>21.4</v>
      </c>
      <c r="BU36" s="303">
        <f t="shared" si="13"/>
        <v>21.4</v>
      </c>
      <c r="BV36" s="303">
        <f t="shared" si="13"/>
        <v>21.4</v>
      </c>
      <c r="BW36" s="303">
        <f t="shared" si="13"/>
        <v>21.4</v>
      </c>
      <c r="BX36" s="303">
        <f t="shared" si="13"/>
        <v>21.4</v>
      </c>
      <c r="BY36" s="303">
        <f t="shared" si="13"/>
        <v>21.4</v>
      </c>
      <c r="BZ36" s="303">
        <f t="shared" si="13"/>
        <v>21.4</v>
      </c>
      <c r="CA36" s="303">
        <f t="shared" si="13"/>
        <v>21.4</v>
      </c>
      <c r="CB36" s="303">
        <f t="shared" si="13"/>
        <v>21.4</v>
      </c>
      <c r="CC36" s="303">
        <f t="shared" si="13"/>
        <v>21.4</v>
      </c>
      <c r="CD36" s="303">
        <f t="shared" si="13"/>
        <v>21.4</v>
      </c>
      <c r="CE36" s="303">
        <f t="shared" si="13"/>
        <v>21.4</v>
      </c>
      <c r="CF36" s="303">
        <f t="shared" si="13"/>
        <v>21.4</v>
      </c>
      <c r="CG36" s="303">
        <f t="shared" si="13"/>
        <v>21.4</v>
      </c>
      <c r="CH36" s="303">
        <f t="shared" si="13"/>
        <v>21.4</v>
      </c>
      <c r="CI36" s="303">
        <f t="shared" si="13"/>
        <v>21.4</v>
      </c>
      <c r="CJ36" s="303">
        <f t="shared" si="13"/>
        <v>21.4</v>
      </c>
      <c r="CK36" s="303">
        <f t="shared" si="13"/>
        <v>21.4</v>
      </c>
      <c r="CL36" s="303">
        <f t="shared" si="13"/>
        <v>21.4</v>
      </c>
      <c r="CM36" s="303">
        <f t="shared" si="13"/>
        <v>21.4</v>
      </c>
      <c r="CN36" s="303">
        <f t="shared" si="13"/>
        <v>21.4</v>
      </c>
      <c r="CO36" s="303">
        <f t="shared" si="13"/>
        <v>21.4</v>
      </c>
      <c r="CP36" s="303">
        <f t="shared" si="13"/>
        <v>21.4</v>
      </c>
      <c r="CQ36" s="303">
        <f t="shared" si="13"/>
        <v>21.4</v>
      </c>
      <c r="CR36" s="303">
        <f t="shared" si="13"/>
        <v>21.4</v>
      </c>
      <c r="CS36" s="303">
        <f t="shared" si="13"/>
        <v>21.4</v>
      </c>
      <c r="CT36" s="303">
        <f t="shared" si="13"/>
        <v>21.4</v>
      </c>
      <c r="CU36" s="303">
        <f t="shared" si="13"/>
        <v>21.4</v>
      </c>
      <c r="CV36" s="303">
        <f t="shared" si="13"/>
        <v>21.4</v>
      </c>
      <c r="CW36" s="303">
        <f t="shared" si="13"/>
        <v>21.4</v>
      </c>
      <c r="CX36" s="303">
        <f t="shared" si="13"/>
        <v>21.4</v>
      </c>
      <c r="CY36" s="303">
        <f t="shared" si="13"/>
        <v>21.4</v>
      </c>
      <c r="CZ36" s="303">
        <f t="shared" si="13"/>
        <v>21.4</v>
      </c>
      <c r="DA36" s="303">
        <f t="shared" si="13"/>
        <v>21.4</v>
      </c>
      <c r="DB36" s="303">
        <f t="shared" si="13"/>
        <v>21.4</v>
      </c>
      <c r="DC36" s="303">
        <f t="shared" si="13"/>
        <v>21.4</v>
      </c>
      <c r="DD36" s="303">
        <f t="shared" si="13"/>
        <v>21.4</v>
      </c>
      <c r="DE36" s="303">
        <f t="shared" si="13"/>
        <v>21.4</v>
      </c>
      <c r="DF36" s="303"/>
      <c r="DG36" s="303"/>
      <c r="DH36" s="303"/>
      <c r="DI36" s="303"/>
      <c r="DJ36" s="303"/>
      <c r="DK36" s="303"/>
      <c r="DL36" s="303"/>
    </row>
    <row r="37" spans="1:116" ht="15.75" hidden="1" customHeight="1" outlineLevel="1" x14ac:dyDescent="0.25">
      <c r="A37" s="763"/>
      <c r="B37" s="764"/>
      <c r="C37" s="321" t="s">
        <v>256</v>
      </c>
      <c r="D37" s="3"/>
      <c r="E37" s="280"/>
      <c r="F37" s="327"/>
      <c r="G37" s="329">
        <v>27.13</v>
      </c>
      <c r="H37" s="302">
        <v>27.13</v>
      </c>
      <c r="I37" s="303">
        <v>27.13</v>
      </c>
      <c r="J37" s="303">
        <v>27.13</v>
      </c>
      <c r="K37" s="303">
        <v>27.13</v>
      </c>
      <c r="L37" s="303">
        <v>27.13</v>
      </c>
      <c r="M37" s="303">
        <v>27.13</v>
      </c>
      <c r="N37" s="303">
        <v>27.13</v>
      </c>
      <c r="O37" s="303">
        <v>27.13</v>
      </c>
      <c r="P37" s="303">
        <v>27.13</v>
      </c>
      <c r="Q37" s="303">
        <v>27.13</v>
      </c>
      <c r="R37" s="303">
        <v>27.13</v>
      </c>
      <c r="S37" s="303">
        <v>27.13</v>
      </c>
      <c r="T37" s="303">
        <v>27.13</v>
      </c>
      <c r="U37" s="303">
        <v>27.13</v>
      </c>
      <c r="V37" s="303">
        <v>27.13</v>
      </c>
      <c r="W37" s="303">
        <v>27.13</v>
      </c>
      <c r="X37" s="303">
        <v>27.13</v>
      </c>
      <c r="Y37" s="303">
        <v>27.13</v>
      </c>
      <c r="Z37" s="303">
        <v>27.13</v>
      </c>
      <c r="AA37" s="303">
        <v>27.13</v>
      </c>
      <c r="AB37" s="303">
        <v>27.13</v>
      </c>
      <c r="AC37" s="303">
        <v>27.13</v>
      </c>
      <c r="AD37" s="303">
        <v>27.13</v>
      </c>
      <c r="AE37" s="303">
        <v>27.13</v>
      </c>
      <c r="AF37" s="303">
        <v>27.13</v>
      </c>
      <c r="AG37" s="303">
        <v>27.13</v>
      </c>
      <c r="AH37" s="303">
        <v>27.13</v>
      </c>
      <c r="AI37" s="303">
        <v>27.13</v>
      </c>
      <c r="AJ37" s="303">
        <v>27.13</v>
      </c>
      <c r="AK37" s="303">
        <v>27.13</v>
      </c>
      <c r="AL37" s="303">
        <v>27.13</v>
      </c>
      <c r="AM37" s="303">
        <v>27.13</v>
      </c>
      <c r="AN37" s="303">
        <v>27.13</v>
      </c>
      <c r="AO37" s="303">
        <v>27.13</v>
      </c>
      <c r="AP37" s="303">
        <v>27.13</v>
      </c>
      <c r="AQ37" s="303">
        <v>27.13</v>
      </c>
      <c r="AR37" s="303">
        <v>27.13</v>
      </c>
      <c r="AS37" s="303">
        <v>27.13</v>
      </c>
      <c r="AT37" s="303">
        <v>27.13</v>
      </c>
      <c r="AU37" s="303">
        <v>27.13</v>
      </c>
      <c r="AV37" s="303">
        <v>27.13</v>
      </c>
      <c r="AW37" s="303">
        <v>27.13</v>
      </c>
      <c r="AX37" s="303">
        <v>27.13</v>
      </c>
      <c r="AY37" s="303">
        <v>27.13</v>
      </c>
      <c r="AZ37" s="303">
        <v>27.13</v>
      </c>
      <c r="BA37" s="303">
        <v>27.13</v>
      </c>
      <c r="BB37" s="303">
        <v>27.13</v>
      </c>
      <c r="BC37" s="303">
        <v>27.13</v>
      </c>
      <c r="BD37" s="303">
        <v>27.13</v>
      </c>
      <c r="BE37" s="303">
        <v>27.13</v>
      </c>
      <c r="BF37" s="303">
        <v>27.13</v>
      </c>
      <c r="BG37" s="303">
        <v>27.13</v>
      </c>
      <c r="BH37" s="303">
        <v>27.13</v>
      </c>
      <c r="BI37" s="303">
        <v>27.13</v>
      </c>
      <c r="BJ37" s="303">
        <v>27.13</v>
      </c>
      <c r="BK37" s="303">
        <v>27.13</v>
      </c>
      <c r="BL37" s="303">
        <v>27.13</v>
      </c>
      <c r="BM37" s="303">
        <v>27.13</v>
      </c>
      <c r="BN37" s="303">
        <v>27.13</v>
      </c>
      <c r="BO37" s="303">
        <v>27.13</v>
      </c>
      <c r="BP37" s="303">
        <v>27.13</v>
      </c>
      <c r="BQ37" s="303">
        <v>27.13</v>
      </c>
      <c r="BR37" s="303">
        <v>27.13</v>
      </c>
      <c r="BS37" s="303">
        <v>27.13</v>
      </c>
      <c r="BT37" s="303">
        <v>27.13</v>
      </c>
      <c r="BU37" s="303">
        <v>27.13</v>
      </c>
      <c r="BV37" s="303">
        <v>27.13</v>
      </c>
      <c r="BW37" s="303">
        <v>27.13</v>
      </c>
      <c r="BX37" s="303">
        <v>27.13</v>
      </c>
      <c r="BY37" s="303">
        <v>27.13</v>
      </c>
      <c r="BZ37" s="303">
        <v>27.13</v>
      </c>
      <c r="CA37" s="303">
        <v>27.13</v>
      </c>
      <c r="CB37" s="303">
        <v>27.13</v>
      </c>
      <c r="CC37" s="303">
        <v>27.13</v>
      </c>
      <c r="CD37" s="303">
        <v>27.13</v>
      </c>
      <c r="CE37" s="303">
        <v>27.13</v>
      </c>
      <c r="CF37" s="303">
        <v>27.13</v>
      </c>
      <c r="CG37" s="303">
        <v>27.13</v>
      </c>
      <c r="CH37" s="303">
        <v>27.13</v>
      </c>
      <c r="CI37" s="303">
        <v>27.13</v>
      </c>
      <c r="CJ37" s="303">
        <v>27.13</v>
      </c>
      <c r="CK37" s="303">
        <v>27.13</v>
      </c>
      <c r="CL37" s="303">
        <v>27.13</v>
      </c>
      <c r="CM37" s="303">
        <v>27.13</v>
      </c>
      <c r="CN37" s="303">
        <v>27.13</v>
      </c>
      <c r="CO37" s="303">
        <v>27.13</v>
      </c>
      <c r="CP37" s="303">
        <v>27.13</v>
      </c>
      <c r="CQ37" s="303">
        <v>27.13</v>
      </c>
      <c r="CR37" s="303">
        <v>27.13</v>
      </c>
      <c r="CS37" s="303">
        <v>27.13</v>
      </c>
      <c r="CT37" s="303">
        <v>27.13</v>
      </c>
      <c r="CU37" s="303">
        <v>27.13</v>
      </c>
      <c r="CV37" s="303">
        <v>27.13</v>
      </c>
      <c r="CW37" s="303">
        <v>27.13</v>
      </c>
      <c r="CX37" s="303">
        <v>27.13</v>
      </c>
      <c r="CY37" s="303">
        <v>27.13</v>
      </c>
      <c r="CZ37" s="303">
        <v>27.13</v>
      </c>
      <c r="DA37" s="303">
        <v>27.13</v>
      </c>
      <c r="DB37" s="303">
        <v>27.13</v>
      </c>
      <c r="DC37" s="303">
        <v>27.13</v>
      </c>
      <c r="DD37" s="303">
        <v>27.13</v>
      </c>
      <c r="DE37" s="303">
        <v>27.13</v>
      </c>
      <c r="DF37" s="303"/>
      <c r="DG37" s="303"/>
      <c r="DH37" s="303"/>
      <c r="DI37" s="303"/>
      <c r="DJ37" s="303"/>
      <c r="DK37" s="303"/>
      <c r="DL37" s="303"/>
    </row>
    <row r="38" spans="1:116" ht="15.75" hidden="1" customHeight="1" outlineLevel="1" x14ac:dyDescent="0.25">
      <c r="A38" s="763"/>
      <c r="B38" s="764"/>
      <c r="C38" s="321" t="s">
        <v>257</v>
      </c>
      <c r="D38" s="3"/>
      <c r="E38" s="280"/>
      <c r="F38" s="327"/>
      <c r="G38" s="329"/>
      <c r="H38" s="302">
        <f t="shared" ref="H38:DE38" si="14">H37*H34</f>
        <v>6.0207812311591571</v>
      </c>
      <c r="I38" s="303">
        <f t="shared" si="14"/>
        <v>6.0207812311591571</v>
      </c>
      <c r="J38" s="303">
        <f t="shared" si="14"/>
        <v>6.0207812311591571</v>
      </c>
      <c r="K38" s="303">
        <f t="shared" si="14"/>
        <v>6.0207812311591571</v>
      </c>
      <c r="L38" s="303">
        <f t="shared" si="14"/>
        <v>6.0207812311591571</v>
      </c>
      <c r="M38" s="303">
        <f t="shared" si="14"/>
        <v>6.0207812311591571</v>
      </c>
      <c r="N38" s="303">
        <f t="shared" si="14"/>
        <v>6.0207812311591571</v>
      </c>
      <c r="O38" s="303">
        <f t="shared" si="14"/>
        <v>6.0207812311591571</v>
      </c>
      <c r="P38" s="303">
        <f t="shared" si="14"/>
        <v>6.0207812311591571</v>
      </c>
      <c r="Q38" s="303">
        <f t="shared" si="14"/>
        <v>6.0207812311591571</v>
      </c>
      <c r="R38" s="303">
        <f t="shared" si="14"/>
        <v>6.0207812311591571</v>
      </c>
      <c r="S38" s="303">
        <f t="shared" si="14"/>
        <v>6.0207812311591571</v>
      </c>
      <c r="T38" s="303">
        <f t="shared" si="14"/>
        <v>6.0207812311591571</v>
      </c>
      <c r="U38" s="303">
        <f t="shared" si="14"/>
        <v>6.0207812311591571</v>
      </c>
      <c r="V38" s="303">
        <f t="shared" si="14"/>
        <v>6.0207812311591571</v>
      </c>
      <c r="W38" s="303">
        <f t="shared" si="14"/>
        <v>6.0207812311591571</v>
      </c>
      <c r="X38" s="303">
        <f t="shared" si="14"/>
        <v>6.0207812311591571</v>
      </c>
      <c r="Y38" s="303">
        <f t="shared" si="14"/>
        <v>6.0207812311591571</v>
      </c>
      <c r="Z38" s="303">
        <f t="shared" si="14"/>
        <v>6.0207812311591571</v>
      </c>
      <c r="AA38" s="303">
        <f t="shared" si="14"/>
        <v>6.0207812311591571</v>
      </c>
      <c r="AB38" s="303">
        <f t="shared" si="14"/>
        <v>6.0207812311591571</v>
      </c>
      <c r="AC38" s="303">
        <f t="shared" si="14"/>
        <v>6.0207812311591571</v>
      </c>
      <c r="AD38" s="303">
        <f t="shared" si="14"/>
        <v>6.0207812311591571</v>
      </c>
      <c r="AE38" s="303">
        <f t="shared" si="14"/>
        <v>6.0207812311591571</v>
      </c>
      <c r="AF38" s="303">
        <f t="shared" si="14"/>
        <v>6.0207812311591571</v>
      </c>
      <c r="AG38" s="303">
        <f t="shared" si="14"/>
        <v>6.0207812311591571</v>
      </c>
      <c r="AH38" s="303">
        <f t="shared" si="14"/>
        <v>6.0207812311591571</v>
      </c>
      <c r="AI38" s="303">
        <f t="shared" si="14"/>
        <v>6.0207812311591571</v>
      </c>
      <c r="AJ38" s="303">
        <f t="shared" si="14"/>
        <v>6.0207812311591571</v>
      </c>
      <c r="AK38" s="303">
        <f t="shared" si="14"/>
        <v>6.0207812311591571</v>
      </c>
      <c r="AL38" s="303">
        <f t="shared" si="14"/>
        <v>6.0207812311591571</v>
      </c>
      <c r="AM38" s="303">
        <f t="shared" si="14"/>
        <v>6.0207812311591571</v>
      </c>
      <c r="AN38" s="303">
        <f t="shared" si="14"/>
        <v>6.0207812311591571</v>
      </c>
      <c r="AO38" s="303">
        <f t="shared" si="14"/>
        <v>6.0207812311591571</v>
      </c>
      <c r="AP38" s="303">
        <f t="shared" si="14"/>
        <v>6.0207812311591571</v>
      </c>
      <c r="AQ38" s="303">
        <f t="shared" si="14"/>
        <v>6.0207812311591571</v>
      </c>
      <c r="AR38" s="303">
        <f t="shared" si="14"/>
        <v>6.0207812311591571</v>
      </c>
      <c r="AS38" s="303">
        <f t="shared" si="14"/>
        <v>6.0207812311591571</v>
      </c>
      <c r="AT38" s="303">
        <f t="shared" si="14"/>
        <v>6.0207812311591571</v>
      </c>
      <c r="AU38" s="303">
        <f t="shared" si="14"/>
        <v>6.0207812311591571</v>
      </c>
      <c r="AV38" s="303">
        <f t="shared" si="14"/>
        <v>6.0207812311591571</v>
      </c>
      <c r="AW38" s="303">
        <f t="shared" si="14"/>
        <v>6.0207812311591571</v>
      </c>
      <c r="AX38" s="303">
        <f t="shared" si="14"/>
        <v>6.0207812311591571</v>
      </c>
      <c r="AY38" s="303">
        <f t="shared" si="14"/>
        <v>6.0207812311591571</v>
      </c>
      <c r="AZ38" s="303">
        <f t="shared" si="14"/>
        <v>6.0207812311591571</v>
      </c>
      <c r="BA38" s="303">
        <f t="shared" si="14"/>
        <v>6.0207812311591571</v>
      </c>
      <c r="BB38" s="303">
        <f t="shared" si="14"/>
        <v>6.0207812311591571</v>
      </c>
      <c r="BC38" s="303">
        <f t="shared" si="14"/>
        <v>6.0207812311591571</v>
      </c>
      <c r="BD38" s="303">
        <f t="shared" si="14"/>
        <v>6.0207812311591571</v>
      </c>
      <c r="BE38" s="303">
        <f t="shared" si="14"/>
        <v>6.0207812311591571</v>
      </c>
      <c r="BF38" s="303">
        <f t="shared" si="14"/>
        <v>6.0207812311591571</v>
      </c>
      <c r="BG38" s="303">
        <f t="shared" si="14"/>
        <v>6.0207812311591571</v>
      </c>
      <c r="BH38" s="303">
        <f t="shared" si="14"/>
        <v>6.0207812311591571</v>
      </c>
      <c r="BI38" s="303">
        <f t="shared" si="14"/>
        <v>6.0207812311591571</v>
      </c>
      <c r="BJ38" s="303">
        <f t="shared" si="14"/>
        <v>6.0207812311591571</v>
      </c>
      <c r="BK38" s="303">
        <f t="shared" si="14"/>
        <v>6.0207812311591571</v>
      </c>
      <c r="BL38" s="303">
        <f t="shared" si="14"/>
        <v>6.0207812311591571</v>
      </c>
      <c r="BM38" s="303">
        <f t="shared" si="14"/>
        <v>6.0207812311591571</v>
      </c>
      <c r="BN38" s="303">
        <f t="shared" si="14"/>
        <v>6.0207812311591571</v>
      </c>
      <c r="BO38" s="303">
        <f t="shared" si="14"/>
        <v>6.0207812311591571</v>
      </c>
      <c r="BP38" s="303">
        <f t="shared" si="14"/>
        <v>6.0207812311591571</v>
      </c>
      <c r="BQ38" s="303">
        <f t="shared" si="14"/>
        <v>6.0207812311591571</v>
      </c>
      <c r="BR38" s="303">
        <f t="shared" si="14"/>
        <v>6.0207812311591571</v>
      </c>
      <c r="BS38" s="303">
        <f t="shared" si="14"/>
        <v>6.0207812311591571</v>
      </c>
      <c r="BT38" s="303">
        <f t="shared" si="14"/>
        <v>6.0207812311591571</v>
      </c>
      <c r="BU38" s="303">
        <f t="shared" si="14"/>
        <v>6.0207812311591571</v>
      </c>
      <c r="BV38" s="303">
        <f t="shared" si="14"/>
        <v>6.0207812311591571</v>
      </c>
      <c r="BW38" s="303">
        <f t="shared" si="14"/>
        <v>6.0207812311591571</v>
      </c>
      <c r="BX38" s="303">
        <f t="shared" si="14"/>
        <v>6.0207812311591571</v>
      </c>
      <c r="BY38" s="303">
        <f t="shared" si="14"/>
        <v>6.0207812311591571</v>
      </c>
      <c r="BZ38" s="303">
        <f t="shared" si="14"/>
        <v>6.0207812311591571</v>
      </c>
      <c r="CA38" s="303">
        <f t="shared" si="14"/>
        <v>6.0207812311591571</v>
      </c>
      <c r="CB38" s="303">
        <f t="shared" si="14"/>
        <v>6.0207812311591571</v>
      </c>
      <c r="CC38" s="303">
        <f t="shared" si="14"/>
        <v>6.0207812311591571</v>
      </c>
      <c r="CD38" s="303">
        <f t="shared" si="14"/>
        <v>6.0207812311591571</v>
      </c>
      <c r="CE38" s="303">
        <f t="shared" si="14"/>
        <v>6.0207812311591571</v>
      </c>
      <c r="CF38" s="303">
        <f t="shared" si="14"/>
        <v>6.0207812311591571</v>
      </c>
      <c r="CG38" s="303">
        <f t="shared" si="14"/>
        <v>6.0207812311591571</v>
      </c>
      <c r="CH38" s="303">
        <f t="shared" si="14"/>
        <v>6.0207812311591571</v>
      </c>
      <c r="CI38" s="303">
        <f t="shared" si="14"/>
        <v>6.0207812311591571</v>
      </c>
      <c r="CJ38" s="303">
        <f t="shared" si="14"/>
        <v>6.0207812311591571</v>
      </c>
      <c r="CK38" s="303">
        <f t="shared" si="14"/>
        <v>6.0207812311591571</v>
      </c>
      <c r="CL38" s="303">
        <f t="shared" si="14"/>
        <v>6.0207812311591571</v>
      </c>
      <c r="CM38" s="303">
        <f t="shared" si="14"/>
        <v>6.0207812311591571</v>
      </c>
      <c r="CN38" s="303">
        <f t="shared" si="14"/>
        <v>6.0207812311591571</v>
      </c>
      <c r="CO38" s="303">
        <f t="shared" si="14"/>
        <v>6.0207812311591571</v>
      </c>
      <c r="CP38" s="303">
        <f t="shared" si="14"/>
        <v>6.0207812311591571</v>
      </c>
      <c r="CQ38" s="303">
        <f t="shared" si="14"/>
        <v>6.0207812311591571</v>
      </c>
      <c r="CR38" s="303">
        <f t="shared" si="14"/>
        <v>6.0207812311591571</v>
      </c>
      <c r="CS38" s="303">
        <f t="shared" si="14"/>
        <v>6.0207812311591571</v>
      </c>
      <c r="CT38" s="303">
        <f t="shared" si="14"/>
        <v>6.0207812311591571</v>
      </c>
      <c r="CU38" s="303">
        <f t="shared" si="14"/>
        <v>6.0207812311591571</v>
      </c>
      <c r="CV38" s="303">
        <f t="shared" si="14"/>
        <v>6.0207812311591571</v>
      </c>
      <c r="CW38" s="303">
        <f t="shared" si="14"/>
        <v>6.0207812311591571</v>
      </c>
      <c r="CX38" s="303">
        <f t="shared" si="14"/>
        <v>6.0207812311591571</v>
      </c>
      <c r="CY38" s="303">
        <f t="shared" si="14"/>
        <v>6.0207812311591571</v>
      </c>
      <c r="CZ38" s="303">
        <f t="shared" si="14"/>
        <v>6.0207812311591571</v>
      </c>
      <c r="DA38" s="303">
        <f t="shared" si="14"/>
        <v>6.0207812311591571</v>
      </c>
      <c r="DB38" s="303">
        <f t="shared" si="14"/>
        <v>6.0207812311591571</v>
      </c>
      <c r="DC38" s="303">
        <f t="shared" si="14"/>
        <v>6.0207812311591571</v>
      </c>
      <c r="DD38" s="303">
        <f t="shared" si="14"/>
        <v>6.0207812311591571</v>
      </c>
      <c r="DE38" s="303">
        <f t="shared" si="14"/>
        <v>6.0207812311591571</v>
      </c>
      <c r="DF38" s="303"/>
      <c r="DG38" s="303"/>
      <c r="DH38" s="303"/>
      <c r="DI38" s="303"/>
      <c r="DJ38" s="303"/>
      <c r="DK38" s="303"/>
      <c r="DL38" s="303"/>
    </row>
    <row r="39" spans="1:116" ht="15.75" hidden="1" customHeight="1" outlineLevel="1" x14ac:dyDescent="0.25">
      <c r="A39" s="763"/>
      <c r="B39" s="764"/>
      <c r="C39" s="330" t="s">
        <v>179</v>
      </c>
      <c r="D39" s="331"/>
      <c r="E39" s="332"/>
      <c r="F39" s="333"/>
      <c r="G39" s="334"/>
      <c r="H39" s="335">
        <f>(((H36+H35)*H34)+H38)*'Unit Costs and Indicators'!$A$132</f>
        <v>314.4807291120369</v>
      </c>
      <c r="I39" s="336">
        <f>(((I36+I35)*I34)+I38)*'Unit Costs and Indicators'!$A$132</f>
        <v>314.4807291120369</v>
      </c>
      <c r="J39" s="336">
        <f>(((J36+J35)*J34)+J38)*'Unit Costs and Indicators'!$A$132</f>
        <v>314.4807291120369</v>
      </c>
      <c r="K39" s="336">
        <f>(((K36+K35)*K34)+K38)*'Unit Costs and Indicators'!$A$132</f>
        <v>314.4807291120369</v>
      </c>
      <c r="L39" s="336">
        <f>(((L36+L35)*L34)+L38)*'Unit Costs and Indicators'!$A$132</f>
        <v>314.4807291120369</v>
      </c>
      <c r="M39" s="336">
        <f>(((M36+M35)*M34)+M38)*'Unit Costs and Indicators'!$A$132</f>
        <v>314.4807291120369</v>
      </c>
      <c r="N39" s="336">
        <f>(((N36+N35)*N34)+N38)*'Unit Costs and Indicators'!$A$132</f>
        <v>314.4807291120369</v>
      </c>
      <c r="O39" s="336">
        <f>(((O36+O35)*O34)+O38)*'Unit Costs and Indicators'!$A$132</f>
        <v>314.4807291120369</v>
      </c>
      <c r="P39" s="336">
        <f>(((P36+P35)*P34)+P38)*'Unit Costs and Indicators'!$A$132</f>
        <v>314.4807291120369</v>
      </c>
      <c r="Q39" s="336">
        <f>(((Q36+Q35)*Q34)+Q38)*'Unit Costs and Indicators'!$A$132</f>
        <v>314.4807291120369</v>
      </c>
      <c r="R39" s="336">
        <f>(((R36+R35)*R34)+R38)*'Unit Costs and Indicators'!$A$132</f>
        <v>314.4807291120369</v>
      </c>
      <c r="S39" s="336">
        <f>(((S36+S35)*S34)+S38)*'Unit Costs and Indicators'!$A$132</f>
        <v>314.4807291120369</v>
      </c>
      <c r="T39" s="336">
        <f>(((T36+T35)*T34)+T38)*'Unit Costs and Indicators'!$A$132</f>
        <v>314.4807291120369</v>
      </c>
      <c r="U39" s="336">
        <f>(((U36+U35)*U34)+U38)*'Unit Costs and Indicators'!$A$132</f>
        <v>314.4807291120369</v>
      </c>
      <c r="V39" s="336">
        <f>(((V36+V35)*V34)+V38)*'Unit Costs and Indicators'!$A$132</f>
        <v>314.4807291120369</v>
      </c>
      <c r="W39" s="336">
        <f>(((W36+W35)*W34)+W38)*'Unit Costs and Indicators'!$A$132</f>
        <v>314.4807291120369</v>
      </c>
      <c r="X39" s="336">
        <f>(((X36+X35)*X34)+X38)*'Unit Costs and Indicators'!$A$132</f>
        <v>314.4807291120369</v>
      </c>
      <c r="Y39" s="336">
        <f>(((Y36+Y35)*Y34)+Y38)*'Unit Costs and Indicators'!$A$132</f>
        <v>314.4807291120369</v>
      </c>
      <c r="Z39" s="336">
        <f>(((Z36+Z35)*Z34)+Z38)*'Unit Costs and Indicators'!$A$132</f>
        <v>314.4807291120369</v>
      </c>
      <c r="AA39" s="336">
        <f>(((AA36+AA35)*AA34)+AA38)*'Unit Costs and Indicators'!$A$132</f>
        <v>314.4807291120369</v>
      </c>
      <c r="AB39" s="336">
        <f>(((AB36+AB35)*AB34)+AB38)*'Unit Costs and Indicators'!$A$132</f>
        <v>314.4807291120369</v>
      </c>
      <c r="AC39" s="336">
        <f>(((AC36+AC35)*AC34)+AC38)*'Unit Costs and Indicators'!$A$132</f>
        <v>314.4807291120369</v>
      </c>
      <c r="AD39" s="336">
        <f>(((AD36+AD35)*AD34)+AD38)*'Unit Costs and Indicators'!$A$132</f>
        <v>314.4807291120369</v>
      </c>
      <c r="AE39" s="336">
        <f>(((AE36+AE35)*AE34)+AE38)*'Unit Costs and Indicators'!$A$132</f>
        <v>314.4807291120369</v>
      </c>
      <c r="AF39" s="336">
        <f>(((AF36+AF35)*AF34)+AF38)*'Unit Costs and Indicators'!$A$132</f>
        <v>314.4807291120369</v>
      </c>
      <c r="AG39" s="336">
        <f>(((AG36+AG35)*AG34)+AG38)*'Unit Costs and Indicators'!$A$132</f>
        <v>314.4807291120369</v>
      </c>
      <c r="AH39" s="336">
        <f>(((AH36+AH35)*AH34)+AH38)*'Unit Costs and Indicators'!$A$132</f>
        <v>314.4807291120369</v>
      </c>
      <c r="AI39" s="336">
        <f>(((AI36+AI35)*AI34)+AI38)*'Unit Costs and Indicators'!$A$132</f>
        <v>314.4807291120369</v>
      </c>
      <c r="AJ39" s="336">
        <f>(((AJ36+AJ35)*AJ34)+AJ38)*'Unit Costs and Indicators'!$A$132</f>
        <v>314.4807291120369</v>
      </c>
      <c r="AK39" s="336">
        <f>(((AK36+AK35)*AK34)+AK38)*'Unit Costs and Indicators'!$A$132</f>
        <v>314.4807291120369</v>
      </c>
      <c r="AL39" s="336">
        <f>(((AL36+AL35)*AL34)+AL38)*'Unit Costs and Indicators'!$A$132</f>
        <v>314.4807291120369</v>
      </c>
      <c r="AM39" s="336">
        <f>(((AM36+AM35)*AM34)+AM38)*'Unit Costs and Indicators'!$A$132</f>
        <v>314.4807291120369</v>
      </c>
      <c r="AN39" s="336">
        <f>(((AN36+AN35)*AN34)+AN38)*'Unit Costs and Indicators'!$A$132</f>
        <v>314.4807291120369</v>
      </c>
      <c r="AO39" s="336">
        <f>(((AO36+AO35)*AO34)+AO38)*'Unit Costs and Indicators'!$A$132</f>
        <v>314.4807291120369</v>
      </c>
      <c r="AP39" s="336">
        <f>(((AP36+AP35)*AP34)+AP38)*'Unit Costs and Indicators'!$A$132</f>
        <v>314.4807291120369</v>
      </c>
      <c r="AQ39" s="336">
        <f>(((AQ36+AQ35)*AQ34)+AQ38)*'Unit Costs and Indicators'!$A$132</f>
        <v>314.4807291120369</v>
      </c>
      <c r="AR39" s="336">
        <f>(((AR36+AR35)*AR34)+AR38)*'Unit Costs and Indicators'!$A$132</f>
        <v>314.4807291120369</v>
      </c>
      <c r="AS39" s="336">
        <f>(((AS36+AS35)*AS34)+AS38)*'Unit Costs and Indicators'!$A$132</f>
        <v>314.4807291120369</v>
      </c>
      <c r="AT39" s="336">
        <f>(((AT36+AT35)*AT34)+AT38)*'Unit Costs and Indicators'!$A$132</f>
        <v>314.4807291120369</v>
      </c>
      <c r="AU39" s="336">
        <f>(((AU36+AU35)*AU34)+AU38)*'Unit Costs and Indicators'!$A$132</f>
        <v>314.4807291120369</v>
      </c>
      <c r="AV39" s="336">
        <f>(((AV36+AV35)*AV34)+AV38)*'Unit Costs and Indicators'!$A$132</f>
        <v>314.4807291120369</v>
      </c>
      <c r="AW39" s="336">
        <f>(((AW36+AW35)*AW34)+AW38)*'Unit Costs and Indicators'!$A$132</f>
        <v>314.4807291120369</v>
      </c>
      <c r="AX39" s="336">
        <f>(((AX36+AX35)*AX34)+AX38)*'Unit Costs and Indicators'!$A$132</f>
        <v>314.4807291120369</v>
      </c>
      <c r="AY39" s="336">
        <f>(((AY36+AY35)*AY34)+AY38)*'Unit Costs and Indicators'!$A$132</f>
        <v>314.4807291120369</v>
      </c>
      <c r="AZ39" s="336">
        <f>(((AZ36+AZ35)*AZ34)+AZ38)*'Unit Costs and Indicators'!$A$132</f>
        <v>314.4807291120369</v>
      </c>
      <c r="BA39" s="336">
        <f>(((BA36+BA35)*BA34)+BA38)*'Unit Costs and Indicators'!$A$132</f>
        <v>314.4807291120369</v>
      </c>
      <c r="BB39" s="336">
        <f>(((BB36+BB35)*BB34)+BB38)*'Unit Costs and Indicators'!$A$132</f>
        <v>314.4807291120369</v>
      </c>
      <c r="BC39" s="336">
        <f>(((BC36+BC35)*BC34)+BC38)*'Unit Costs and Indicators'!$A$132</f>
        <v>314.4807291120369</v>
      </c>
      <c r="BD39" s="336">
        <f>(((BD36+BD35)*BD34)+BD38)*'Unit Costs and Indicators'!$A$132</f>
        <v>314.4807291120369</v>
      </c>
      <c r="BE39" s="336">
        <f>(((BE36+BE35)*BE34)+BE38)*'Unit Costs and Indicators'!$A$132</f>
        <v>314.4807291120369</v>
      </c>
      <c r="BF39" s="336">
        <f>(((BF36+BF35)*BF34)+BF38)*'Unit Costs and Indicators'!$A$132</f>
        <v>314.4807291120369</v>
      </c>
      <c r="BG39" s="336">
        <f>(((BG36+BG35)*BG34)+BG38)*'Unit Costs and Indicators'!$A$132</f>
        <v>314.4807291120369</v>
      </c>
      <c r="BH39" s="336">
        <f>(((BH36+BH35)*BH34)+BH38)*'Unit Costs and Indicators'!$A$132</f>
        <v>314.4807291120369</v>
      </c>
      <c r="BI39" s="336">
        <f>(((BI36+BI35)*BI34)+BI38)*'Unit Costs and Indicators'!$A$132</f>
        <v>314.4807291120369</v>
      </c>
      <c r="BJ39" s="336">
        <f>(((BJ36+BJ35)*BJ34)+BJ38)*'Unit Costs and Indicators'!$A$132</f>
        <v>314.4807291120369</v>
      </c>
      <c r="BK39" s="336">
        <f>(((BK36+BK35)*BK34)+BK38)*'Unit Costs and Indicators'!$A$132</f>
        <v>314.4807291120369</v>
      </c>
      <c r="BL39" s="336">
        <f>(((BL36+BL35)*BL34)+BL38)*'Unit Costs and Indicators'!$A$132</f>
        <v>314.4807291120369</v>
      </c>
      <c r="BM39" s="336">
        <f>(((BM36+BM35)*BM34)+BM38)*'Unit Costs and Indicators'!$A$132</f>
        <v>314.4807291120369</v>
      </c>
      <c r="BN39" s="336">
        <f>(((BN36+BN35)*BN34)+BN38)*'Unit Costs and Indicators'!$A$132</f>
        <v>314.4807291120369</v>
      </c>
      <c r="BO39" s="336">
        <f>(((BO36+BO35)*BO34)+BO38)*'Unit Costs and Indicators'!$A$132</f>
        <v>314.4807291120369</v>
      </c>
      <c r="BP39" s="336">
        <f>(((BP36+BP35)*BP34)+BP38)*'Unit Costs and Indicators'!$A$132</f>
        <v>314.4807291120369</v>
      </c>
      <c r="BQ39" s="336">
        <f>(((BQ36+BQ35)*BQ34)+BQ38)*'Unit Costs and Indicators'!$A$132</f>
        <v>314.4807291120369</v>
      </c>
      <c r="BR39" s="336">
        <f>(((BR36+BR35)*BR34)+BR38)*'Unit Costs and Indicators'!$A$132</f>
        <v>314.4807291120369</v>
      </c>
      <c r="BS39" s="336">
        <f>(((BS36+BS35)*BS34)+BS38)*'Unit Costs and Indicators'!$A$132</f>
        <v>314.4807291120369</v>
      </c>
      <c r="BT39" s="336">
        <f>(((BT36+BT35)*BT34)+BT38)*'Unit Costs and Indicators'!$A$132</f>
        <v>314.4807291120369</v>
      </c>
      <c r="BU39" s="336">
        <f>(((BU36+BU35)*BU34)+BU38)*'Unit Costs and Indicators'!$A$132</f>
        <v>314.4807291120369</v>
      </c>
      <c r="BV39" s="336">
        <f>(((BV36+BV35)*BV34)+BV38)*'Unit Costs and Indicators'!$A$132</f>
        <v>314.4807291120369</v>
      </c>
      <c r="BW39" s="336">
        <f>(((BW36+BW35)*BW34)+BW38)*'Unit Costs and Indicators'!$A$132</f>
        <v>314.4807291120369</v>
      </c>
      <c r="BX39" s="336">
        <f>(((BX36+BX35)*BX34)+BX38)*'Unit Costs and Indicators'!$A$132</f>
        <v>314.4807291120369</v>
      </c>
      <c r="BY39" s="336">
        <f>(((BY36+BY35)*BY34)+BY38)*'Unit Costs and Indicators'!$A$132</f>
        <v>314.4807291120369</v>
      </c>
      <c r="BZ39" s="336">
        <f>(((BZ36+BZ35)*BZ34)+BZ38)*'Unit Costs and Indicators'!$A$132</f>
        <v>314.4807291120369</v>
      </c>
      <c r="CA39" s="336">
        <f>(((CA36+CA35)*CA34)+CA38)*'Unit Costs and Indicators'!$A$132</f>
        <v>314.4807291120369</v>
      </c>
      <c r="CB39" s="336">
        <f>(((CB36+CB35)*CB34)+CB38)*'Unit Costs and Indicators'!$A$132</f>
        <v>314.4807291120369</v>
      </c>
      <c r="CC39" s="336">
        <f>(((CC36+CC35)*CC34)+CC38)*'Unit Costs and Indicators'!$A$132</f>
        <v>314.4807291120369</v>
      </c>
      <c r="CD39" s="336">
        <f>(((CD36+CD35)*CD34)+CD38)*'Unit Costs and Indicators'!$A$132</f>
        <v>314.4807291120369</v>
      </c>
      <c r="CE39" s="336">
        <f>(((CE36+CE35)*CE34)+CE38)*'Unit Costs and Indicators'!$A$132</f>
        <v>314.4807291120369</v>
      </c>
      <c r="CF39" s="336">
        <f>(((CF36+CF35)*CF34)+CF38)*'Unit Costs and Indicators'!$A$132</f>
        <v>314.4807291120369</v>
      </c>
      <c r="CG39" s="336">
        <f>(((CG36+CG35)*CG34)+CG38)*'Unit Costs and Indicators'!$A$132</f>
        <v>314.4807291120369</v>
      </c>
      <c r="CH39" s="336">
        <f>(((CH36+CH35)*CH34)+CH38)*'Unit Costs and Indicators'!$A$132</f>
        <v>314.4807291120369</v>
      </c>
      <c r="CI39" s="336">
        <f>(((CI36+CI35)*CI34)+CI38)*'Unit Costs and Indicators'!$A$132</f>
        <v>314.4807291120369</v>
      </c>
      <c r="CJ39" s="336">
        <f>(((CJ36+CJ35)*CJ34)+CJ38)*'Unit Costs and Indicators'!$A$132</f>
        <v>314.4807291120369</v>
      </c>
      <c r="CK39" s="336">
        <f>(((CK36+CK35)*CK34)+CK38)*'Unit Costs and Indicators'!$A$132</f>
        <v>314.4807291120369</v>
      </c>
      <c r="CL39" s="336">
        <f>(((CL36+CL35)*CL34)+CL38)*'Unit Costs and Indicators'!$A$132</f>
        <v>314.4807291120369</v>
      </c>
      <c r="CM39" s="336">
        <f>(((CM36+CM35)*CM34)+CM38)*'Unit Costs and Indicators'!$A$132</f>
        <v>314.4807291120369</v>
      </c>
      <c r="CN39" s="336">
        <f>(((CN36+CN35)*CN34)+CN38)*'Unit Costs and Indicators'!$A$132</f>
        <v>314.4807291120369</v>
      </c>
      <c r="CO39" s="336">
        <f>(((CO36+CO35)*CO34)+CO38)*'Unit Costs and Indicators'!$A$132</f>
        <v>314.4807291120369</v>
      </c>
      <c r="CP39" s="336">
        <f>(((CP36+CP35)*CP34)+CP38)*'Unit Costs and Indicators'!$A$132</f>
        <v>314.4807291120369</v>
      </c>
      <c r="CQ39" s="336">
        <f>(((CQ36+CQ35)*CQ34)+CQ38)*'Unit Costs and Indicators'!$A$132</f>
        <v>314.4807291120369</v>
      </c>
      <c r="CR39" s="336">
        <f>(((CR36+CR35)*CR34)+CR38)*'Unit Costs and Indicators'!$A$132</f>
        <v>314.4807291120369</v>
      </c>
      <c r="CS39" s="336">
        <f>(((CS36+CS35)*CS34)+CS38)*'Unit Costs and Indicators'!$A$132</f>
        <v>314.4807291120369</v>
      </c>
      <c r="CT39" s="336">
        <f>(((CT36+CT35)*CT34)+CT38)*'Unit Costs and Indicators'!$A$132</f>
        <v>314.4807291120369</v>
      </c>
      <c r="CU39" s="336">
        <f>(((CU36+CU35)*CU34)+CU38)*'Unit Costs and Indicators'!$A$132</f>
        <v>314.4807291120369</v>
      </c>
      <c r="CV39" s="336">
        <f>(((CV36+CV35)*CV34)+CV38)*'Unit Costs and Indicators'!$A$132</f>
        <v>314.4807291120369</v>
      </c>
      <c r="CW39" s="336">
        <f>(((CW36+CW35)*CW34)+CW38)*'Unit Costs and Indicators'!$A$132</f>
        <v>314.4807291120369</v>
      </c>
      <c r="CX39" s="336">
        <f>(((CX36+CX35)*CX34)+CX38)*'Unit Costs and Indicators'!$A$132</f>
        <v>314.4807291120369</v>
      </c>
      <c r="CY39" s="336">
        <f>(((CY36+CY35)*CY34)+CY38)*'Unit Costs and Indicators'!$A$132</f>
        <v>314.4807291120369</v>
      </c>
      <c r="CZ39" s="336">
        <f>(((CZ36+CZ35)*CZ34)+CZ38)*'Unit Costs and Indicators'!$A$132</f>
        <v>314.4807291120369</v>
      </c>
      <c r="DA39" s="336">
        <f>(((DA36+DA35)*DA34)+DA38)*'Unit Costs and Indicators'!$A$132</f>
        <v>314.4807291120369</v>
      </c>
      <c r="DB39" s="336">
        <f>(((DB36+DB35)*DB34)+DB38)*'Unit Costs and Indicators'!$A$132</f>
        <v>314.4807291120369</v>
      </c>
      <c r="DC39" s="336">
        <f>(((DC36+DC35)*DC34)+DC38)*'Unit Costs and Indicators'!$A$132</f>
        <v>314.4807291120369</v>
      </c>
      <c r="DD39" s="336">
        <f>(((DD36+DD35)*DD34)+DD38)*'Unit Costs and Indicators'!$A$132</f>
        <v>314.4807291120369</v>
      </c>
      <c r="DE39" s="336">
        <f>(((DE36+DE35)*DE34)+DE38)*'Unit Costs and Indicators'!$A$132</f>
        <v>314.4807291120369</v>
      </c>
      <c r="DF39" s="337"/>
      <c r="DG39" s="337"/>
      <c r="DH39" s="337"/>
      <c r="DI39" s="337"/>
      <c r="DJ39" s="337"/>
      <c r="DK39" s="337"/>
      <c r="DL39" s="337"/>
    </row>
    <row r="40" spans="1:116" ht="15.75" hidden="1" customHeight="1" outlineLevel="1" x14ac:dyDescent="0.25">
      <c r="A40" s="763"/>
      <c r="B40" s="764"/>
      <c r="C40" s="338" t="s">
        <v>258</v>
      </c>
      <c r="D40" s="339" t="s">
        <v>259</v>
      </c>
      <c r="E40" s="340">
        <f>(2.08/1000)</f>
        <v>2.0800000000000003E-3</v>
      </c>
      <c r="F40" s="341"/>
      <c r="G40" s="342" t="s">
        <v>260</v>
      </c>
      <c r="H40" s="343">
        <f>E40*(1+0.11)</f>
        <v>2.3088000000000006E-3</v>
      </c>
      <c r="I40" s="344">
        <f t="shared" ref="I40:AH40" si="15">H40*(1+0.11)</f>
        <v>2.5627680000000009E-3</v>
      </c>
      <c r="J40" s="344">
        <f t="shared" si="15"/>
        <v>2.844672480000001E-3</v>
      </c>
      <c r="K40" s="344">
        <f t="shared" si="15"/>
        <v>3.1575864528000015E-3</v>
      </c>
      <c r="L40" s="344">
        <f t="shared" si="15"/>
        <v>3.5049209626080019E-3</v>
      </c>
      <c r="M40" s="344">
        <f t="shared" si="15"/>
        <v>3.8904622684948825E-3</v>
      </c>
      <c r="N40" s="344">
        <f t="shared" si="15"/>
        <v>4.3184131180293199E-3</v>
      </c>
      <c r="O40" s="344">
        <f t="shared" si="15"/>
        <v>4.7934385610125451E-3</v>
      </c>
      <c r="P40" s="344">
        <f t="shared" si="15"/>
        <v>5.3207168027239252E-3</v>
      </c>
      <c r="Q40" s="344">
        <f t="shared" si="15"/>
        <v>5.9059956510235578E-3</v>
      </c>
      <c r="R40" s="344">
        <f t="shared" si="15"/>
        <v>6.5556551726361498E-3</v>
      </c>
      <c r="S40" s="344">
        <f t="shared" si="15"/>
        <v>7.276777241626127E-3</v>
      </c>
      <c r="T40" s="344">
        <f t="shared" si="15"/>
        <v>8.0772227382050008E-3</v>
      </c>
      <c r="U40" s="344">
        <f t="shared" si="15"/>
        <v>8.9657172394075509E-3</v>
      </c>
      <c r="V40" s="344">
        <f t="shared" si="15"/>
        <v>9.9519461357423823E-3</v>
      </c>
      <c r="W40" s="344">
        <f t="shared" si="15"/>
        <v>1.1046660210674046E-2</v>
      </c>
      <c r="X40" s="344">
        <f t="shared" si="15"/>
        <v>1.2261792833848192E-2</v>
      </c>
      <c r="Y40" s="344">
        <f t="shared" si="15"/>
        <v>1.3610590045571495E-2</v>
      </c>
      <c r="Z40" s="344">
        <f t="shared" si="15"/>
        <v>1.5107754950584361E-2</v>
      </c>
      <c r="AA40" s="344">
        <f t="shared" si="15"/>
        <v>1.6769607995148643E-2</v>
      </c>
      <c r="AB40" s="344">
        <f t="shared" si="15"/>
        <v>1.8614264874614997E-2</v>
      </c>
      <c r="AC40" s="344">
        <f t="shared" si="15"/>
        <v>2.0661834010822649E-2</v>
      </c>
      <c r="AD40" s="344">
        <f t="shared" si="15"/>
        <v>2.2934635752013141E-2</v>
      </c>
      <c r="AE40" s="344">
        <f t="shared" si="15"/>
        <v>2.5457445684734587E-2</v>
      </c>
      <c r="AF40" s="344">
        <f t="shared" si="15"/>
        <v>2.8257764710055394E-2</v>
      </c>
      <c r="AG40" s="344">
        <f t="shared" si="15"/>
        <v>3.1366118828161489E-2</v>
      </c>
      <c r="AH40" s="344">
        <f t="shared" si="15"/>
        <v>3.4816391899259259E-2</v>
      </c>
      <c r="AI40" s="344">
        <f t="shared" ref="AI40:DE40" si="16">AH40</f>
        <v>3.4816391899259259E-2</v>
      </c>
      <c r="AJ40" s="344">
        <f t="shared" si="16"/>
        <v>3.4816391899259259E-2</v>
      </c>
      <c r="AK40" s="344">
        <f t="shared" si="16"/>
        <v>3.4816391899259259E-2</v>
      </c>
      <c r="AL40" s="344">
        <f t="shared" si="16"/>
        <v>3.4816391899259259E-2</v>
      </c>
      <c r="AM40" s="344">
        <f t="shared" si="16"/>
        <v>3.4816391899259259E-2</v>
      </c>
      <c r="AN40" s="344">
        <f t="shared" si="16"/>
        <v>3.4816391899259259E-2</v>
      </c>
      <c r="AO40" s="344">
        <f t="shared" si="16"/>
        <v>3.4816391899259259E-2</v>
      </c>
      <c r="AP40" s="344">
        <f t="shared" si="16"/>
        <v>3.4816391899259259E-2</v>
      </c>
      <c r="AQ40" s="344">
        <f t="shared" si="16"/>
        <v>3.4816391899259259E-2</v>
      </c>
      <c r="AR40" s="344">
        <f t="shared" si="16"/>
        <v>3.4816391899259259E-2</v>
      </c>
      <c r="AS40" s="344">
        <f t="shared" si="16"/>
        <v>3.4816391899259259E-2</v>
      </c>
      <c r="AT40" s="344">
        <f t="shared" si="16"/>
        <v>3.4816391899259259E-2</v>
      </c>
      <c r="AU40" s="344">
        <f t="shared" si="16"/>
        <v>3.4816391899259259E-2</v>
      </c>
      <c r="AV40" s="344">
        <f t="shared" si="16"/>
        <v>3.4816391899259259E-2</v>
      </c>
      <c r="AW40" s="344">
        <f t="shared" si="16"/>
        <v>3.4816391899259259E-2</v>
      </c>
      <c r="AX40" s="344">
        <f t="shared" si="16"/>
        <v>3.4816391899259259E-2</v>
      </c>
      <c r="AY40" s="344">
        <f t="shared" si="16"/>
        <v>3.4816391899259259E-2</v>
      </c>
      <c r="AZ40" s="344">
        <f t="shared" si="16"/>
        <v>3.4816391899259259E-2</v>
      </c>
      <c r="BA40" s="344">
        <f t="shared" si="16"/>
        <v>3.4816391899259259E-2</v>
      </c>
      <c r="BB40" s="344">
        <f t="shared" si="16"/>
        <v>3.4816391899259259E-2</v>
      </c>
      <c r="BC40" s="344">
        <f t="shared" si="16"/>
        <v>3.4816391899259259E-2</v>
      </c>
      <c r="BD40" s="344">
        <f t="shared" si="16"/>
        <v>3.4816391899259259E-2</v>
      </c>
      <c r="BE40" s="344">
        <f t="shared" si="16"/>
        <v>3.4816391899259259E-2</v>
      </c>
      <c r="BF40" s="344">
        <f t="shared" si="16"/>
        <v>3.4816391899259259E-2</v>
      </c>
      <c r="BG40" s="344">
        <f t="shared" si="16"/>
        <v>3.4816391899259259E-2</v>
      </c>
      <c r="BH40" s="344">
        <f t="shared" si="16"/>
        <v>3.4816391899259259E-2</v>
      </c>
      <c r="BI40" s="344">
        <f t="shared" si="16"/>
        <v>3.4816391899259259E-2</v>
      </c>
      <c r="BJ40" s="344">
        <f t="shared" si="16"/>
        <v>3.4816391899259259E-2</v>
      </c>
      <c r="BK40" s="344">
        <f t="shared" si="16"/>
        <v>3.4816391899259259E-2</v>
      </c>
      <c r="BL40" s="344">
        <f t="shared" si="16"/>
        <v>3.4816391899259259E-2</v>
      </c>
      <c r="BM40" s="344">
        <f t="shared" si="16"/>
        <v>3.4816391899259259E-2</v>
      </c>
      <c r="BN40" s="344">
        <f t="shared" si="16"/>
        <v>3.4816391899259259E-2</v>
      </c>
      <c r="BO40" s="344">
        <f t="shared" si="16"/>
        <v>3.4816391899259259E-2</v>
      </c>
      <c r="BP40" s="344">
        <f t="shared" si="16"/>
        <v>3.4816391899259259E-2</v>
      </c>
      <c r="BQ40" s="344">
        <f t="shared" si="16"/>
        <v>3.4816391899259259E-2</v>
      </c>
      <c r="BR40" s="344">
        <f t="shared" si="16"/>
        <v>3.4816391899259259E-2</v>
      </c>
      <c r="BS40" s="344">
        <f t="shared" si="16"/>
        <v>3.4816391899259259E-2</v>
      </c>
      <c r="BT40" s="344">
        <f t="shared" si="16"/>
        <v>3.4816391899259259E-2</v>
      </c>
      <c r="BU40" s="344">
        <f t="shared" si="16"/>
        <v>3.4816391899259259E-2</v>
      </c>
      <c r="BV40" s="344">
        <f t="shared" si="16"/>
        <v>3.4816391899259259E-2</v>
      </c>
      <c r="BW40" s="344">
        <f t="shared" si="16"/>
        <v>3.4816391899259259E-2</v>
      </c>
      <c r="BX40" s="344">
        <f t="shared" si="16"/>
        <v>3.4816391899259259E-2</v>
      </c>
      <c r="BY40" s="344">
        <f t="shared" si="16"/>
        <v>3.4816391899259259E-2</v>
      </c>
      <c r="BZ40" s="344">
        <f t="shared" si="16"/>
        <v>3.4816391899259259E-2</v>
      </c>
      <c r="CA40" s="344">
        <f t="shared" si="16"/>
        <v>3.4816391899259259E-2</v>
      </c>
      <c r="CB40" s="344">
        <f t="shared" si="16"/>
        <v>3.4816391899259259E-2</v>
      </c>
      <c r="CC40" s="344">
        <f t="shared" si="16"/>
        <v>3.4816391899259259E-2</v>
      </c>
      <c r="CD40" s="344">
        <f t="shared" si="16"/>
        <v>3.4816391899259259E-2</v>
      </c>
      <c r="CE40" s="344">
        <f t="shared" si="16"/>
        <v>3.4816391899259259E-2</v>
      </c>
      <c r="CF40" s="344">
        <f t="shared" si="16"/>
        <v>3.4816391899259259E-2</v>
      </c>
      <c r="CG40" s="344">
        <f t="shared" si="16"/>
        <v>3.4816391899259259E-2</v>
      </c>
      <c r="CH40" s="344">
        <f t="shared" si="16"/>
        <v>3.4816391899259259E-2</v>
      </c>
      <c r="CI40" s="344">
        <f t="shared" si="16"/>
        <v>3.4816391899259259E-2</v>
      </c>
      <c r="CJ40" s="344">
        <f t="shared" si="16"/>
        <v>3.4816391899259259E-2</v>
      </c>
      <c r="CK40" s="344">
        <f t="shared" si="16"/>
        <v>3.4816391899259259E-2</v>
      </c>
      <c r="CL40" s="344">
        <f t="shared" si="16"/>
        <v>3.4816391899259259E-2</v>
      </c>
      <c r="CM40" s="344">
        <f t="shared" si="16"/>
        <v>3.4816391899259259E-2</v>
      </c>
      <c r="CN40" s="344">
        <f t="shared" si="16"/>
        <v>3.4816391899259259E-2</v>
      </c>
      <c r="CO40" s="344">
        <f t="shared" si="16"/>
        <v>3.4816391899259259E-2</v>
      </c>
      <c r="CP40" s="344">
        <f t="shared" si="16"/>
        <v>3.4816391899259259E-2</v>
      </c>
      <c r="CQ40" s="344">
        <f t="shared" si="16"/>
        <v>3.4816391899259259E-2</v>
      </c>
      <c r="CR40" s="344">
        <f t="shared" si="16"/>
        <v>3.4816391899259259E-2</v>
      </c>
      <c r="CS40" s="344">
        <f t="shared" si="16"/>
        <v>3.4816391899259259E-2</v>
      </c>
      <c r="CT40" s="344">
        <f t="shared" si="16"/>
        <v>3.4816391899259259E-2</v>
      </c>
      <c r="CU40" s="344">
        <f t="shared" si="16"/>
        <v>3.4816391899259259E-2</v>
      </c>
      <c r="CV40" s="344">
        <f t="shared" si="16"/>
        <v>3.4816391899259259E-2</v>
      </c>
      <c r="CW40" s="344">
        <f t="shared" si="16"/>
        <v>3.4816391899259259E-2</v>
      </c>
      <c r="CX40" s="344">
        <f t="shared" si="16"/>
        <v>3.4816391899259259E-2</v>
      </c>
      <c r="CY40" s="344">
        <f t="shared" si="16"/>
        <v>3.4816391899259259E-2</v>
      </c>
      <c r="CZ40" s="344">
        <f t="shared" si="16"/>
        <v>3.4816391899259259E-2</v>
      </c>
      <c r="DA40" s="344">
        <f t="shared" si="16"/>
        <v>3.4816391899259259E-2</v>
      </c>
      <c r="DB40" s="344">
        <f t="shared" si="16"/>
        <v>3.4816391899259259E-2</v>
      </c>
      <c r="DC40" s="344">
        <f t="shared" si="16"/>
        <v>3.4816391899259259E-2</v>
      </c>
      <c r="DD40" s="344">
        <f t="shared" si="16"/>
        <v>3.4816391899259259E-2</v>
      </c>
      <c r="DE40" s="344">
        <f t="shared" si="16"/>
        <v>3.4816391899259259E-2</v>
      </c>
      <c r="DF40" s="344"/>
      <c r="DG40" s="344"/>
      <c r="DH40" s="344"/>
      <c r="DI40" s="344"/>
      <c r="DJ40" s="344"/>
      <c r="DK40" s="344"/>
      <c r="DL40" s="344"/>
    </row>
    <row r="41" spans="1:116" ht="15.75" hidden="1" customHeight="1" outlineLevel="1" x14ac:dyDescent="0.25">
      <c r="A41" s="763"/>
      <c r="B41" s="764"/>
      <c r="C41" s="321" t="s">
        <v>261</v>
      </c>
      <c r="D41" s="279" t="s">
        <v>262</v>
      </c>
      <c r="E41" s="280"/>
      <c r="F41" s="279"/>
      <c r="G41" s="279"/>
      <c r="H41" s="345">
        <f>H40*H16</f>
        <v>5.5618992000000013E-2</v>
      </c>
      <c r="I41" s="346">
        <f t="shared" ref="I41:DE41" si="17">I40*I16</f>
        <v>6.2045766525600017E-2</v>
      </c>
      <c r="J41" s="346">
        <f t="shared" si="17"/>
        <v>6.921515484763309E-2</v>
      </c>
      <c r="K41" s="346">
        <f t="shared" si="17"/>
        <v>7.7212965990277105E-2</v>
      </c>
      <c r="L41" s="346">
        <f t="shared" si="17"/>
        <v>8.6134924210453601E-2</v>
      </c>
      <c r="M41" s="346">
        <f t="shared" si="17"/>
        <v>9.6087814702971522E-2</v>
      </c>
      <c r="N41" s="346">
        <f t="shared" si="17"/>
        <v>0.10719076169189988</v>
      </c>
      <c r="O41" s="346">
        <f t="shared" si="17"/>
        <v>0.1195766542053989</v>
      </c>
      <c r="P41" s="346">
        <f t="shared" si="17"/>
        <v>0.13339373659883272</v>
      </c>
      <c r="Q41" s="346">
        <f t="shared" si="17"/>
        <v>0.14880738286282785</v>
      </c>
      <c r="R41" s="346">
        <f t="shared" si="17"/>
        <v>0.16600207595262761</v>
      </c>
      <c r="S41" s="346">
        <f t="shared" si="17"/>
        <v>0.18518361582895373</v>
      </c>
      <c r="T41" s="346">
        <f t="shared" si="17"/>
        <v>0.20658158263798931</v>
      </c>
      <c r="U41" s="346">
        <f t="shared" si="17"/>
        <v>0.23045208451180896</v>
      </c>
      <c r="V41" s="346">
        <f t="shared" si="17"/>
        <v>0.25708082287714851</v>
      </c>
      <c r="W41" s="346">
        <f t="shared" si="17"/>
        <v>0.28678651196060295</v>
      </c>
      <c r="X41" s="346">
        <f t="shared" si="17"/>
        <v>0.31992469341765067</v>
      </c>
      <c r="Y41" s="346">
        <f t="shared" si="17"/>
        <v>0.35689199174206021</v>
      </c>
      <c r="Z41" s="346">
        <f t="shared" si="17"/>
        <v>0.39813086138785519</v>
      </c>
      <c r="AA41" s="346">
        <f t="shared" si="17"/>
        <v>0.44413488242122195</v>
      </c>
      <c r="AB41" s="346">
        <f t="shared" si="17"/>
        <v>0.49545466808499417</v>
      </c>
      <c r="AC41" s="346">
        <f t="shared" si="17"/>
        <v>0.55270445498221532</v>
      </c>
      <c r="AD41" s="346">
        <f t="shared" si="17"/>
        <v>0.61656945475541025</v>
      </c>
      <c r="AE41" s="346">
        <f t="shared" si="17"/>
        <v>0.6878140552523978</v>
      </c>
      <c r="AF41" s="346">
        <f t="shared" si="17"/>
        <v>0.7672909693368124</v>
      </c>
      <c r="AG41" s="346">
        <f t="shared" si="17"/>
        <v>0.85595144084368091</v>
      </c>
      <c r="AH41" s="346">
        <f t="shared" si="17"/>
        <v>0.95485662983316832</v>
      </c>
      <c r="AI41" s="346">
        <f t="shared" si="17"/>
        <v>0.95485662983316832</v>
      </c>
      <c r="AJ41" s="346">
        <f t="shared" si="17"/>
        <v>0.95485662983316832</v>
      </c>
      <c r="AK41" s="346">
        <f t="shared" si="17"/>
        <v>0.95485662983316832</v>
      </c>
      <c r="AL41" s="346">
        <f t="shared" si="17"/>
        <v>0.95485662983316832</v>
      </c>
      <c r="AM41" s="346">
        <f t="shared" si="17"/>
        <v>0.95485662983316832</v>
      </c>
      <c r="AN41" s="346">
        <f t="shared" si="17"/>
        <v>0.95485662983316832</v>
      </c>
      <c r="AO41" s="346">
        <f t="shared" si="17"/>
        <v>0.95485662983316832</v>
      </c>
      <c r="AP41" s="346">
        <f t="shared" si="17"/>
        <v>0.95485662983316832</v>
      </c>
      <c r="AQ41" s="346">
        <f t="shared" si="17"/>
        <v>0.95485662983316832</v>
      </c>
      <c r="AR41" s="346">
        <f t="shared" si="17"/>
        <v>0.95485662983316832</v>
      </c>
      <c r="AS41" s="346">
        <f t="shared" si="17"/>
        <v>0.95485662983316832</v>
      </c>
      <c r="AT41" s="346">
        <f t="shared" si="17"/>
        <v>0.95485662983316832</v>
      </c>
      <c r="AU41" s="346">
        <f t="shared" si="17"/>
        <v>0.95485662983316832</v>
      </c>
      <c r="AV41" s="346">
        <f t="shared" si="17"/>
        <v>0.95485662983316832</v>
      </c>
      <c r="AW41" s="346">
        <f t="shared" si="17"/>
        <v>0.95485662983316832</v>
      </c>
      <c r="AX41" s="346">
        <f t="shared" si="17"/>
        <v>0.95485662983316832</v>
      </c>
      <c r="AY41" s="346">
        <f t="shared" si="17"/>
        <v>0.95485662983316832</v>
      </c>
      <c r="AZ41" s="346">
        <f t="shared" si="17"/>
        <v>0.95485662983316832</v>
      </c>
      <c r="BA41" s="346">
        <f t="shared" si="17"/>
        <v>0.95485662983316832</v>
      </c>
      <c r="BB41" s="346">
        <f t="shared" si="17"/>
        <v>0.95485662983316832</v>
      </c>
      <c r="BC41" s="346">
        <f t="shared" si="17"/>
        <v>0.95485662983316832</v>
      </c>
      <c r="BD41" s="346">
        <f t="shared" si="17"/>
        <v>0.95485662983316832</v>
      </c>
      <c r="BE41" s="346">
        <f t="shared" si="17"/>
        <v>0.95485662983316832</v>
      </c>
      <c r="BF41" s="346">
        <f t="shared" si="17"/>
        <v>0.95485662983316832</v>
      </c>
      <c r="BG41" s="346">
        <f t="shared" si="17"/>
        <v>0.95485662983316832</v>
      </c>
      <c r="BH41" s="346">
        <f t="shared" si="17"/>
        <v>0.95485662983316832</v>
      </c>
      <c r="BI41" s="346">
        <f t="shared" si="17"/>
        <v>0.95485662983316832</v>
      </c>
      <c r="BJ41" s="346">
        <f t="shared" si="17"/>
        <v>0.95485662983316832</v>
      </c>
      <c r="BK41" s="346">
        <f t="shared" si="17"/>
        <v>0.95485662983316832</v>
      </c>
      <c r="BL41" s="346">
        <f t="shared" si="17"/>
        <v>0.95485662983316832</v>
      </c>
      <c r="BM41" s="346">
        <f t="shared" si="17"/>
        <v>0.95485662983316832</v>
      </c>
      <c r="BN41" s="346">
        <f t="shared" si="17"/>
        <v>0.95485662983316832</v>
      </c>
      <c r="BO41" s="346">
        <f t="shared" si="17"/>
        <v>0.95485662983316832</v>
      </c>
      <c r="BP41" s="346">
        <f t="shared" si="17"/>
        <v>0.95485662983316832</v>
      </c>
      <c r="BQ41" s="346">
        <f t="shared" si="17"/>
        <v>0.95485662983316832</v>
      </c>
      <c r="BR41" s="346">
        <f t="shared" si="17"/>
        <v>0.95485662983316832</v>
      </c>
      <c r="BS41" s="346">
        <f t="shared" si="17"/>
        <v>0.95485662983316832</v>
      </c>
      <c r="BT41" s="346">
        <f t="shared" si="17"/>
        <v>0.95485662983316832</v>
      </c>
      <c r="BU41" s="346">
        <f t="shared" si="17"/>
        <v>0.95485662983316832</v>
      </c>
      <c r="BV41" s="346">
        <f t="shared" si="17"/>
        <v>0.95485662983316832</v>
      </c>
      <c r="BW41" s="346">
        <f t="shared" si="17"/>
        <v>0.95485662983316832</v>
      </c>
      <c r="BX41" s="346">
        <f t="shared" si="17"/>
        <v>0.95485662983316832</v>
      </c>
      <c r="BY41" s="346">
        <f t="shared" si="17"/>
        <v>0.95485662983316832</v>
      </c>
      <c r="BZ41" s="346">
        <f t="shared" si="17"/>
        <v>0.95485662983316832</v>
      </c>
      <c r="CA41" s="346">
        <f t="shared" si="17"/>
        <v>0.95485662983316832</v>
      </c>
      <c r="CB41" s="346">
        <f t="shared" si="17"/>
        <v>0.95485662983316832</v>
      </c>
      <c r="CC41" s="346">
        <f t="shared" si="17"/>
        <v>0.95485662983316832</v>
      </c>
      <c r="CD41" s="346">
        <f t="shared" si="17"/>
        <v>0.95485662983316832</v>
      </c>
      <c r="CE41" s="346">
        <f t="shared" si="17"/>
        <v>0.95485662983316832</v>
      </c>
      <c r="CF41" s="346">
        <f t="shared" si="17"/>
        <v>0.95485662983316832</v>
      </c>
      <c r="CG41" s="346">
        <f t="shared" si="17"/>
        <v>0.95485662983316832</v>
      </c>
      <c r="CH41" s="346">
        <f t="shared" si="17"/>
        <v>0.95485662983316832</v>
      </c>
      <c r="CI41" s="346">
        <f t="shared" si="17"/>
        <v>0.95485662983316832</v>
      </c>
      <c r="CJ41" s="346">
        <f t="shared" si="17"/>
        <v>0.95485662983316832</v>
      </c>
      <c r="CK41" s="346">
        <f t="shared" si="17"/>
        <v>0.95485662983316832</v>
      </c>
      <c r="CL41" s="346">
        <f t="shared" si="17"/>
        <v>0.95485662983316832</v>
      </c>
      <c r="CM41" s="346">
        <f t="shared" si="17"/>
        <v>0.95485662983316832</v>
      </c>
      <c r="CN41" s="346">
        <f t="shared" si="17"/>
        <v>0.95485662983316832</v>
      </c>
      <c r="CO41" s="346">
        <f t="shared" si="17"/>
        <v>0.95485662983316832</v>
      </c>
      <c r="CP41" s="346">
        <f t="shared" si="17"/>
        <v>0.95485662983316832</v>
      </c>
      <c r="CQ41" s="346">
        <f t="shared" si="17"/>
        <v>0.95485662983316832</v>
      </c>
      <c r="CR41" s="346">
        <f t="shared" si="17"/>
        <v>0.95485662983316832</v>
      </c>
      <c r="CS41" s="346">
        <f t="shared" si="17"/>
        <v>0.95485662983316832</v>
      </c>
      <c r="CT41" s="346">
        <f t="shared" si="17"/>
        <v>0.95485662983316832</v>
      </c>
      <c r="CU41" s="346">
        <f t="shared" si="17"/>
        <v>0.95485662983316832</v>
      </c>
      <c r="CV41" s="346">
        <f t="shared" si="17"/>
        <v>0.95485662983316832</v>
      </c>
      <c r="CW41" s="346">
        <f t="shared" si="17"/>
        <v>0.95485662983316832</v>
      </c>
      <c r="CX41" s="346">
        <f t="shared" si="17"/>
        <v>0.95485662983316832</v>
      </c>
      <c r="CY41" s="346">
        <f t="shared" si="17"/>
        <v>0.95485662983316832</v>
      </c>
      <c r="CZ41" s="346">
        <f t="shared" si="17"/>
        <v>0.95485662983316832</v>
      </c>
      <c r="DA41" s="346">
        <f t="shared" si="17"/>
        <v>0.95485662983316832</v>
      </c>
      <c r="DB41" s="346">
        <f t="shared" si="17"/>
        <v>0.95485662983316832</v>
      </c>
      <c r="DC41" s="346">
        <f t="shared" si="17"/>
        <v>0.95485662983316832</v>
      </c>
      <c r="DD41" s="346">
        <f t="shared" si="17"/>
        <v>0.95485662983316832</v>
      </c>
      <c r="DE41" s="346">
        <f t="shared" si="17"/>
        <v>0.95485662983316832</v>
      </c>
      <c r="DF41" s="346"/>
      <c r="DG41" s="346"/>
      <c r="DH41" s="346"/>
      <c r="DI41" s="346"/>
      <c r="DJ41" s="346"/>
      <c r="DK41" s="346"/>
      <c r="DL41" s="346"/>
    </row>
    <row r="42" spans="1:116" ht="15.75" hidden="1" customHeight="1" outlineLevel="1" x14ac:dyDescent="0.25">
      <c r="A42" s="763"/>
      <c r="B42" s="764"/>
      <c r="C42" s="321" t="s">
        <v>263</v>
      </c>
      <c r="D42" s="279"/>
      <c r="E42" s="280"/>
      <c r="F42" s="279"/>
      <c r="G42" s="279"/>
      <c r="H42" s="345">
        <f>H41*H36</f>
        <v>1.1902464288000001</v>
      </c>
      <c r="I42" s="346">
        <f t="shared" ref="I42:DE42" si="18">I41*I36</f>
        <v>1.3277794036478403</v>
      </c>
      <c r="J42" s="346">
        <f t="shared" si="18"/>
        <v>1.481204313739348</v>
      </c>
      <c r="K42" s="346">
        <f>K41*K36</f>
        <v>1.6523574721919299</v>
      </c>
      <c r="L42" s="346">
        <f t="shared" si="18"/>
        <v>1.8432873781037069</v>
      </c>
      <c r="M42" s="346">
        <f t="shared" si="18"/>
        <v>2.0562792346435903</v>
      </c>
      <c r="N42" s="346">
        <f t="shared" si="18"/>
        <v>2.2938823002066573</v>
      </c>
      <c r="O42" s="346">
        <f t="shared" si="18"/>
        <v>2.558940399995536</v>
      </c>
      <c r="P42" s="346">
        <f t="shared" si="18"/>
        <v>2.8546259632150202</v>
      </c>
      <c r="Q42" s="346">
        <f t="shared" si="18"/>
        <v>3.1844779932645157</v>
      </c>
      <c r="R42" s="346">
        <f t="shared" si="18"/>
        <v>3.5524444253862306</v>
      </c>
      <c r="S42" s="346">
        <f t="shared" si="18"/>
        <v>3.9629293787396098</v>
      </c>
      <c r="T42" s="346">
        <f t="shared" si="18"/>
        <v>4.4208458684529708</v>
      </c>
      <c r="U42" s="346">
        <f t="shared" si="18"/>
        <v>4.9316746085527114</v>
      </c>
      <c r="V42" s="346">
        <f t="shared" si="18"/>
        <v>5.5015296095709774</v>
      </c>
      <c r="W42" s="346">
        <f t="shared" si="18"/>
        <v>6.1372313559569029</v>
      </c>
      <c r="X42" s="346">
        <f t="shared" si="18"/>
        <v>6.8463884391377237</v>
      </c>
      <c r="Y42" s="346">
        <f t="shared" si="18"/>
        <v>7.6374886232800883</v>
      </c>
      <c r="Z42" s="346">
        <f t="shared" si="18"/>
        <v>8.5200004337001012</v>
      </c>
      <c r="AA42" s="346">
        <f t="shared" si="18"/>
        <v>9.5044864838141496</v>
      </c>
      <c r="AB42" s="346">
        <f t="shared" si="18"/>
        <v>10.602729897018875</v>
      </c>
      <c r="AC42" s="346">
        <f t="shared" si="18"/>
        <v>11.827875336619407</v>
      </c>
      <c r="AD42" s="346">
        <f t="shared" si="18"/>
        <v>13.194586331765779</v>
      </c>
      <c r="AE42" s="346">
        <f t="shared" si="18"/>
        <v>14.719220782401312</v>
      </c>
      <c r="AF42" s="346">
        <f t="shared" si="18"/>
        <v>16.420026743807785</v>
      </c>
      <c r="AG42" s="346">
        <f t="shared" si="18"/>
        <v>18.317360834054771</v>
      </c>
      <c r="AH42" s="346">
        <f t="shared" si="18"/>
        <v>20.433931878429799</v>
      </c>
      <c r="AI42" s="346">
        <f t="shared" si="18"/>
        <v>20.433931878429799</v>
      </c>
      <c r="AJ42" s="346">
        <f t="shared" si="18"/>
        <v>20.433931878429799</v>
      </c>
      <c r="AK42" s="346">
        <f t="shared" si="18"/>
        <v>20.433931878429799</v>
      </c>
      <c r="AL42" s="346">
        <f t="shared" si="18"/>
        <v>20.433931878429799</v>
      </c>
      <c r="AM42" s="346">
        <f t="shared" si="18"/>
        <v>20.433931878429799</v>
      </c>
      <c r="AN42" s="346">
        <f t="shared" si="18"/>
        <v>20.433931878429799</v>
      </c>
      <c r="AO42" s="346">
        <f t="shared" si="18"/>
        <v>20.433931878429799</v>
      </c>
      <c r="AP42" s="346">
        <f t="shared" si="18"/>
        <v>20.433931878429799</v>
      </c>
      <c r="AQ42" s="346">
        <f t="shared" si="18"/>
        <v>20.433931878429799</v>
      </c>
      <c r="AR42" s="346">
        <f t="shared" si="18"/>
        <v>20.433931878429799</v>
      </c>
      <c r="AS42" s="346">
        <f t="shared" si="18"/>
        <v>20.433931878429799</v>
      </c>
      <c r="AT42" s="346">
        <f t="shared" si="18"/>
        <v>20.433931878429799</v>
      </c>
      <c r="AU42" s="346">
        <f t="shared" si="18"/>
        <v>20.433931878429799</v>
      </c>
      <c r="AV42" s="346">
        <f t="shared" si="18"/>
        <v>20.433931878429799</v>
      </c>
      <c r="AW42" s="346">
        <f t="shared" si="18"/>
        <v>20.433931878429799</v>
      </c>
      <c r="AX42" s="346">
        <f t="shared" si="18"/>
        <v>20.433931878429799</v>
      </c>
      <c r="AY42" s="346">
        <f t="shared" si="18"/>
        <v>20.433931878429799</v>
      </c>
      <c r="AZ42" s="346">
        <f t="shared" si="18"/>
        <v>20.433931878429799</v>
      </c>
      <c r="BA42" s="346">
        <f t="shared" si="18"/>
        <v>20.433931878429799</v>
      </c>
      <c r="BB42" s="346">
        <f t="shared" si="18"/>
        <v>20.433931878429799</v>
      </c>
      <c r="BC42" s="346">
        <f t="shared" si="18"/>
        <v>20.433931878429799</v>
      </c>
      <c r="BD42" s="346">
        <f t="shared" si="18"/>
        <v>20.433931878429799</v>
      </c>
      <c r="BE42" s="346">
        <f t="shared" si="18"/>
        <v>20.433931878429799</v>
      </c>
      <c r="BF42" s="346">
        <f t="shared" si="18"/>
        <v>20.433931878429799</v>
      </c>
      <c r="BG42" s="346">
        <f t="shared" si="18"/>
        <v>20.433931878429799</v>
      </c>
      <c r="BH42" s="346">
        <f t="shared" si="18"/>
        <v>20.433931878429799</v>
      </c>
      <c r="BI42" s="346">
        <f t="shared" si="18"/>
        <v>20.433931878429799</v>
      </c>
      <c r="BJ42" s="346">
        <f t="shared" si="18"/>
        <v>20.433931878429799</v>
      </c>
      <c r="BK42" s="346">
        <f t="shared" si="18"/>
        <v>20.433931878429799</v>
      </c>
      <c r="BL42" s="346">
        <f t="shared" si="18"/>
        <v>20.433931878429799</v>
      </c>
      <c r="BM42" s="346">
        <f t="shared" si="18"/>
        <v>20.433931878429799</v>
      </c>
      <c r="BN42" s="346">
        <f t="shared" si="18"/>
        <v>20.433931878429799</v>
      </c>
      <c r="BO42" s="346">
        <f t="shared" si="18"/>
        <v>20.433931878429799</v>
      </c>
      <c r="BP42" s="346">
        <f t="shared" si="18"/>
        <v>20.433931878429799</v>
      </c>
      <c r="BQ42" s="346">
        <f t="shared" si="18"/>
        <v>20.433931878429799</v>
      </c>
      <c r="BR42" s="346">
        <f t="shared" si="18"/>
        <v>20.433931878429799</v>
      </c>
      <c r="BS42" s="346">
        <f t="shared" si="18"/>
        <v>20.433931878429799</v>
      </c>
      <c r="BT42" s="346">
        <f t="shared" si="18"/>
        <v>20.433931878429799</v>
      </c>
      <c r="BU42" s="346">
        <f t="shared" si="18"/>
        <v>20.433931878429799</v>
      </c>
      <c r="BV42" s="346">
        <f t="shared" si="18"/>
        <v>20.433931878429799</v>
      </c>
      <c r="BW42" s="346">
        <f t="shared" si="18"/>
        <v>20.433931878429799</v>
      </c>
      <c r="BX42" s="346">
        <f t="shared" si="18"/>
        <v>20.433931878429799</v>
      </c>
      <c r="BY42" s="346">
        <f t="shared" si="18"/>
        <v>20.433931878429799</v>
      </c>
      <c r="BZ42" s="346">
        <f t="shared" si="18"/>
        <v>20.433931878429799</v>
      </c>
      <c r="CA42" s="346">
        <f t="shared" si="18"/>
        <v>20.433931878429799</v>
      </c>
      <c r="CB42" s="346">
        <f t="shared" si="18"/>
        <v>20.433931878429799</v>
      </c>
      <c r="CC42" s="346">
        <f t="shared" si="18"/>
        <v>20.433931878429799</v>
      </c>
      <c r="CD42" s="346">
        <f t="shared" si="18"/>
        <v>20.433931878429799</v>
      </c>
      <c r="CE42" s="346">
        <f t="shared" si="18"/>
        <v>20.433931878429799</v>
      </c>
      <c r="CF42" s="346">
        <f t="shared" si="18"/>
        <v>20.433931878429799</v>
      </c>
      <c r="CG42" s="346">
        <f t="shared" si="18"/>
        <v>20.433931878429799</v>
      </c>
      <c r="CH42" s="346">
        <f t="shared" si="18"/>
        <v>20.433931878429799</v>
      </c>
      <c r="CI42" s="346">
        <f t="shared" si="18"/>
        <v>20.433931878429799</v>
      </c>
      <c r="CJ42" s="346">
        <f t="shared" si="18"/>
        <v>20.433931878429799</v>
      </c>
      <c r="CK42" s="346">
        <f t="shared" si="18"/>
        <v>20.433931878429799</v>
      </c>
      <c r="CL42" s="346">
        <f t="shared" si="18"/>
        <v>20.433931878429799</v>
      </c>
      <c r="CM42" s="346">
        <f t="shared" si="18"/>
        <v>20.433931878429799</v>
      </c>
      <c r="CN42" s="346">
        <f t="shared" si="18"/>
        <v>20.433931878429799</v>
      </c>
      <c r="CO42" s="346">
        <f t="shared" si="18"/>
        <v>20.433931878429799</v>
      </c>
      <c r="CP42" s="346">
        <f t="shared" si="18"/>
        <v>20.433931878429799</v>
      </c>
      <c r="CQ42" s="346">
        <f t="shared" si="18"/>
        <v>20.433931878429799</v>
      </c>
      <c r="CR42" s="346">
        <f t="shared" si="18"/>
        <v>20.433931878429799</v>
      </c>
      <c r="CS42" s="346">
        <f t="shared" si="18"/>
        <v>20.433931878429799</v>
      </c>
      <c r="CT42" s="346">
        <f t="shared" si="18"/>
        <v>20.433931878429799</v>
      </c>
      <c r="CU42" s="346">
        <f t="shared" si="18"/>
        <v>20.433931878429799</v>
      </c>
      <c r="CV42" s="346">
        <f t="shared" si="18"/>
        <v>20.433931878429799</v>
      </c>
      <c r="CW42" s="346">
        <f t="shared" si="18"/>
        <v>20.433931878429799</v>
      </c>
      <c r="CX42" s="346">
        <f t="shared" si="18"/>
        <v>20.433931878429799</v>
      </c>
      <c r="CY42" s="346">
        <f t="shared" si="18"/>
        <v>20.433931878429799</v>
      </c>
      <c r="CZ42" s="346">
        <f t="shared" si="18"/>
        <v>20.433931878429799</v>
      </c>
      <c r="DA42" s="346">
        <f t="shared" si="18"/>
        <v>20.433931878429799</v>
      </c>
      <c r="DB42" s="346">
        <f t="shared" si="18"/>
        <v>20.433931878429799</v>
      </c>
      <c r="DC42" s="346">
        <f t="shared" si="18"/>
        <v>20.433931878429799</v>
      </c>
      <c r="DD42" s="346">
        <f t="shared" si="18"/>
        <v>20.433931878429799</v>
      </c>
      <c r="DE42" s="346">
        <f t="shared" si="18"/>
        <v>20.433931878429799</v>
      </c>
      <c r="DF42" s="346"/>
      <c r="DG42" s="346"/>
      <c r="DH42" s="346"/>
      <c r="DI42" s="346"/>
      <c r="DJ42" s="346"/>
      <c r="DK42" s="346"/>
      <c r="DL42" s="346"/>
    </row>
    <row r="43" spans="1:116" ht="15.75" hidden="1" customHeight="1" outlineLevel="1" x14ac:dyDescent="0.25">
      <c r="A43" s="763"/>
      <c r="B43" s="764"/>
      <c r="C43" s="347" t="s">
        <v>244</v>
      </c>
      <c r="D43" s="348"/>
      <c r="E43" s="349"/>
      <c r="F43" s="348"/>
      <c r="G43" s="348"/>
      <c r="H43" s="350">
        <f>'Unit Costs and Indicators'!$A$132*I42</f>
        <v>34.888836916893005</v>
      </c>
      <c r="I43" s="351">
        <f>'Unit Costs and Indicators'!$A$132*I42</f>
        <v>34.888836916893005</v>
      </c>
      <c r="J43" s="352">
        <f>'Unit Costs and Indicators'!$A$132*J42</f>
        <v>38.920242022639989</v>
      </c>
      <c r="K43" s="352">
        <f>'Unit Costs and Indicators'!$A$132*K42</f>
        <v>43.417475988356045</v>
      </c>
      <c r="L43" s="352">
        <f>'Unit Costs and Indicators'!$A$132*L42</f>
        <v>48.434365338810572</v>
      </c>
      <c r="M43" s="352">
        <f>'Unit Costs and Indicators'!$A$132*M42</f>
        <v>54.030956253710137</v>
      </c>
      <c r="N43" s="352">
        <f>'Unit Costs and Indicators'!$A$132*N42</f>
        <v>60.274233248826349</v>
      </c>
      <c r="O43" s="352">
        <f>'Unit Costs and Indicators'!$A$132*O42</f>
        <v>67.238920900728218</v>
      </c>
      <c r="P43" s="352">
        <f>'Unit Costs and Indicators'!$A$132*P42</f>
        <v>75.008378210807365</v>
      </c>
      <c r="Q43" s="352">
        <f>'Unit Costs and Indicators'!$A$132*Q42</f>
        <v>83.675596313066151</v>
      </c>
      <c r="R43" s="352">
        <f>'Unit Costs and Indicators'!$A$132*R42</f>
        <v>93.344311467040953</v>
      </c>
      <c r="S43" s="352">
        <f>'Unit Costs and Indicators'!$A$132*S42</f>
        <v>104.13024665705754</v>
      </c>
      <c r="T43" s="352">
        <f>'Unit Costs and Indicators'!$A$132*T42</f>
        <v>116.16249665828052</v>
      </c>
      <c r="U43" s="352">
        <f>'Unit Costs and Indicators'!$A$132*U42</f>
        <v>129.58507314714481</v>
      </c>
      <c r="V43" s="352">
        <f>'Unit Costs and Indicators'!$A$132*V42</f>
        <v>144.55862834929741</v>
      </c>
      <c r="W43" s="352">
        <f>'Unit Costs and Indicators'!$A$132*W42</f>
        <v>161.2623778550587</v>
      </c>
      <c r="X43" s="352">
        <f>'Unit Costs and Indicators'!$A$132*X42</f>
        <v>179.89624561621076</v>
      </c>
      <c r="Y43" s="352">
        <f>'Unit Costs and Indicators'!$A$132*Y42</f>
        <v>200.68325679716392</v>
      </c>
      <c r="Z43" s="352">
        <f>'Unit Costs and Indicators'!$A$132*Z42</f>
        <v>223.87220712007618</v>
      </c>
      <c r="AA43" s="352">
        <f>'Unit Costs and Indicators'!$A$132*AA42</f>
        <v>249.74064065280103</v>
      </c>
      <c r="AB43" s="352">
        <f>'Unit Costs and Indicators'!$A$132*AB42</f>
        <v>278.59817168023221</v>
      </c>
      <c r="AC43" s="352">
        <f>'Unit Costs and Indicators'!$A$132*AC42</f>
        <v>310.79019041788303</v>
      </c>
      <c r="AD43" s="352">
        <f>'Unit Costs and Indicators'!$A$132*AD42</f>
        <v>346.70199692066939</v>
      </c>
      <c r="AE43" s="352">
        <f>'Unit Costs and Indicators'!$A$132*AE42</f>
        <v>386.76341266485269</v>
      </c>
      <c r="AF43" s="352">
        <f>'Unit Costs and Indicators'!$A$132*AF42</f>
        <v>431.45392499827648</v>
      </c>
      <c r="AG43" s="352">
        <f>'Unit Costs and Indicators'!$A$132*AG42</f>
        <v>481.3084260318272</v>
      </c>
      <c r="AH43" s="352">
        <f>'Unit Costs and Indicators'!$A$132*AH42</f>
        <v>536.9236146598048</v>
      </c>
      <c r="AI43" s="352">
        <f>'Unit Costs and Indicators'!$A$132*AI42</f>
        <v>536.9236146598048</v>
      </c>
      <c r="AJ43" s="352">
        <f>'Unit Costs and Indicators'!$A$132*AJ42</f>
        <v>536.9236146598048</v>
      </c>
      <c r="AK43" s="352">
        <f>'Unit Costs and Indicators'!$A$132*AK42</f>
        <v>536.9236146598048</v>
      </c>
      <c r="AL43" s="352">
        <f>'Unit Costs and Indicators'!$A$132*AL42</f>
        <v>536.9236146598048</v>
      </c>
      <c r="AM43" s="352">
        <f>'Unit Costs and Indicators'!$A$132*AM42</f>
        <v>536.9236146598048</v>
      </c>
      <c r="AN43" s="352">
        <f>'Unit Costs and Indicators'!$A$132*AN42</f>
        <v>536.9236146598048</v>
      </c>
      <c r="AO43" s="352">
        <f>'Unit Costs and Indicators'!$A$132*AO42</f>
        <v>536.9236146598048</v>
      </c>
      <c r="AP43" s="352">
        <f>'Unit Costs and Indicators'!$A$132*AP42</f>
        <v>536.9236146598048</v>
      </c>
      <c r="AQ43" s="352">
        <f>'Unit Costs and Indicators'!$A$132*AQ42</f>
        <v>536.9236146598048</v>
      </c>
      <c r="AR43" s="352">
        <f>'Unit Costs and Indicators'!$A$132*AR42</f>
        <v>536.9236146598048</v>
      </c>
      <c r="AS43" s="352">
        <f>'Unit Costs and Indicators'!$A$132*AS42</f>
        <v>536.9236146598048</v>
      </c>
      <c r="AT43" s="352">
        <f>'Unit Costs and Indicators'!$A$132*AT42</f>
        <v>536.9236146598048</v>
      </c>
      <c r="AU43" s="352">
        <f>'Unit Costs and Indicators'!$A$132*AU42</f>
        <v>536.9236146598048</v>
      </c>
      <c r="AV43" s="352">
        <f>'Unit Costs and Indicators'!$A$132*AV42</f>
        <v>536.9236146598048</v>
      </c>
      <c r="AW43" s="352">
        <f>'Unit Costs and Indicators'!$A$132*AW42</f>
        <v>536.9236146598048</v>
      </c>
      <c r="AX43" s="352">
        <f>'Unit Costs and Indicators'!$A$132*AX42</f>
        <v>536.9236146598048</v>
      </c>
      <c r="AY43" s="352">
        <f>'Unit Costs and Indicators'!$A$132*AY42</f>
        <v>536.9236146598048</v>
      </c>
      <c r="AZ43" s="352">
        <f>'Unit Costs and Indicators'!$A$132*AZ42</f>
        <v>536.9236146598048</v>
      </c>
      <c r="BA43" s="352">
        <f>'Unit Costs and Indicators'!$A$132*BA42</f>
        <v>536.9236146598048</v>
      </c>
      <c r="BB43" s="352">
        <f>'Unit Costs and Indicators'!$A$132*BB42</f>
        <v>536.9236146598048</v>
      </c>
      <c r="BC43" s="352">
        <f>'Unit Costs and Indicators'!$A$132*BC42</f>
        <v>536.9236146598048</v>
      </c>
      <c r="BD43" s="352">
        <f>'Unit Costs and Indicators'!$A$132*BD42</f>
        <v>536.9236146598048</v>
      </c>
      <c r="BE43" s="352">
        <f>'Unit Costs and Indicators'!$A$132*BE42</f>
        <v>536.9236146598048</v>
      </c>
      <c r="BF43" s="352">
        <f>'Unit Costs and Indicators'!$A$132*BF42</f>
        <v>536.9236146598048</v>
      </c>
      <c r="BG43" s="352">
        <f>'Unit Costs and Indicators'!$A$132*BG42</f>
        <v>536.9236146598048</v>
      </c>
      <c r="BH43" s="352">
        <f>'Unit Costs and Indicators'!$A$132*BH42</f>
        <v>536.9236146598048</v>
      </c>
      <c r="BI43" s="352">
        <f>'Unit Costs and Indicators'!$A$132*BI42</f>
        <v>536.9236146598048</v>
      </c>
      <c r="BJ43" s="352">
        <f>'Unit Costs and Indicators'!$A$132*BJ42</f>
        <v>536.9236146598048</v>
      </c>
      <c r="BK43" s="352">
        <f>'Unit Costs and Indicators'!$A$132*BK42</f>
        <v>536.9236146598048</v>
      </c>
      <c r="BL43" s="352">
        <f>'Unit Costs and Indicators'!$A$132*BL42</f>
        <v>536.9236146598048</v>
      </c>
      <c r="BM43" s="352">
        <f>'Unit Costs and Indicators'!$A$132*BM42</f>
        <v>536.9236146598048</v>
      </c>
      <c r="BN43" s="352">
        <f>'Unit Costs and Indicators'!$A$132*BN42</f>
        <v>536.9236146598048</v>
      </c>
      <c r="BO43" s="352">
        <f>'Unit Costs and Indicators'!$A$132*BO42</f>
        <v>536.9236146598048</v>
      </c>
      <c r="BP43" s="352">
        <f>'Unit Costs and Indicators'!$A$132*BP42</f>
        <v>536.9236146598048</v>
      </c>
      <c r="BQ43" s="352">
        <f>'Unit Costs and Indicators'!$A$132*BQ42</f>
        <v>536.9236146598048</v>
      </c>
      <c r="BR43" s="352">
        <f>'Unit Costs and Indicators'!$A$132*BR42</f>
        <v>536.9236146598048</v>
      </c>
      <c r="BS43" s="352">
        <f>'Unit Costs and Indicators'!$A$132*BS42</f>
        <v>536.9236146598048</v>
      </c>
      <c r="BT43" s="352">
        <f>'Unit Costs and Indicators'!$A$132*BT42</f>
        <v>536.9236146598048</v>
      </c>
      <c r="BU43" s="352">
        <f>'Unit Costs and Indicators'!$A$132*BU42</f>
        <v>536.9236146598048</v>
      </c>
      <c r="BV43" s="352">
        <f>'Unit Costs and Indicators'!$A$132*BV42</f>
        <v>536.9236146598048</v>
      </c>
      <c r="BW43" s="352">
        <f>'Unit Costs and Indicators'!$A$132*BW42</f>
        <v>536.9236146598048</v>
      </c>
      <c r="BX43" s="352">
        <f>'Unit Costs and Indicators'!$A$132*BX42</f>
        <v>536.9236146598048</v>
      </c>
      <c r="BY43" s="352">
        <f>'Unit Costs and Indicators'!$A$132*BY42</f>
        <v>536.9236146598048</v>
      </c>
      <c r="BZ43" s="352">
        <f>'Unit Costs and Indicators'!$A$132*BZ42</f>
        <v>536.9236146598048</v>
      </c>
      <c r="CA43" s="352">
        <f>'Unit Costs and Indicators'!$A$132*CA42</f>
        <v>536.9236146598048</v>
      </c>
      <c r="CB43" s="352">
        <f>'Unit Costs and Indicators'!$A$132*CB42</f>
        <v>536.9236146598048</v>
      </c>
      <c r="CC43" s="352">
        <f>'Unit Costs and Indicators'!$A$132*CC42</f>
        <v>536.9236146598048</v>
      </c>
      <c r="CD43" s="352">
        <f>'Unit Costs and Indicators'!$A$132*CD42</f>
        <v>536.9236146598048</v>
      </c>
      <c r="CE43" s="352">
        <f>'Unit Costs and Indicators'!$A$132*CE42</f>
        <v>536.9236146598048</v>
      </c>
      <c r="CF43" s="352">
        <f>'Unit Costs and Indicators'!$A$132*CF42</f>
        <v>536.9236146598048</v>
      </c>
      <c r="CG43" s="352">
        <f>'Unit Costs and Indicators'!$A$132*CG42</f>
        <v>536.9236146598048</v>
      </c>
      <c r="CH43" s="352">
        <f>'Unit Costs and Indicators'!$A$132*CH42</f>
        <v>536.9236146598048</v>
      </c>
      <c r="CI43" s="352">
        <f>'Unit Costs and Indicators'!$A$132*CI42</f>
        <v>536.9236146598048</v>
      </c>
      <c r="CJ43" s="352">
        <f>'Unit Costs and Indicators'!$A$132*CJ42</f>
        <v>536.9236146598048</v>
      </c>
      <c r="CK43" s="352">
        <f>'Unit Costs and Indicators'!$A$132*CK42</f>
        <v>536.9236146598048</v>
      </c>
      <c r="CL43" s="352">
        <f>'Unit Costs and Indicators'!$A$132*CL42</f>
        <v>536.9236146598048</v>
      </c>
      <c r="CM43" s="352">
        <f>'Unit Costs and Indicators'!$A$132*CM42</f>
        <v>536.9236146598048</v>
      </c>
      <c r="CN43" s="352">
        <f>'Unit Costs and Indicators'!$A$132*CN42</f>
        <v>536.9236146598048</v>
      </c>
      <c r="CO43" s="352">
        <f>'Unit Costs and Indicators'!$A$132*CO42</f>
        <v>536.9236146598048</v>
      </c>
      <c r="CP43" s="352">
        <f>'Unit Costs and Indicators'!$A$132*CP42</f>
        <v>536.9236146598048</v>
      </c>
      <c r="CQ43" s="352">
        <f>'Unit Costs and Indicators'!$A$132*CQ42</f>
        <v>536.9236146598048</v>
      </c>
      <c r="CR43" s="352">
        <f>'Unit Costs and Indicators'!$A$132*CR42</f>
        <v>536.9236146598048</v>
      </c>
      <c r="CS43" s="352">
        <f>'Unit Costs and Indicators'!$A$132*CS42</f>
        <v>536.9236146598048</v>
      </c>
      <c r="CT43" s="352">
        <f>'Unit Costs and Indicators'!$A$132*CT42</f>
        <v>536.9236146598048</v>
      </c>
      <c r="CU43" s="352">
        <f>'Unit Costs and Indicators'!$A$132*CU42</f>
        <v>536.9236146598048</v>
      </c>
      <c r="CV43" s="352">
        <f>'Unit Costs and Indicators'!$A$132*CV42</f>
        <v>536.9236146598048</v>
      </c>
      <c r="CW43" s="352">
        <f>'Unit Costs and Indicators'!$A$132*CW42</f>
        <v>536.9236146598048</v>
      </c>
      <c r="CX43" s="352">
        <f>'Unit Costs and Indicators'!$A$132*CX42</f>
        <v>536.9236146598048</v>
      </c>
      <c r="CY43" s="352">
        <f>'Unit Costs and Indicators'!$A$132*CY42</f>
        <v>536.9236146598048</v>
      </c>
      <c r="CZ43" s="352">
        <f>'Unit Costs and Indicators'!$A$132*CZ42</f>
        <v>536.9236146598048</v>
      </c>
      <c r="DA43" s="352">
        <f>'Unit Costs and Indicators'!$A$132*DA42</f>
        <v>536.9236146598048</v>
      </c>
      <c r="DB43" s="352">
        <f>'Unit Costs and Indicators'!$A$132*DB42</f>
        <v>536.9236146598048</v>
      </c>
      <c r="DC43" s="352">
        <f>'Unit Costs and Indicators'!$A$132*DC42</f>
        <v>536.9236146598048</v>
      </c>
      <c r="DD43" s="352">
        <f>'Unit Costs and Indicators'!$A$132*DD42</f>
        <v>536.9236146598048</v>
      </c>
      <c r="DE43" s="352">
        <f>'Unit Costs and Indicators'!$A$132*DE42</f>
        <v>536.9236146598048</v>
      </c>
      <c r="DF43" s="353"/>
      <c r="DG43" s="353"/>
      <c r="DH43" s="353"/>
      <c r="DI43" s="353"/>
      <c r="DJ43" s="353"/>
      <c r="DK43" s="353"/>
      <c r="DL43" s="353"/>
    </row>
    <row r="44" spans="1:116" ht="15.75" hidden="1" customHeight="1" outlineLevel="1" x14ac:dyDescent="0.25">
      <c r="A44" s="763"/>
      <c r="B44" s="764"/>
      <c r="C44" s="347" t="s">
        <v>264</v>
      </c>
      <c r="D44" s="348"/>
      <c r="E44" s="349"/>
      <c r="F44" s="348"/>
      <c r="G44" s="348"/>
      <c r="H44" s="350">
        <f>211200000*'Unit Costs and Indicators'!$L$10</f>
        <v>17676.767676767675</v>
      </c>
      <c r="I44" s="351">
        <f>211200000*'Unit Costs and Indicators'!$L$10</f>
        <v>17676.767676767675</v>
      </c>
      <c r="J44" s="352">
        <f>211200000*'Unit Costs and Indicators'!$L$10</f>
        <v>17676.767676767675</v>
      </c>
      <c r="K44" s="352">
        <f>211200000*'Unit Costs and Indicators'!$L$10</f>
        <v>17676.767676767675</v>
      </c>
      <c r="L44" s="352">
        <f>211200000*'Unit Costs and Indicators'!$L$10</f>
        <v>17676.767676767675</v>
      </c>
      <c r="M44" s="352">
        <f>211200000*'Unit Costs and Indicators'!$L$10</f>
        <v>17676.767676767675</v>
      </c>
      <c r="N44" s="352">
        <f>211200000*'Unit Costs and Indicators'!$L$10</f>
        <v>17676.767676767675</v>
      </c>
      <c r="O44" s="352">
        <f>211200000*'Unit Costs and Indicators'!$L$10</f>
        <v>17676.767676767675</v>
      </c>
      <c r="P44" s="352">
        <f>211200000*'Unit Costs and Indicators'!$L$10</f>
        <v>17676.767676767675</v>
      </c>
      <c r="Q44" s="352">
        <f>211200000*'Unit Costs and Indicators'!$L$10</f>
        <v>17676.767676767675</v>
      </c>
      <c r="R44" s="352">
        <f>211200000*'Unit Costs and Indicators'!$L$10</f>
        <v>17676.767676767675</v>
      </c>
      <c r="S44" s="352">
        <f>211200000*'Unit Costs and Indicators'!$L$10</f>
        <v>17676.767676767675</v>
      </c>
      <c r="T44" s="352">
        <f>211200000*'Unit Costs and Indicators'!$L$10</f>
        <v>17676.767676767675</v>
      </c>
      <c r="U44" s="352">
        <f>211200000*'Unit Costs and Indicators'!$L$10</f>
        <v>17676.767676767675</v>
      </c>
      <c r="V44" s="352">
        <f>211200000*'Unit Costs and Indicators'!$L$10</f>
        <v>17676.767676767675</v>
      </c>
      <c r="W44" s="352">
        <f>211200000*'Unit Costs and Indicators'!$L$10</f>
        <v>17676.767676767675</v>
      </c>
      <c r="X44" s="352">
        <f>211200000*'Unit Costs and Indicators'!$L$10</f>
        <v>17676.767676767675</v>
      </c>
      <c r="Y44" s="352">
        <f>211200000*'Unit Costs and Indicators'!$L$10</f>
        <v>17676.767676767675</v>
      </c>
      <c r="Z44" s="352">
        <f>211200000*'Unit Costs and Indicators'!$L$10</f>
        <v>17676.767676767675</v>
      </c>
      <c r="AA44" s="352">
        <f>211200000*'Unit Costs and Indicators'!$L$10</f>
        <v>17676.767676767675</v>
      </c>
      <c r="AB44" s="352">
        <f>211200000*'Unit Costs and Indicators'!$L$10</f>
        <v>17676.767676767675</v>
      </c>
      <c r="AC44" s="352">
        <f>211200000*'Unit Costs and Indicators'!$L$10</f>
        <v>17676.767676767675</v>
      </c>
      <c r="AD44" s="352">
        <f>211200000*'Unit Costs and Indicators'!$L$10</f>
        <v>17676.767676767675</v>
      </c>
      <c r="AE44" s="352">
        <f>211200000*'Unit Costs and Indicators'!$L$10</f>
        <v>17676.767676767675</v>
      </c>
      <c r="AF44" s="352">
        <f>211200000*'Unit Costs and Indicators'!$L$10</f>
        <v>17676.767676767675</v>
      </c>
      <c r="AG44" s="352">
        <f>211200000*'Unit Costs and Indicators'!$L$10</f>
        <v>17676.767676767675</v>
      </c>
      <c r="AH44" s="352">
        <f>211200000*'Unit Costs and Indicators'!$L$10</f>
        <v>17676.767676767675</v>
      </c>
      <c r="AI44" s="352">
        <f>211200000*'Unit Costs and Indicators'!$L$10</f>
        <v>17676.767676767675</v>
      </c>
      <c r="AJ44" s="352">
        <f>211200000*'Unit Costs and Indicators'!$L$10</f>
        <v>17676.767676767675</v>
      </c>
      <c r="AK44" s="352">
        <f>211200000*'Unit Costs and Indicators'!$L$10</f>
        <v>17676.767676767675</v>
      </c>
      <c r="AL44" s="352">
        <f>211200000*'Unit Costs and Indicators'!$L$10</f>
        <v>17676.767676767675</v>
      </c>
      <c r="AM44" s="352">
        <f>211200000*'Unit Costs and Indicators'!$L$10</f>
        <v>17676.767676767675</v>
      </c>
      <c r="AN44" s="352">
        <f>211200000*'Unit Costs and Indicators'!$L$10</f>
        <v>17676.767676767675</v>
      </c>
      <c r="AO44" s="352">
        <f>211200000*'Unit Costs and Indicators'!$L$10</f>
        <v>17676.767676767675</v>
      </c>
      <c r="AP44" s="352">
        <f>211200000*'Unit Costs and Indicators'!$L$10</f>
        <v>17676.767676767675</v>
      </c>
      <c r="AQ44" s="352">
        <f>211200000*'Unit Costs and Indicators'!$L$10</f>
        <v>17676.767676767675</v>
      </c>
      <c r="AR44" s="352">
        <f>211200000*'Unit Costs and Indicators'!$L$10</f>
        <v>17676.767676767675</v>
      </c>
      <c r="AS44" s="352">
        <f>211200000*'Unit Costs and Indicators'!$L$10</f>
        <v>17676.767676767675</v>
      </c>
      <c r="AT44" s="352">
        <f>211200000*'Unit Costs and Indicators'!$L$10</f>
        <v>17676.767676767675</v>
      </c>
      <c r="AU44" s="352">
        <f>211200000*'Unit Costs and Indicators'!$L$10</f>
        <v>17676.767676767675</v>
      </c>
      <c r="AV44" s="352">
        <f>211200000*'Unit Costs and Indicators'!$L$10</f>
        <v>17676.767676767675</v>
      </c>
      <c r="AW44" s="352">
        <f>211200000*'Unit Costs and Indicators'!$L$10</f>
        <v>17676.767676767675</v>
      </c>
      <c r="AX44" s="352">
        <f>211200000*'Unit Costs and Indicators'!$L$10</f>
        <v>17676.767676767675</v>
      </c>
      <c r="AY44" s="352">
        <f>211200000*'Unit Costs and Indicators'!$L$10</f>
        <v>17676.767676767675</v>
      </c>
      <c r="AZ44" s="352">
        <f>211200000*'Unit Costs and Indicators'!$L$10</f>
        <v>17676.767676767675</v>
      </c>
      <c r="BA44" s="352">
        <f>211200000*'Unit Costs and Indicators'!$L$10</f>
        <v>17676.767676767675</v>
      </c>
      <c r="BB44" s="352">
        <f>211200000*'Unit Costs and Indicators'!$L$10</f>
        <v>17676.767676767675</v>
      </c>
      <c r="BC44" s="352">
        <f>211200000*'Unit Costs and Indicators'!$L$10</f>
        <v>17676.767676767675</v>
      </c>
      <c r="BD44" s="352">
        <f>211200000*'Unit Costs and Indicators'!$L$10</f>
        <v>17676.767676767675</v>
      </c>
      <c r="BE44" s="352">
        <f>211200000*'Unit Costs and Indicators'!$L$10</f>
        <v>17676.767676767675</v>
      </c>
      <c r="BF44" s="352">
        <f>211200000*'Unit Costs and Indicators'!$L$10</f>
        <v>17676.767676767675</v>
      </c>
      <c r="BG44" s="352">
        <f>211200000*'Unit Costs and Indicators'!$L$10</f>
        <v>17676.767676767675</v>
      </c>
      <c r="BH44" s="352">
        <f>211200000*'Unit Costs and Indicators'!$L$10</f>
        <v>17676.767676767675</v>
      </c>
      <c r="BI44" s="352">
        <f>211200000*'Unit Costs and Indicators'!$L$10</f>
        <v>17676.767676767675</v>
      </c>
      <c r="BJ44" s="352">
        <f>211200000*'Unit Costs and Indicators'!$L$10</f>
        <v>17676.767676767675</v>
      </c>
      <c r="BK44" s="352">
        <f>211200000*'Unit Costs and Indicators'!$L$10</f>
        <v>17676.767676767675</v>
      </c>
      <c r="BL44" s="352">
        <f>211200000*'Unit Costs and Indicators'!$L$10</f>
        <v>17676.767676767675</v>
      </c>
      <c r="BM44" s="352">
        <f>211200000*'Unit Costs and Indicators'!$L$10</f>
        <v>17676.767676767675</v>
      </c>
      <c r="BN44" s="352">
        <f>211200000*'Unit Costs and Indicators'!$L$10</f>
        <v>17676.767676767675</v>
      </c>
      <c r="BO44" s="352">
        <f>211200000*'Unit Costs and Indicators'!$L$10</f>
        <v>17676.767676767675</v>
      </c>
      <c r="BP44" s="352">
        <f>211200000*'Unit Costs and Indicators'!$L$10</f>
        <v>17676.767676767675</v>
      </c>
      <c r="BQ44" s="352">
        <f>211200000*'Unit Costs and Indicators'!$L$10</f>
        <v>17676.767676767675</v>
      </c>
      <c r="BR44" s="352">
        <f>211200000*'Unit Costs and Indicators'!$L$10</f>
        <v>17676.767676767675</v>
      </c>
      <c r="BS44" s="352">
        <f>211200000*'Unit Costs and Indicators'!$L$10</f>
        <v>17676.767676767675</v>
      </c>
      <c r="BT44" s="352">
        <f>211200000*'Unit Costs and Indicators'!$L$10</f>
        <v>17676.767676767675</v>
      </c>
      <c r="BU44" s="352">
        <f>211200000*'Unit Costs and Indicators'!$L$10</f>
        <v>17676.767676767675</v>
      </c>
      <c r="BV44" s="352">
        <f>211200000*'Unit Costs and Indicators'!$L$10</f>
        <v>17676.767676767675</v>
      </c>
      <c r="BW44" s="352">
        <f>211200000*'Unit Costs and Indicators'!$L$10</f>
        <v>17676.767676767675</v>
      </c>
      <c r="BX44" s="352">
        <f>211200000*'Unit Costs and Indicators'!$L$10</f>
        <v>17676.767676767675</v>
      </c>
      <c r="BY44" s="352">
        <f>211200000*'Unit Costs and Indicators'!$L$10</f>
        <v>17676.767676767675</v>
      </c>
      <c r="BZ44" s="352">
        <f>211200000*'Unit Costs and Indicators'!$L$10</f>
        <v>17676.767676767675</v>
      </c>
      <c r="CA44" s="352">
        <f>211200000*'Unit Costs and Indicators'!$L$10</f>
        <v>17676.767676767675</v>
      </c>
      <c r="CB44" s="352">
        <f>211200000*'Unit Costs and Indicators'!$L$10</f>
        <v>17676.767676767675</v>
      </c>
      <c r="CC44" s="352">
        <f>211200000*'Unit Costs and Indicators'!$L$10</f>
        <v>17676.767676767675</v>
      </c>
      <c r="CD44" s="352">
        <f>211200000*'Unit Costs and Indicators'!$L$10</f>
        <v>17676.767676767675</v>
      </c>
      <c r="CE44" s="352">
        <f>211200000*'Unit Costs and Indicators'!$L$10</f>
        <v>17676.767676767675</v>
      </c>
      <c r="CF44" s="352">
        <f>211200000*'Unit Costs and Indicators'!$L$10</f>
        <v>17676.767676767675</v>
      </c>
      <c r="CG44" s="352">
        <f>211200000*'Unit Costs and Indicators'!$L$10</f>
        <v>17676.767676767675</v>
      </c>
      <c r="CH44" s="352">
        <f>211200000*'Unit Costs and Indicators'!$L$10</f>
        <v>17676.767676767675</v>
      </c>
      <c r="CI44" s="352">
        <f>211200000*'Unit Costs and Indicators'!$L$10</f>
        <v>17676.767676767675</v>
      </c>
      <c r="CJ44" s="352">
        <f>211200000*'Unit Costs and Indicators'!$L$10</f>
        <v>17676.767676767675</v>
      </c>
      <c r="CK44" s="352">
        <f>211200000*'Unit Costs and Indicators'!$L$10</f>
        <v>17676.767676767675</v>
      </c>
      <c r="CL44" s="352">
        <f>211200000*'Unit Costs and Indicators'!$L$10</f>
        <v>17676.767676767675</v>
      </c>
      <c r="CM44" s="352">
        <f>211200000*'Unit Costs and Indicators'!$L$10</f>
        <v>17676.767676767675</v>
      </c>
      <c r="CN44" s="352">
        <f>211200000*'Unit Costs and Indicators'!$L$10</f>
        <v>17676.767676767675</v>
      </c>
      <c r="CO44" s="352">
        <f>211200000*'Unit Costs and Indicators'!$L$10</f>
        <v>17676.767676767675</v>
      </c>
      <c r="CP44" s="352">
        <f>211200000*'Unit Costs and Indicators'!$L$10</f>
        <v>17676.767676767675</v>
      </c>
      <c r="CQ44" s="352">
        <f>211200000*'Unit Costs and Indicators'!$L$10</f>
        <v>17676.767676767675</v>
      </c>
      <c r="CR44" s="352">
        <f>211200000*'Unit Costs and Indicators'!$L$10</f>
        <v>17676.767676767675</v>
      </c>
      <c r="CS44" s="352">
        <f>211200000*'Unit Costs and Indicators'!$L$10</f>
        <v>17676.767676767675</v>
      </c>
      <c r="CT44" s="352">
        <f>211200000*'Unit Costs and Indicators'!$L$10</f>
        <v>17676.767676767675</v>
      </c>
      <c r="CU44" s="352">
        <f>211200000*'Unit Costs and Indicators'!$L$10</f>
        <v>17676.767676767675</v>
      </c>
      <c r="CV44" s="352">
        <f>211200000*'Unit Costs and Indicators'!$L$10</f>
        <v>17676.767676767675</v>
      </c>
      <c r="CW44" s="352">
        <f>211200000*'Unit Costs and Indicators'!$L$10</f>
        <v>17676.767676767675</v>
      </c>
      <c r="CX44" s="352">
        <f>211200000*'Unit Costs and Indicators'!$L$10</f>
        <v>17676.767676767675</v>
      </c>
      <c r="CY44" s="352">
        <f>211200000*'Unit Costs and Indicators'!$L$10</f>
        <v>17676.767676767675</v>
      </c>
      <c r="CZ44" s="352">
        <f>211200000*'Unit Costs and Indicators'!$L$10</f>
        <v>17676.767676767675</v>
      </c>
      <c r="DA44" s="352">
        <f>211200000*'Unit Costs and Indicators'!$L$10</f>
        <v>17676.767676767675</v>
      </c>
      <c r="DB44" s="352">
        <f>211200000*'Unit Costs and Indicators'!$L$10</f>
        <v>17676.767676767675</v>
      </c>
      <c r="DC44" s="352">
        <f>211200000*'Unit Costs and Indicators'!$L$10</f>
        <v>17676.767676767675</v>
      </c>
      <c r="DD44" s="352">
        <f>211200000*'Unit Costs and Indicators'!$L$10</f>
        <v>17676.767676767675</v>
      </c>
      <c r="DE44" s="352">
        <f>211200000*'Unit Costs and Indicators'!$L$10</f>
        <v>17676.767676767675</v>
      </c>
      <c r="DF44" s="353"/>
      <c r="DG44" s="353"/>
      <c r="DH44" s="353"/>
      <c r="DI44" s="353"/>
      <c r="DJ44" s="353"/>
      <c r="DK44" s="353"/>
      <c r="DL44" s="353"/>
    </row>
    <row r="45" spans="1:116" ht="15.75" hidden="1" customHeight="1" outlineLevel="1" x14ac:dyDescent="0.25">
      <c r="A45" s="763"/>
      <c r="B45" s="354"/>
      <c r="C45" s="355" t="s">
        <v>244</v>
      </c>
      <c r="D45" s="356" t="s">
        <v>247</v>
      </c>
      <c r="E45" s="357"/>
      <c r="F45" s="316" t="s">
        <v>14</v>
      </c>
      <c r="G45" s="358">
        <f t="array" ref="G45">NPV($D$6, J45:DE45)+I45</f>
        <v>820322.49181041727</v>
      </c>
      <c r="H45" s="359">
        <f>H39+H43+H44</f>
        <v>18026.137242796605</v>
      </c>
      <c r="I45" s="360">
        <f>(I39+I43+I44)</f>
        <v>18026.137242796605</v>
      </c>
      <c r="J45" s="360">
        <f>(J39+J43+J44)*(1 + $D$5)^(J2-$I$2)</f>
        <v>18390.772020860401</v>
      </c>
      <c r="K45" s="360">
        <f t="shared" ref="K45:DE45" si="19">(K39+K43+K44)*(1 + $D$5)^(K2-$I$2)</f>
        <v>18763.266383495535</v>
      </c>
      <c r="L45" s="360">
        <f t="shared" si="19"/>
        <v>19143.855674279264</v>
      </c>
      <c r="M45" s="360">
        <f t="shared" si="19"/>
        <v>19532.7907177575</v>
      </c>
      <c r="N45" s="360">
        <f t="shared" si="19"/>
        <v>19930.339614392022</v>
      </c>
      <c r="O45" s="360">
        <f t="shared" si="19"/>
        <v>20336.789776175345</v>
      </c>
      <c r="P45" s="360">
        <f t="shared" si="19"/>
        <v>20752.450235956348</v>
      </c>
      <c r="Q45" s="360">
        <f t="shared" si="19"/>
        <v>21177.65426807218</v>
      </c>
      <c r="R45" s="360">
        <f t="shared" si="19"/>
        <v>21612.762363062269</v>
      </c>
      <c r="S45" s="360">
        <f t="shared" si="19"/>
        <v>22058.165605134567</v>
      </c>
      <c r="T45" s="360">
        <f t="shared" si="19"/>
        <v>22514.289507760957</v>
      </c>
      <c r="U45" s="360">
        <f t="shared" si="19"/>
        <v>22981.598370410069</v>
      </c>
      <c r="V45" s="360">
        <f t="shared" si="19"/>
        <v>23460.600228109241</v>
      </c>
      <c r="W45" s="360">
        <f t="shared" si="19"/>
        <v>23951.852475407803</v>
      </c>
      <c r="X45" s="360">
        <f t="shared" si="19"/>
        <v>24455.968257556207</v>
      </c>
      <c r="Y45" s="360">
        <f t="shared" si="19"/>
        <v>24973.623734508103</v>
      </c>
      <c r="Z45" s="360">
        <f t="shared" si="19"/>
        <v>25505.566337908007</v>
      </c>
      <c r="AA45" s="360">
        <f t="shared" si="19"/>
        <v>26052.624157789953</v>
      </c>
      <c r="AB45" s="360">
        <f t="shared" si="19"/>
        <v>26615.716614558081</v>
      </c>
      <c r="AC45" s="360">
        <f t="shared" si="19"/>
        <v>27195.866593263745</v>
      </c>
      <c r="AD45" s="360">
        <f t="shared" si="19"/>
        <v>27794.214241593862</v>
      </c>
      <c r="AE45" s="360">
        <f t="shared" si="19"/>
        <v>28412.032660748751</v>
      </c>
      <c r="AF45" s="360">
        <f t="shared" si="19"/>
        <v>29050.745749978636</v>
      </c>
      <c r="AG45" s="360">
        <f t="shared" si="19"/>
        <v>29711.948501494571</v>
      </c>
      <c r="AH45" s="360">
        <f t="shared" si="19"/>
        <v>30397.430083370811</v>
      </c>
      <c r="AI45" s="360">
        <f t="shared" si="19"/>
        <v>31005.378685038231</v>
      </c>
      <c r="AJ45" s="360">
        <f t="shared" si="19"/>
        <v>31625.486258738991</v>
      </c>
      <c r="AK45" s="360">
        <f t="shared" si="19"/>
        <v>32257.995983913777</v>
      </c>
      <c r="AL45" s="360">
        <f t="shared" si="19"/>
        <v>32903.155903592051</v>
      </c>
      <c r="AM45" s="360">
        <f t="shared" si="19"/>
        <v>33561.219021663892</v>
      </c>
      <c r="AN45" s="360">
        <f t="shared" si="19"/>
        <v>34232.44340209716</v>
      </c>
      <c r="AO45" s="360">
        <f t="shared" si="19"/>
        <v>34917.09227013911</v>
      </c>
      <c r="AP45" s="360">
        <f t="shared" si="19"/>
        <v>35615.434115541895</v>
      </c>
      <c r="AQ45" s="360">
        <f t="shared" si="19"/>
        <v>36327.742797852734</v>
      </c>
      <c r="AR45" s="360">
        <f t="shared" si="19"/>
        <v>37054.297653809786</v>
      </c>
      <c r="AS45" s="360">
        <f t="shared" si="19"/>
        <v>37795.383606885982</v>
      </c>
      <c r="AT45" s="360">
        <f t="shared" si="19"/>
        <v>38551.291279023702</v>
      </c>
      <c r="AU45" s="360">
        <f t="shared" si="19"/>
        <v>39322.317104604183</v>
      </c>
      <c r="AV45" s="360">
        <f t="shared" si="19"/>
        <v>40108.763446696248</v>
      </c>
      <c r="AW45" s="360">
        <f t="shared" si="19"/>
        <v>40910.938715630189</v>
      </c>
      <c r="AX45" s="360">
        <f t="shared" si="19"/>
        <v>41729.157489942787</v>
      </c>
      <c r="AY45" s="360">
        <f t="shared" si="19"/>
        <v>42563.740639741642</v>
      </c>
      <c r="AZ45" s="360">
        <f t="shared" si="19"/>
        <v>43415.015452536471</v>
      </c>
      <c r="BA45" s="360">
        <f t="shared" si="19"/>
        <v>44283.315761587211</v>
      </c>
      <c r="BB45" s="360">
        <f t="shared" si="19"/>
        <v>45168.982076818946</v>
      </c>
      <c r="BC45" s="360">
        <f t="shared" si="19"/>
        <v>46072.361718355336</v>
      </c>
      <c r="BD45" s="360">
        <f t="shared" si="19"/>
        <v>46993.808952722422</v>
      </c>
      <c r="BE45" s="360">
        <f t="shared" si="19"/>
        <v>47933.685131776881</v>
      </c>
      <c r="BF45" s="360">
        <f t="shared" si="19"/>
        <v>48892.358834412422</v>
      </c>
      <c r="BG45" s="360">
        <f t="shared" si="19"/>
        <v>49870.206011100672</v>
      </c>
      <c r="BH45" s="360">
        <f t="shared" si="19"/>
        <v>50867.610131322675</v>
      </c>
      <c r="BI45" s="360">
        <f t="shared" si="19"/>
        <v>51884.962333949137</v>
      </c>
      <c r="BJ45" s="360">
        <f t="shared" si="19"/>
        <v>52922.661580628112</v>
      </c>
      <c r="BK45" s="360">
        <f t="shared" si="19"/>
        <v>53981.114812240681</v>
      </c>
      <c r="BL45" s="360">
        <f t="shared" si="19"/>
        <v>55060.737108485482</v>
      </c>
      <c r="BM45" s="360">
        <f t="shared" si="19"/>
        <v>56161.95185065519</v>
      </c>
      <c r="BN45" s="360">
        <f t="shared" si="19"/>
        <v>57285.190887668294</v>
      </c>
      <c r="BO45" s="360">
        <f t="shared" si="19"/>
        <v>58430.89470542167</v>
      </c>
      <c r="BP45" s="360">
        <f t="shared" si="19"/>
        <v>59599.512599530091</v>
      </c>
      <c r="BQ45" s="360">
        <f t="shared" si="19"/>
        <v>60791.502851520709</v>
      </c>
      <c r="BR45" s="360">
        <f t="shared" si="19"/>
        <v>62007.332908551114</v>
      </c>
      <c r="BS45" s="360">
        <f t="shared" si="19"/>
        <v>63247.479566722141</v>
      </c>
      <c r="BT45" s="360">
        <f t="shared" si="19"/>
        <v>64512.42915805657</v>
      </c>
      <c r="BU45" s="360">
        <f t="shared" si="19"/>
        <v>65802.677741217718</v>
      </c>
      <c r="BV45" s="360">
        <f t="shared" si="19"/>
        <v>67118.731296042068</v>
      </c>
      <c r="BW45" s="360">
        <f t="shared" si="19"/>
        <v>68461.10592196291</v>
      </c>
      <c r="BX45" s="360">
        <f t="shared" si="19"/>
        <v>69830.328040402164</v>
      </c>
      <c r="BY45" s="360">
        <f t="shared" si="19"/>
        <v>71226.934601210203</v>
      </c>
      <c r="BZ45" s="360">
        <f t="shared" si="19"/>
        <v>72651.47329323442</v>
      </c>
      <c r="CA45" s="360">
        <f t="shared" si="19"/>
        <v>74104.502759099109</v>
      </c>
      <c r="CB45" s="360">
        <f t="shared" si="19"/>
        <v>75586.592814281088</v>
      </c>
      <c r="CC45" s="360">
        <f t="shared" si="19"/>
        <v>77098.324670566712</v>
      </c>
      <c r="CD45" s="360">
        <f t="shared" si="19"/>
        <v>78640.291163978036</v>
      </c>
      <c r="CE45" s="360">
        <f t="shared" si="19"/>
        <v>80213.09698725761</v>
      </c>
      <c r="CF45" s="360">
        <f t="shared" si="19"/>
        <v>81817.358927002744</v>
      </c>
      <c r="CG45" s="360">
        <f t="shared" si="19"/>
        <v>83453.706105542806</v>
      </c>
      <c r="CH45" s="360">
        <f t="shared" si="19"/>
        <v>85122.780227653668</v>
      </c>
      <c r="CI45" s="360">
        <f t="shared" si="19"/>
        <v>86825.235832206745</v>
      </c>
      <c r="CJ45" s="360">
        <f t="shared" si="19"/>
        <v>88561.740548850852</v>
      </c>
      <c r="CK45" s="360">
        <f t="shared" si="19"/>
        <v>90332.975359827891</v>
      </c>
      <c r="CL45" s="360">
        <f t="shared" si="19"/>
        <v>92139.634867024433</v>
      </c>
      <c r="CM45" s="360">
        <f t="shared" si="19"/>
        <v>93982.427564364916</v>
      </c>
      <c r="CN45" s="360">
        <f t="shared" si="19"/>
        <v>95862.07611565222</v>
      </c>
      <c r="CO45" s="360">
        <f t="shared" si="19"/>
        <v>97779.317637965272</v>
      </c>
      <c r="CP45" s="360">
        <f t="shared" si="19"/>
        <v>99734.903990724575</v>
      </c>
      <c r="CQ45" s="360">
        <f t="shared" si="19"/>
        <v>101729.60207053907</v>
      </c>
      <c r="CR45" s="360">
        <f t="shared" si="19"/>
        <v>103764.19411194982</v>
      </c>
      <c r="CS45" s="360">
        <f t="shared" si="19"/>
        <v>105839.47799418883</v>
      </c>
      <c r="CT45" s="360">
        <f t="shared" si="19"/>
        <v>107956.26755407262</v>
      </c>
      <c r="CU45" s="360">
        <f t="shared" si="19"/>
        <v>110115.39290515408</v>
      </c>
      <c r="CV45" s="360">
        <f t="shared" si="19"/>
        <v>112317.70076325713</v>
      </c>
      <c r="CW45" s="360">
        <f t="shared" si="19"/>
        <v>114564.0547785223</v>
      </c>
      <c r="CX45" s="360">
        <f t="shared" si="19"/>
        <v>116855.33587409274</v>
      </c>
      <c r="CY45" s="360">
        <f t="shared" si="19"/>
        <v>119192.4425915746</v>
      </c>
      <c r="CZ45" s="360">
        <f t="shared" si="19"/>
        <v>121576.29144340607</v>
      </c>
      <c r="DA45" s="360">
        <f t="shared" si="19"/>
        <v>124007.8172722742</v>
      </c>
      <c r="DB45" s="360">
        <f t="shared" si="19"/>
        <v>126487.9736177197</v>
      </c>
      <c r="DC45" s="360">
        <f t="shared" si="19"/>
        <v>129017.73309007408</v>
      </c>
      <c r="DD45" s="360">
        <f t="shared" si="19"/>
        <v>131598.08775187557</v>
      </c>
      <c r="DE45" s="360">
        <f t="shared" si="19"/>
        <v>134230.04950691306</v>
      </c>
      <c r="DF45" s="361"/>
      <c r="DG45" s="361"/>
      <c r="DH45" s="361"/>
      <c r="DI45" s="361"/>
      <c r="DJ45" s="361"/>
      <c r="DK45" s="361"/>
      <c r="DL45" s="361"/>
    </row>
    <row r="46" spans="1:116" ht="15.75" hidden="1" customHeight="1" outlineLevel="1" x14ac:dyDescent="0.25">
      <c r="A46" s="763"/>
      <c r="B46" s="765" t="s">
        <v>265</v>
      </c>
      <c r="C46" s="362" t="s">
        <v>266</v>
      </c>
      <c r="D46" s="363"/>
      <c r="E46" s="364"/>
      <c r="F46" s="363"/>
      <c r="G46" s="363"/>
      <c r="H46" s="365">
        <f t="shared" ref="H46:DE46" si="20">((H60*8)+H38)/40</f>
        <v>0.27287255916893915</v>
      </c>
      <c r="I46" s="366">
        <f t="shared" si="20"/>
        <v>0.27287255916893915</v>
      </c>
      <c r="J46" s="366">
        <f t="shared" si="20"/>
        <v>0.27287255916893915</v>
      </c>
      <c r="K46" s="366">
        <f t="shared" si="20"/>
        <v>0.27287255916893915</v>
      </c>
      <c r="L46" s="366">
        <f t="shared" si="20"/>
        <v>0.27287255916893915</v>
      </c>
      <c r="M46" s="366">
        <f t="shared" si="20"/>
        <v>0.27287255916893915</v>
      </c>
      <c r="N46" s="366">
        <f t="shared" si="20"/>
        <v>0.27287255916893915</v>
      </c>
      <c r="O46" s="366">
        <f t="shared" si="20"/>
        <v>0.27287255916893915</v>
      </c>
      <c r="P46" s="366">
        <f t="shared" si="20"/>
        <v>0.27287255916893915</v>
      </c>
      <c r="Q46" s="366">
        <f t="shared" si="20"/>
        <v>0.27287255916893915</v>
      </c>
      <c r="R46" s="366">
        <f t="shared" si="20"/>
        <v>0.27287255916893915</v>
      </c>
      <c r="S46" s="366">
        <f t="shared" si="20"/>
        <v>0.27287255916893915</v>
      </c>
      <c r="T46" s="366">
        <f t="shared" si="20"/>
        <v>0.27287255916893915</v>
      </c>
      <c r="U46" s="366">
        <f t="shared" si="20"/>
        <v>0.27287255916893915</v>
      </c>
      <c r="V46" s="366">
        <f t="shared" si="20"/>
        <v>0.27287255916893915</v>
      </c>
      <c r="W46" s="366">
        <f t="shared" si="20"/>
        <v>0.27287255916893915</v>
      </c>
      <c r="X46" s="366">
        <f t="shared" si="20"/>
        <v>0.27287255916893915</v>
      </c>
      <c r="Y46" s="366">
        <f t="shared" si="20"/>
        <v>0.27287255916893915</v>
      </c>
      <c r="Z46" s="366">
        <f t="shared" si="20"/>
        <v>0.27287255916893915</v>
      </c>
      <c r="AA46" s="366">
        <f t="shared" si="20"/>
        <v>0.27287255916893915</v>
      </c>
      <c r="AB46" s="366">
        <f t="shared" si="20"/>
        <v>0.27287255916893915</v>
      </c>
      <c r="AC46" s="366">
        <f t="shared" si="20"/>
        <v>0.27287255916893915</v>
      </c>
      <c r="AD46" s="366">
        <f t="shared" si="20"/>
        <v>0.27287255916893915</v>
      </c>
      <c r="AE46" s="366">
        <f t="shared" si="20"/>
        <v>0.27287255916893915</v>
      </c>
      <c r="AF46" s="366">
        <f t="shared" si="20"/>
        <v>0.27287255916893915</v>
      </c>
      <c r="AG46" s="366">
        <f t="shared" si="20"/>
        <v>0.27287255916893915</v>
      </c>
      <c r="AH46" s="366">
        <f t="shared" si="20"/>
        <v>0.27287255916893915</v>
      </c>
      <c r="AI46" s="366">
        <f t="shared" si="20"/>
        <v>0.27287255916893915</v>
      </c>
      <c r="AJ46" s="366">
        <f t="shared" si="20"/>
        <v>0.27287255916893915</v>
      </c>
      <c r="AK46" s="366">
        <f t="shared" si="20"/>
        <v>0.27287255916893915</v>
      </c>
      <c r="AL46" s="366">
        <f t="shared" si="20"/>
        <v>0.27287255916893915</v>
      </c>
      <c r="AM46" s="366">
        <f t="shared" si="20"/>
        <v>0.27287255916893915</v>
      </c>
      <c r="AN46" s="366">
        <f t="shared" si="20"/>
        <v>0.27287255916893915</v>
      </c>
      <c r="AO46" s="366">
        <f t="shared" si="20"/>
        <v>0.27287255916893915</v>
      </c>
      <c r="AP46" s="366">
        <f t="shared" si="20"/>
        <v>0.27287255916893915</v>
      </c>
      <c r="AQ46" s="366">
        <f t="shared" si="20"/>
        <v>0.27287255916893915</v>
      </c>
      <c r="AR46" s="366">
        <f t="shared" si="20"/>
        <v>0.27287255916893915</v>
      </c>
      <c r="AS46" s="366">
        <f t="shared" si="20"/>
        <v>0.27287255916893915</v>
      </c>
      <c r="AT46" s="366">
        <f t="shared" si="20"/>
        <v>0.27287255916893915</v>
      </c>
      <c r="AU46" s="366">
        <f t="shared" si="20"/>
        <v>0.27287255916893915</v>
      </c>
      <c r="AV46" s="366">
        <f t="shared" si="20"/>
        <v>0.27287255916893915</v>
      </c>
      <c r="AW46" s="366">
        <f t="shared" si="20"/>
        <v>0.27287255916893915</v>
      </c>
      <c r="AX46" s="366">
        <f t="shared" si="20"/>
        <v>0.27287255916893915</v>
      </c>
      <c r="AY46" s="366">
        <f t="shared" si="20"/>
        <v>0.27287255916893915</v>
      </c>
      <c r="AZ46" s="366">
        <f t="shared" si="20"/>
        <v>0.27287255916893915</v>
      </c>
      <c r="BA46" s="366">
        <f t="shared" si="20"/>
        <v>0.27287255916893915</v>
      </c>
      <c r="BB46" s="366">
        <f t="shared" si="20"/>
        <v>0.27287255916893915</v>
      </c>
      <c r="BC46" s="366">
        <f t="shared" si="20"/>
        <v>0.27287255916893915</v>
      </c>
      <c r="BD46" s="366">
        <f t="shared" si="20"/>
        <v>0.27287255916893915</v>
      </c>
      <c r="BE46" s="366">
        <f t="shared" si="20"/>
        <v>0.27287255916893915</v>
      </c>
      <c r="BF46" s="366">
        <f t="shared" si="20"/>
        <v>0.27287255916893915</v>
      </c>
      <c r="BG46" s="366">
        <f t="shared" si="20"/>
        <v>0.27287255916893915</v>
      </c>
      <c r="BH46" s="366">
        <f t="shared" si="20"/>
        <v>0.27287255916893915</v>
      </c>
      <c r="BI46" s="366">
        <f t="shared" si="20"/>
        <v>0.27287255916893915</v>
      </c>
      <c r="BJ46" s="366">
        <f t="shared" si="20"/>
        <v>0.27287255916893915</v>
      </c>
      <c r="BK46" s="366">
        <f t="shared" si="20"/>
        <v>0.27287255916893915</v>
      </c>
      <c r="BL46" s="366">
        <f t="shared" si="20"/>
        <v>0.27287255916893915</v>
      </c>
      <c r="BM46" s="366">
        <f t="shared" si="20"/>
        <v>0.27287255916893915</v>
      </c>
      <c r="BN46" s="366">
        <f t="shared" si="20"/>
        <v>0.27287255916893915</v>
      </c>
      <c r="BO46" s="366">
        <f t="shared" si="20"/>
        <v>0.27287255916893915</v>
      </c>
      <c r="BP46" s="366">
        <f t="shared" si="20"/>
        <v>0.27287255916893915</v>
      </c>
      <c r="BQ46" s="366">
        <f t="shared" si="20"/>
        <v>0.27287255916893915</v>
      </c>
      <c r="BR46" s="366">
        <f t="shared" si="20"/>
        <v>0.27287255916893915</v>
      </c>
      <c r="BS46" s="366">
        <f t="shared" si="20"/>
        <v>0.27287255916893915</v>
      </c>
      <c r="BT46" s="366">
        <f t="shared" si="20"/>
        <v>0.27287255916893915</v>
      </c>
      <c r="BU46" s="366">
        <f t="shared" si="20"/>
        <v>0.27287255916893915</v>
      </c>
      <c r="BV46" s="366">
        <f t="shared" si="20"/>
        <v>0.27287255916893915</v>
      </c>
      <c r="BW46" s="366">
        <f t="shared" si="20"/>
        <v>0.27287255916893915</v>
      </c>
      <c r="BX46" s="366">
        <f t="shared" si="20"/>
        <v>0.27287255916893915</v>
      </c>
      <c r="BY46" s="366">
        <f t="shared" si="20"/>
        <v>0.27287255916893915</v>
      </c>
      <c r="BZ46" s="366">
        <f t="shared" si="20"/>
        <v>0.27287255916893915</v>
      </c>
      <c r="CA46" s="366">
        <f t="shared" si="20"/>
        <v>0.27287255916893915</v>
      </c>
      <c r="CB46" s="366">
        <f t="shared" si="20"/>
        <v>0.27287255916893915</v>
      </c>
      <c r="CC46" s="366">
        <f t="shared" si="20"/>
        <v>0.27287255916893915</v>
      </c>
      <c r="CD46" s="366">
        <f t="shared" si="20"/>
        <v>0.27287255916893915</v>
      </c>
      <c r="CE46" s="366">
        <f t="shared" si="20"/>
        <v>0.27287255916893915</v>
      </c>
      <c r="CF46" s="366">
        <f t="shared" si="20"/>
        <v>0.27287255916893915</v>
      </c>
      <c r="CG46" s="366">
        <f t="shared" si="20"/>
        <v>0.27287255916893915</v>
      </c>
      <c r="CH46" s="366">
        <f t="shared" si="20"/>
        <v>0.27287255916893915</v>
      </c>
      <c r="CI46" s="366">
        <f t="shared" si="20"/>
        <v>0.27287255916893915</v>
      </c>
      <c r="CJ46" s="366">
        <f t="shared" si="20"/>
        <v>0.27287255916893915</v>
      </c>
      <c r="CK46" s="366">
        <f t="shared" si="20"/>
        <v>0.27287255916893915</v>
      </c>
      <c r="CL46" s="366">
        <f t="shared" si="20"/>
        <v>0.27287255916893915</v>
      </c>
      <c r="CM46" s="366">
        <f t="shared" si="20"/>
        <v>0.27287255916893915</v>
      </c>
      <c r="CN46" s="366">
        <f t="shared" si="20"/>
        <v>0.27287255916893915</v>
      </c>
      <c r="CO46" s="366">
        <f t="shared" si="20"/>
        <v>0.27287255916893915</v>
      </c>
      <c r="CP46" s="366">
        <f t="shared" si="20"/>
        <v>0.27287255916893915</v>
      </c>
      <c r="CQ46" s="366">
        <f t="shared" si="20"/>
        <v>0.27287255916893915</v>
      </c>
      <c r="CR46" s="366">
        <f t="shared" si="20"/>
        <v>0.27287255916893915</v>
      </c>
      <c r="CS46" s="366">
        <f t="shared" si="20"/>
        <v>0.27287255916893915</v>
      </c>
      <c r="CT46" s="366">
        <f t="shared" si="20"/>
        <v>0.27287255916893915</v>
      </c>
      <c r="CU46" s="366">
        <f t="shared" si="20"/>
        <v>0.27287255916893915</v>
      </c>
      <c r="CV46" s="366">
        <f t="shared" si="20"/>
        <v>0.27287255916893915</v>
      </c>
      <c r="CW46" s="366">
        <f t="shared" si="20"/>
        <v>0.27287255916893915</v>
      </c>
      <c r="CX46" s="366">
        <f t="shared" si="20"/>
        <v>0.27287255916893915</v>
      </c>
      <c r="CY46" s="366">
        <f t="shared" si="20"/>
        <v>0.27287255916893915</v>
      </c>
      <c r="CZ46" s="366">
        <f t="shared" si="20"/>
        <v>0.27287255916893915</v>
      </c>
      <c r="DA46" s="366">
        <f t="shared" si="20"/>
        <v>0.27287255916893915</v>
      </c>
      <c r="DB46" s="366">
        <f t="shared" si="20"/>
        <v>0.27287255916893915</v>
      </c>
      <c r="DC46" s="366">
        <f t="shared" si="20"/>
        <v>0.27287255916893915</v>
      </c>
      <c r="DD46" s="366">
        <f t="shared" si="20"/>
        <v>0.27287255916893915</v>
      </c>
      <c r="DE46" s="366">
        <f t="shared" si="20"/>
        <v>0.27287255916893915</v>
      </c>
      <c r="DF46" s="366"/>
      <c r="DG46" s="366"/>
      <c r="DH46" s="366"/>
      <c r="DI46" s="366"/>
      <c r="DJ46" s="366"/>
      <c r="DK46" s="366"/>
      <c r="DL46" s="366"/>
    </row>
    <row r="47" spans="1:116" ht="15.75" hidden="1" customHeight="1" outlineLevel="1" x14ac:dyDescent="0.25">
      <c r="A47" s="763"/>
      <c r="B47" s="765"/>
      <c r="C47" s="321" t="s">
        <v>267</v>
      </c>
      <c r="D47" s="279" t="s">
        <v>38</v>
      </c>
      <c r="E47" s="367" t="s">
        <v>268</v>
      </c>
      <c r="F47" s="279"/>
      <c r="G47" s="279" t="s">
        <v>269</v>
      </c>
      <c r="H47" s="368">
        <v>3.4999999999999997E-5</v>
      </c>
      <c r="I47" s="369">
        <v>3.4999999999999997E-5</v>
      </c>
      <c r="J47" s="369">
        <v>3.4999999999999997E-5</v>
      </c>
      <c r="K47" s="369">
        <v>3.4999999999999997E-5</v>
      </c>
      <c r="L47" s="369">
        <v>3.4999999999999997E-5</v>
      </c>
      <c r="M47" s="369">
        <v>3.4999999999999997E-5</v>
      </c>
      <c r="N47" s="369">
        <v>3.4999999999999997E-5</v>
      </c>
      <c r="O47" s="369">
        <v>3.4999999999999997E-5</v>
      </c>
      <c r="P47" s="369">
        <v>3.4999999999999997E-5</v>
      </c>
      <c r="Q47" s="369">
        <v>3.4999999999999997E-5</v>
      </c>
      <c r="R47" s="369">
        <v>3.4999999999999997E-5</v>
      </c>
      <c r="S47" s="369">
        <v>3.4999999999999997E-5</v>
      </c>
      <c r="T47" s="369">
        <v>3.4999999999999997E-5</v>
      </c>
      <c r="U47" s="369">
        <v>3.4999999999999997E-5</v>
      </c>
      <c r="V47" s="369">
        <v>3.4999999999999997E-5</v>
      </c>
      <c r="W47" s="369">
        <v>3.4999999999999997E-5</v>
      </c>
      <c r="X47" s="369">
        <v>3.4999999999999997E-5</v>
      </c>
      <c r="Y47" s="369">
        <v>3.4999999999999997E-5</v>
      </c>
      <c r="Z47" s="369">
        <v>3.4999999999999997E-5</v>
      </c>
      <c r="AA47" s="369">
        <v>3.4999999999999997E-5</v>
      </c>
      <c r="AB47" s="369">
        <v>3.4999999999999997E-5</v>
      </c>
      <c r="AC47" s="369">
        <v>3.4999999999999997E-5</v>
      </c>
      <c r="AD47" s="369">
        <v>3.4999999999999997E-5</v>
      </c>
      <c r="AE47" s="369">
        <v>3.4999999999999997E-5</v>
      </c>
      <c r="AF47" s="369">
        <v>3.4999999999999997E-5</v>
      </c>
      <c r="AG47" s="369">
        <v>3.4999999999999997E-5</v>
      </c>
      <c r="AH47" s="369">
        <v>3.4999999999999997E-5</v>
      </c>
      <c r="AI47" s="369">
        <v>3.4999999999999997E-5</v>
      </c>
      <c r="AJ47" s="369">
        <v>3.4999999999999997E-5</v>
      </c>
      <c r="AK47" s="369">
        <v>3.4999999999999997E-5</v>
      </c>
      <c r="AL47" s="369">
        <v>3.4999999999999997E-5</v>
      </c>
      <c r="AM47" s="369">
        <v>3.4999999999999997E-5</v>
      </c>
      <c r="AN47" s="369">
        <v>3.4999999999999997E-5</v>
      </c>
      <c r="AO47" s="369">
        <v>3.4999999999999997E-5</v>
      </c>
      <c r="AP47" s="369">
        <v>3.4999999999999997E-5</v>
      </c>
      <c r="AQ47" s="369">
        <v>3.4999999999999997E-5</v>
      </c>
      <c r="AR47" s="369">
        <v>3.4999999999999997E-5</v>
      </c>
      <c r="AS47" s="369">
        <v>3.4999999999999997E-5</v>
      </c>
      <c r="AT47" s="369">
        <v>3.4999999999999997E-5</v>
      </c>
      <c r="AU47" s="369">
        <v>3.4999999999999997E-5</v>
      </c>
      <c r="AV47" s="369">
        <v>3.4999999999999997E-5</v>
      </c>
      <c r="AW47" s="369">
        <v>3.4999999999999997E-5</v>
      </c>
      <c r="AX47" s="369">
        <v>3.4999999999999997E-5</v>
      </c>
      <c r="AY47" s="369">
        <v>3.4999999999999997E-5</v>
      </c>
      <c r="AZ47" s="369">
        <v>3.4999999999999997E-5</v>
      </c>
      <c r="BA47" s="369">
        <v>3.4999999999999997E-5</v>
      </c>
      <c r="BB47" s="369">
        <v>3.4999999999999997E-5</v>
      </c>
      <c r="BC47" s="369">
        <v>3.4999999999999997E-5</v>
      </c>
      <c r="BD47" s="369">
        <v>3.4999999999999997E-5</v>
      </c>
      <c r="BE47" s="369">
        <v>3.4999999999999997E-5</v>
      </c>
      <c r="BF47" s="369">
        <v>3.4999999999999997E-5</v>
      </c>
      <c r="BG47" s="369">
        <v>3.4999999999999997E-5</v>
      </c>
      <c r="BH47" s="369">
        <v>3.4999999999999997E-5</v>
      </c>
      <c r="BI47" s="369">
        <v>3.4999999999999997E-5</v>
      </c>
      <c r="BJ47" s="369">
        <v>3.4999999999999997E-5</v>
      </c>
      <c r="BK47" s="369">
        <v>3.4999999999999997E-5</v>
      </c>
      <c r="BL47" s="369">
        <v>3.4999999999999997E-5</v>
      </c>
      <c r="BM47" s="369">
        <v>3.4999999999999997E-5</v>
      </c>
      <c r="BN47" s="369">
        <v>3.4999999999999997E-5</v>
      </c>
      <c r="BO47" s="369">
        <v>3.4999999999999997E-5</v>
      </c>
      <c r="BP47" s="369">
        <v>3.4999999999999997E-5</v>
      </c>
      <c r="BQ47" s="369">
        <v>3.4999999999999997E-5</v>
      </c>
      <c r="BR47" s="369">
        <v>3.4999999999999997E-5</v>
      </c>
      <c r="BS47" s="369">
        <v>3.4999999999999997E-5</v>
      </c>
      <c r="BT47" s="369">
        <v>3.4999999999999997E-5</v>
      </c>
      <c r="BU47" s="369">
        <v>3.4999999999999997E-5</v>
      </c>
      <c r="BV47" s="369">
        <v>3.4999999999999997E-5</v>
      </c>
      <c r="BW47" s="369">
        <v>3.4999999999999997E-5</v>
      </c>
      <c r="BX47" s="369">
        <v>3.4999999999999997E-5</v>
      </c>
      <c r="BY47" s="369">
        <v>3.4999999999999997E-5</v>
      </c>
      <c r="BZ47" s="369">
        <v>3.4999999999999997E-5</v>
      </c>
      <c r="CA47" s="369">
        <v>3.4999999999999997E-5</v>
      </c>
      <c r="CB47" s="369">
        <v>3.4999999999999997E-5</v>
      </c>
      <c r="CC47" s="369">
        <v>3.4999999999999997E-5</v>
      </c>
      <c r="CD47" s="369">
        <v>3.4999999999999997E-5</v>
      </c>
      <c r="CE47" s="369">
        <v>3.4999999999999997E-5</v>
      </c>
      <c r="CF47" s="369">
        <v>3.4999999999999997E-5</v>
      </c>
      <c r="CG47" s="369">
        <v>3.4999999999999997E-5</v>
      </c>
      <c r="CH47" s="369">
        <v>3.4999999999999997E-5</v>
      </c>
      <c r="CI47" s="369">
        <v>3.4999999999999997E-5</v>
      </c>
      <c r="CJ47" s="369">
        <v>3.4999999999999997E-5</v>
      </c>
      <c r="CK47" s="369">
        <v>3.4999999999999997E-5</v>
      </c>
      <c r="CL47" s="369">
        <v>3.4999999999999997E-5</v>
      </c>
      <c r="CM47" s="369">
        <v>3.4999999999999997E-5</v>
      </c>
      <c r="CN47" s="369">
        <v>3.4999999999999997E-5</v>
      </c>
      <c r="CO47" s="369">
        <v>3.4999999999999997E-5</v>
      </c>
      <c r="CP47" s="369">
        <v>3.4999999999999997E-5</v>
      </c>
      <c r="CQ47" s="369">
        <v>3.4999999999999997E-5</v>
      </c>
      <c r="CR47" s="369">
        <v>3.4999999999999997E-5</v>
      </c>
      <c r="CS47" s="369">
        <v>3.4999999999999997E-5</v>
      </c>
      <c r="CT47" s="369">
        <v>3.4999999999999997E-5</v>
      </c>
      <c r="CU47" s="369">
        <v>3.4999999999999997E-5</v>
      </c>
      <c r="CV47" s="369">
        <v>3.4999999999999997E-5</v>
      </c>
      <c r="CW47" s="369">
        <v>3.4999999999999997E-5</v>
      </c>
      <c r="CX47" s="369">
        <v>3.4999999999999997E-5</v>
      </c>
      <c r="CY47" s="369">
        <v>3.4999999999999997E-5</v>
      </c>
      <c r="CZ47" s="369">
        <v>3.4999999999999997E-5</v>
      </c>
      <c r="DA47" s="369">
        <v>3.4999999999999997E-5</v>
      </c>
      <c r="DB47" s="369">
        <v>3.4999999999999997E-5</v>
      </c>
      <c r="DC47" s="369">
        <v>3.4999999999999997E-5</v>
      </c>
      <c r="DD47" s="369">
        <v>3.4999999999999997E-5</v>
      </c>
      <c r="DE47" s="369">
        <v>3.4999999999999997E-5</v>
      </c>
      <c r="DF47" s="369"/>
      <c r="DG47" s="369"/>
      <c r="DH47" s="369"/>
      <c r="DI47" s="369"/>
      <c r="DJ47" s="369"/>
      <c r="DK47" s="369"/>
      <c r="DL47" s="369"/>
    </row>
    <row r="48" spans="1:116" ht="15.75" hidden="1" customHeight="1" outlineLevel="1" x14ac:dyDescent="0.25">
      <c r="A48" s="763"/>
      <c r="B48" s="765"/>
      <c r="C48" s="338" t="s">
        <v>270</v>
      </c>
      <c r="D48" s="339"/>
      <c r="E48" s="340"/>
      <c r="F48" s="339"/>
      <c r="G48" s="339"/>
      <c r="H48" s="368">
        <f t="shared" ref="H48:DE48" si="21">H46*H47</f>
        <v>9.5505395709128691E-6</v>
      </c>
      <c r="I48" s="369">
        <f t="shared" si="21"/>
        <v>9.5505395709128691E-6</v>
      </c>
      <c r="J48" s="369">
        <f t="shared" si="21"/>
        <v>9.5505395709128691E-6</v>
      </c>
      <c r="K48" s="369">
        <f t="shared" si="21"/>
        <v>9.5505395709128691E-6</v>
      </c>
      <c r="L48" s="369">
        <f t="shared" si="21"/>
        <v>9.5505395709128691E-6</v>
      </c>
      <c r="M48" s="369">
        <f t="shared" si="21"/>
        <v>9.5505395709128691E-6</v>
      </c>
      <c r="N48" s="369">
        <f t="shared" si="21"/>
        <v>9.5505395709128691E-6</v>
      </c>
      <c r="O48" s="369">
        <f t="shared" si="21"/>
        <v>9.5505395709128691E-6</v>
      </c>
      <c r="P48" s="369">
        <f t="shared" si="21"/>
        <v>9.5505395709128691E-6</v>
      </c>
      <c r="Q48" s="369">
        <f t="shared" si="21"/>
        <v>9.5505395709128691E-6</v>
      </c>
      <c r="R48" s="369">
        <f t="shared" si="21"/>
        <v>9.5505395709128691E-6</v>
      </c>
      <c r="S48" s="369">
        <f t="shared" si="21"/>
        <v>9.5505395709128691E-6</v>
      </c>
      <c r="T48" s="369">
        <f t="shared" si="21"/>
        <v>9.5505395709128691E-6</v>
      </c>
      <c r="U48" s="369">
        <f t="shared" si="21"/>
        <v>9.5505395709128691E-6</v>
      </c>
      <c r="V48" s="369">
        <f t="shared" si="21"/>
        <v>9.5505395709128691E-6</v>
      </c>
      <c r="W48" s="369">
        <f t="shared" si="21"/>
        <v>9.5505395709128691E-6</v>
      </c>
      <c r="X48" s="369">
        <f t="shared" si="21"/>
        <v>9.5505395709128691E-6</v>
      </c>
      <c r="Y48" s="369">
        <f t="shared" si="21"/>
        <v>9.5505395709128691E-6</v>
      </c>
      <c r="Z48" s="369">
        <f t="shared" si="21"/>
        <v>9.5505395709128691E-6</v>
      </c>
      <c r="AA48" s="369">
        <f t="shared" si="21"/>
        <v>9.5505395709128691E-6</v>
      </c>
      <c r="AB48" s="369">
        <f t="shared" si="21"/>
        <v>9.5505395709128691E-6</v>
      </c>
      <c r="AC48" s="369">
        <f t="shared" si="21"/>
        <v>9.5505395709128691E-6</v>
      </c>
      <c r="AD48" s="369">
        <f t="shared" si="21"/>
        <v>9.5505395709128691E-6</v>
      </c>
      <c r="AE48" s="369">
        <f t="shared" si="21"/>
        <v>9.5505395709128691E-6</v>
      </c>
      <c r="AF48" s="369">
        <f t="shared" si="21"/>
        <v>9.5505395709128691E-6</v>
      </c>
      <c r="AG48" s="369">
        <f t="shared" si="21"/>
        <v>9.5505395709128691E-6</v>
      </c>
      <c r="AH48" s="369">
        <f t="shared" si="21"/>
        <v>9.5505395709128691E-6</v>
      </c>
      <c r="AI48" s="369">
        <f t="shared" si="21"/>
        <v>9.5505395709128691E-6</v>
      </c>
      <c r="AJ48" s="369">
        <f t="shared" si="21"/>
        <v>9.5505395709128691E-6</v>
      </c>
      <c r="AK48" s="369">
        <f t="shared" si="21"/>
        <v>9.5505395709128691E-6</v>
      </c>
      <c r="AL48" s="369">
        <f t="shared" si="21"/>
        <v>9.5505395709128691E-6</v>
      </c>
      <c r="AM48" s="369">
        <f t="shared" si="21"/>
        <v>9.5505395709128691E-6</v>
      </c>
      <c r="AN48" s="369">
        <f t="shared" si="21"/>
        <v>9.5505395709128691E-6</v>
      </c>
      <c r="AO48" s="369">
        <f t="shared" si="21"/>
        <v>9.5505395709128691E-6</v>
      </c>
      <c r="AP48" s="369">
        <f t="shared" si="21"/>
        <v>9.5505395709128691E-6</v>
      </c>
      <c r="AQ48" s="369">
        <f t="shared" si="21"/>
        <v>9.5505395709128691E-6</v>
      </c>
      <c r="AR48" s="369">
        <f t="shared" si="21"/>
        <v>9.5505395709128691E-6</v>
      </c>
      <c r="AS48" s="369">
        <f t="shared" si="21"/>
        <v>9.5505395709128691E-6</v>
      </c>
      <c r="AT48" s="369">
        <f t="shared" si="21"/>
        <v>9.5505395709128691E-6</v>
      </c>
      <c r="AU48" s="369">
        <f t="shared" si="21"/>
        <v>9.5505395709128691E-6</v>
      </c>
      <c r="AV48" s="369">
        <f t="shared" si="21"/>
        <v>9.5505395709128691E-6</v>
      </c>
      <c r="AW48" s="369">
        <f t="shared" si="21"/>
        <v>9.5505395709128691E-6</v>
      </c>
      <c r="AX48" s="369">
        <f t="shared" si="21"/>
        <v>9.5505395709128691E-6</v>
      </c>
      <c r="AY48" s="369">
        <f t="shared" si="21"/>
        <v>9.5505395709128691E-6</v>
      </c>
      <c r="AZ48" s="369">
        <f t="shared" si="21"/>
        <v>9.5505395709128691E-6</v>
      </c>
      <c r="BA48" s="369">
        <f t="shared" si="21"/>
        <v>9.5505395709128691E-6</v>
      </c>
      <c r="BB48" s="369">
        <f t="shared" si="21"/>
        <v>9.5505395709128691E-6</v>
      </c>
      <c r="BC48" s="369">
        <f t="shared" si="21"/>
        <v>9.5505395709128691E-6</v>
      </c>
      <c r="BD48" s="369">
        <f t="shared" si="21"/>
        <v>9.5505395709128691E-6</v>
      </c>
      <c r="BE48" s="369">
        <f t="shared" si="21"/>
        <v>9.5505395709128691E-6</v>
      </c>
      <c r="BF48" s="369">
        <f t="shared" si="21"/>
        <v>9.5505395709128691E-6</v>
      </c>
      <c r="BG48" s="369">
        <f t="shared" si="21"/>
        <v>9.5505395709128691E-6</v>
      </c>
      <c r="BH48" s="369">
        <f t="shared" si="21"/>
        <v>9.5505395709128691E-6</v>
      </c>
      <c r="BI48" s="369">
        <f t="shared" si="21"/>
        <v>9.5505395709128691E-6</v>
      </c>
      <c r="BJ48" s="369">
        <f t="shared" si="21"/>
        <v>9.5505395709128691E-6</v>
      </c>
      <c r="BK48" s="369">
        <f t="shared" si="21"/>
        <v>9.5505395709128691E-6</v>
      </c>
      <c r="BL48" s="369">
        <f t="shared" si="21"/>
        <v>9.5505395709128691E-6</v>
      </c>
      <c r="BM48" s="369">
        <f t="shared" si="21"/>
        <v>9.5505395709128691E-6</v>
      </c>
      <c r="BN48" s="369">
        <f t="shared" si="21"/>
        <v>9.5505395709128691E-6</v>
      </c>
      <c r="BO48" s="369">
        <f t="shared" si="21"/>
        <v>9.5505395709128691E-6</v>
      </c>
      <c r="BP48" s="369">
        <f t="shared" si="21"/>
        <v>9.5505395709128691E-6</v>
      </c>
      <c r="BQ48" s="369">
        <f t="shared" si="21"/>
        <v>9.5505395709128691E-6</v>
      </c>
      <c r="BR48" s="369">
        <f t="shared" si="21"/>
        <v>9.5505395709128691E-6</v>
      </c>
      <c r="BS48" s="369">
        <f t="shared" si="21"/>
        <v>9.5505395709128691E-6</v>
      </c>
      <c r="BT48" s="369">
        <f t="shared" si="21"/>
        <v>9.5505395709128691E-6</v>
      </c>
      <c r="BU48" s="369">
        <f t="shared" si="21"/>
        <v>9.5505395709128691E-6</v>
      </c>
      <c r="BV48" s="369">
        <f t="shared" si="21"/>
        <v>9.5505395709128691E-6</v>
      </c>
      <c r="BW48" s="369">
        <f t="shared" si="21"/>
        <v>9.5505395709128691E-6</v>
      </c>
      <c r="BX48" s="369">
        <f t="shared" si="21"/>
        <v>9.5505395709128691E-6</v>
      </c>
      <c r="BY48" s="369">
        <f t="shared" si="21"/>
        <v>9.5505395709128691E-6</v>
      </c>
      <c r="BZ48" s="369">
        <f t="shared" si="21"/>
        <v>9.5505395709128691E-6</v>
      </c>
      <c r="CA48" s="369">
        <f t="shared" si="21"/>
        <v>9.5505395709128691E-6</v>
      </c>
      <c r="CB48" s="369">
        <f t="shared" si="21"/>
        <v>9.5505395709128691E-6</v>
      </c>
      <c r="CC48" s="369">
        <f t="shared" si="21"/>
        <v>9.5505395709128691E-6</v>
      </c>
      <c r="CD48" s="369">
        <f t="shared" si="21"/>
        <v>9.5505395709128691E-6</v>
      </c>
      <c r="CE48" s="369">
        <f t="shared" si="21"/>
        <v>9.5505395709128691E-6</v>
      </c>
      <c r="CF48" s="369">
        <f t="shared" si="21"/>
        <v>9.5505395709128691E-6</v>
      </c>
      <c r="CG48" s="369">
        <f t="shared" si="21"/>
        <v>9.5505395709128691E-6</v>
      </c>
      <c r="CH48" s="369">
        <f t="shared" si="21"/>
        <v>9.5505395709128691E-6</v>
      </c>
      <c r="CI48" s="369">
        <f t="shared" si="21"/>
        <v>9.5505395709128691E-6</v>
      </c>
      <c r="CJ48" s="369">
        <f t="shared" si="21"/>
        <v>9.5505395709128691E-6</v>
      </c>
      <c r="CK48" s="369">
        <f t="shared" si="21"/>
        <v>9.5505395709128691E-6</v>
      </c>
      <c r="CL48" s="369">
        <f t="shared" si="21"/>
        <v>9.5505395709128691E-6</v>
      </c>
      <c r="CM48" s="369">
        <f t="shared" si="21"/>
        <v>9.5505395709128691E-6</v>
      </c>
      <c r="CN48" s="369">
        <f t="shared" si="21"/>
        <v>9.5505395709128691E-6</v>
      </c>
      <c r="CO48" s="369">
        <f t="shared" si="21"/>
        <v>9.5505395709128691E-6</v>
      </c>
      <c r="CP48" s="369">
        <f t="shared" si="21"/>
        <v>9.5505395709128691E-6</v>
      </c>
      <c r="CQ48" s="369">
        <f t="shared" si="21"/>
        <v>9.5505395709128691E-6</v>
      </c>
      <c r="CR48" s="369">
        <f t="shared" si="21"/>
        <v>9.5505395709128691E-6</v>
      </c>
      <c r="CS48" s="369">
        <f t="shared" si="21"/>
        <v>9.5505395709128691E-6</v>
      </c>
      <c r="CT48" s="369">
        <f t="shared" si="21"/>
        <v>9.5505395709128691E-6</v>
      </c>
      <c r="CU48" s="369">
        <f t="shared" si="21"/>
        <v>9.5505395709128691E-6</v>
      </c>
      <c r="CV48" s="369">
        <f t="shared" si="21"/>
        <v>9.5505395709128691E-6</v>
      </c>
      <c r="CW48" s="369">
        <f t="shared" si="21"/>
        <v>9.5505395709128691E-6</v>
      </c>
      <c r="CX48" s="369">
        <f t="shared" si="21"/>
        <v>9.5505395709128691E-6</v>
      </c>
      <c r="CY48" s="369">
        <f t="shared" si="21"/>
        <v>9.5505395709128691E-6</v>
      </c>
      <c r="CZ48" s="369">
        <f t="shared" si="21"/>
        <v>9.5505395709128691E-6</v>
      </c>
      <c r="DA48" s="369">
        <f t="shared" si="21"/>
        <v>9.5505395709128691E-6</v>
      </c>
      <c r="DB48" s="369">
        <f t="shared" si="21"/>
        <v>9.5505395709128691E-6</v>
      </c>
      <c r="DC48" s="369">
        <f t="shared" si="21"/>
        <v>9.5505395709128691E-6</v>
      </c>
      <c r="DD48" s="369">
        <f t="shared" si="21"/>
        <v>9.5505395709128691E-6</v>
      </c>
      <c r="DE48" s="369">
        <f t="shared" si="21"/>
        <v>9.5505395709128691E-6</v>
      </c>
      <c r="DF48" s="369"/>
      <c r="DG48" s="369"/>
      <c r="DH48" s="369"/>
      <c r="DI48" s="369"/>
      <c r="DJ48" s="369"/>
      <c r="DK48" s="369"/>
      <c r="DL48" s="369"/>
    </row>
    <row r="49" spans="1:116" ht="15.75" hidden="1" customHeight="1" outlineLevel="1" x14ac:dyDescent="0.25">
      <c r="A49" s="763"/>
      <c r="B49" s="765"/>
      <c r="C49" s="347" t="s">
        <v>271</v>
      </c>
      <c r="D49" s="348" t="s">
        <v>239</v>
      </c>
      <c r="E49" s="370" t="s">
        <v>272</v>
      </c>
      <c r="F49" s="348"/>
      <c r="G49" s="371"/>
      <c r="H49" s="372">
        <f>H48*'Unit Costs and Indicators'!$A$133*0.5</f>
        <v>0.26199256757165651</v>
      </c>
      <c r="I49" s="373">
        <f>I48*'Unit Costs and Indicators'!$A$133*0.5</f>
        <v>0.26199256757165651</v>
      </c>
      <c r="J49" s="373">
        <f>(J48*'Unit Costs and Indicators'!$A$133*0.5)+I49</f>
        <v>0.52398513514331302</v>
      </c>
      <c r="K49" s="373">
        <f>(K48*'Unit Costs and Indicators'!$A$133*0.5)+J49</f>
        <v>0.78597770271496947</v>
      </c>
      <c r="L49" s="373">
        <f>(L48*'Unit Costs and Indicators'!$A$133*0.5)+K49</f>
        <v>1.047970270286626</v>
      </c>
      <c r="M49" s="373">
        <f>(M48*'Unit Costs and Indicators'!$A$133*0.5)+L49</f>
        <v>1.3099628378582826</v>
      </c>
      <c r="N49" s="373">
        <f>(N48*'Unit Costs and Indicators'!$A$133*0.5)+M49</f>
        <v>1.5719554054299392</v>
      </c>
      <c r="O49" s="373">
        <f>(O48*'Unit Costs and Indicators'!$A$133*0.5)+N49</f>
        <v>1.8339479730015957</v>
      </c>
      <c r="P49" s="373">
        <f>(P48*'Unit Costs and Indicators'!$A$133*0.5)+O49</f>
        <v>2.0959405405732521</v>
      </c>
      <c r="Q49" s="373">
        <f>(Q48*'Unit Costs and Indicators'!$A$133*0.5)+P49</f>
        <v>2.3579331081449086</v>
      </c>
      <c r="R49" s="373">
        <f>(R48*'Unit Costs and Indicators'!$A$133*0.5)+Q49</f>
        <v>2.6199256757165652</v>
      </c>
      <c r="S49" s="373">
        <f>(S48*'Unit Costs and Indicators'!$A$133*0.5)+R49</f>
        <v>2.8819182432882218</v>
      </c>
      <c r="T49" s="373">
        <f>(T48*'Unit Costs and Indicators'!$A$133*0.5)+S49</f>
        <v>3.1439108108598783</v>
      </c>
      <c r="U49" s="373">
        <f>(U48*'Unit Costs and Indicators'!$A$133*0.5)+T49</f>
        <v>3.4059033784315349</v>
      </c>
      <c r="V49" s="373">
        <f>(V48*'Unit Costs and Indicators'!$A$133*0.5)+U49</f>
        <v>3.6678959460031915</v>
      </c>
      <c r="W49" s="373">
        <f>(W48*'Unit Costs and Indicators'!$A$133*0.5)+V49</f>
        <v>3.929888513574848</v>
      </c>
      <c r="X49" s="373">
        <f>(X48*'Unit Costs and Indicators'!$A$133*0.5)+W49</f>
        <v>4.1918810811465042</v>
      </c>
      <c r="Y49" s="373">
        <f>(Y48*'Unit Costs and Indicators'!$A$133*0.5)+X49</f>
        <v>4.4538736487181607</v>
      </c>
      <c r="Z49" s="373">
        <f>(Z48*'Unit Costs and Indicators'!$A$133*0.5)+Y49</f>
        <v>4.7158662162898173</v>
      </c>
      <c r="AA49" s="373">
        <f>(AA48*'Unit Costs and Indicators'!$A$133*0.5)+Z49</f>
        <v>4.9778587838614738</v>
      </c>
      <c r="AB49" s="373">
        <f>(AB48*'Unit Costs and Indicators'!$A$133*0.5)+AA49</f>
        <v>5.2398513514331304</v>
      </c>
      <c r="AC49" s="373">
        <f>(AC48*'Unit Costs and Indicators'!$A$133*0.5)+AB49</f>
        <v>5.501843919004787</v>
      </c>
      <c r="AD49" s="373">
        <f>(AD48*'Unit Costs and Indicators'!$A$133*0.5)+AC49</f>
        <v>5.7638364865764435</v>
      </c>
      <c r="AE49" s="373">
        <f>(AE48*'Unit Costs and Indicators'!$A$133*0.5)+AD49</f>
        <v>6.0258290541481001</v>
      </c>
      <c r="AF49" s="373">
        <f>(AF48*'Unit Costs and Indicators'!$A$133*0.5)+AE49</f>
        <v>6.2878216217197567</v>
      </c>
      <c r="AG49" s="373">
        <f>(AG48*'Unit Costs and Indicators'!$A$133*0.5)+AF49</f>
        <v>6.5498141892914132</v>
      </c>
      <c r="AH49" s="373">
        <f>(AH48*'Unit Costs and Indicators'!$A$133*0.5)+AG49</f>
        <v>6.8118067568630698</v>
      </c>
      <c r="AI49" s="373">
        <f>(AI48*'Unit Costs and Indicators'!$A$133*0.5)+AH49</f>
        <v>7.0737993244347264</v>
      </c>
      <c r="AJ49" s="373">
        <f>(AJ48*'Unit Costs and Indicators'!$A$133*0.5)+AI49</f>
        <v>7.3357918920063829</v>
      </c>
      <c r="AK49" s="373">
        <f>(AK48*'Unit Costs and Indicators'!$A$133*0.5)+AJ49</f>
        <v>7.5977844595780395</v>
      </c>
      <c r="AL49" s="373">
        <f>(AL48*'Unit Costs and Indicators'!$A$133*0.5)+AK49</f>
        <v>7.8597770271496961</v>
      </c>
      <c r="AM49" s="373">
        <f>(AM48*'Unit Costs and Indicators'!$A$133*0.5)+AL49</f>
        <v>8.1217695947213517</v>
      </c>
      <c r="AN49" s="373">
        <f>(AN48*'Unit Costs and Indicators'!$A$133*0.5)+AM49</f>
        <v>8.3837621622930083</v>
      </c>
      <c r="AO49" s="373">
        <f>(AO48*'Unit Costs and Indicators'!$A$133*0.5)+AN49</f>
        <v>8.6457547298646649</v>
      </c>
      <c r="AP49" s="373">
        <f>(AP48*'Unit Costs and Indicators'!$A$133*0.5)+AO49</f>
        <v>8.9077472974363214</v>
      </c>
      <c r="AQ49" s="373">
        <f>(AQ48*'Unit Costs and Indicators'!$A$133*0.5)+AP49</f>
        <v>9.169739865007978</v>
      </c>
      <c r="AR49" s="373">
        <f>(AR48*'Unit Costs and Indicators'!$A$133*0.5)+AQ49</f>
        <v>9.4317324325796346</v>
      </c>
      <c r="AS49" s="373">
        <f>(AS48*'Unit Costs and Indicators'!$A$133*0.5)+AR49</f>
        <v>9.6937250001512911</v>
      </c>
      <c r="AT49" s="373">
        <f>(AT48*'Unit Costs and Indicators'!$A$133*0.5)+AS49</f>
        <v>9.9557175677229477</v>
      </c>
      <c r="AU49" s="373">
        <f>(AU48*'Unit Costs and Indicators'!$A$133*0.5)+AT49</f>
        <v>10.217710135294604</v>
      </c>
      <c r="AV49" s="373">
        <f>(AV48*'Unit Costs and Indicators'!$A$133*0.5)+AU49</f>
        <v>10.479702702866261</v>
      </c>
      <c r="AW49" s="373">
        <f>(AW48*'Unit Costs and Indicators'!$A$133*0.5)+AV49</f>
        <v>10.741695270437917</v>
      </c>
      <c r="AX49" s="373">
        <f>(AX48*'Unit Costs and Indicators'!$A$133*0.5)+AW49</f>
        <v>11.003687838009574</v>
      </c>
      <c r="AY49" s="373">
        <f>(AY48*'Unit Costs and Indicators'!$A$133*0.5)+AX49</f>
        <v>11.265680405581231</v>
      </c>
      <c r="AZ49" s="373">
        <f>(AZ48*'Unit Costs and Indicators'!$A$133*0.5)+AY49</f>
        <v>11.527672973152887</v>
      </c>
      <c r="BA49" s="373">
        <f>(BA48*'Unit Costs and Indicators'!$A$133*0.5)+AZ49</f>
        <v>11.789665540724544</v>
      </c>
      <c r="BB49" s="373">
        <f>(BB48*'Unit Costs and Indicators'!$A$133*0.5)+BA49</f>
        <v>12.0516581082962</v>
      </c>
      <c r="BC49" s="373">
        <f>(BC48*'Unit Costs and Indicators'!$A$133*0.5)+BB49</f>
        <v>12.313650675867857</v>
      </c>
      <c r="BD49" s="373">
        <f>(BD48*'Unit Costs and Indicators'!$A$133*0.5)+BC49</f>
        <v>12.575643243439513</v>
      </c>
      <c r="BE49" s="373">
        <f>(BE48*'Unit Costs and Indicators'!$A$133*0.5)+BD49</f>
        <v>12.83763581101117</v>
      </c>
      <c r="BF49" s="373">
        <f>(BF48*'Unit Costs and Indicators'!$A$133*0.5)+BE49</f>
        <v>13.099628378582826</v>
      </c>
      <c r="BG49" s="373">
        <f>(BG48*'Unit Costs and Indicators'!$A$133*0.5)+BF49</f>
        <v>13.361620946154483</v>
      </c>
      <c r="BH49" s="373">
        <f>(BH48*'Unit Costs and Indicators'!$A$133*0.5)+BG49</f>
        <v>13.62361351372614</v>
      </c>
      <c r="BI49" s="373">
        <f>(BI48*'Unit Costs and Indicators'!$A$133*0.5)+BH49</f>
        <v>13.885606081297796</v>
      </c>
      <c r="BJ49" s="373">
        <f>(BJ48*'Unit Costs and Indicators'!$A$133*0.5)+BI49</f>
        <v>14.147598648869453</v>
      </c>
      <c r="BK49" s="373">
        <f>(BK48*'Unit Costs and Indicators'!$A$133*0.5)+BJ49</f>
        <v>14.409591216441109</v>
      </c>
      <c r="BL49" s="373">
        <f>(BL48*'Unit Costs and Indicators'!$A$133*0.5)+BK49</f>
        <v>14.671583784012766</v>
      </c>
      <c r="BM49" s="373">
        <f>(BM48*'Unit Costs and Indicators'!$A$133*0.5)+BL49</f>
        <v>14.933576351584422</v>
      </c>
      <c r="BN49" s="373">
        <f>(BN48*'Unit Costs and Indicators'!$A$133*0.5)+BM49</f>
        <v>15.195568919156079</v>
      </c>
      <c r="BO49" s="373">
        <f>(BO48*'Unit Costs and Indicators'!$A$133*0.5)+BN49</f>
        <v>15.457561486727736</v>
      </c>
      <c r="BP49" s="373">
        <f>(BP48*'Unit Costs and Indicators'!$A$133*0.5)+BO49</f>
        <v>15.719554054299392</v>
      </c>
      <c r="BQ49" s="373">
        <f>(BQ48*'Unit Costs and Indicators'!$A$133*0.5)+BP49</f>
        <v>15.981546621871049</v>
      </c>
      <c r="BR49" s="373">
        <f>(BR48*'Unit Costs and Indicators'!$A$133*0.5)+BQ49</f>
        <v>16.243539189442703</v>
      </c>
      <c r="BS49" s="373">
        <f>(BS48*'Unit Costs and Indicators'!$A$133*0.5)+BR49</f>
        <v>16.50553175701436</v>
      </c>
      <c r="BT49" s="373">
        <f>(BT48*'Unit Costs and Indicators'!$A$133*0.5)+BS49</f>
        <v>16.767524324586017</v>
      </c>
      <c r="BU49" s="373">
        <f>(BU48*'Unit Costs and Indicators'!$A$133*0.5)+BT49</f>
        <v>17.029516892157673</v>
      </c>
      <c r="BV49" s="373">
        <f>(BV48*'Unit Costs and Indicators'!$A$133*0.5)+BU49</f>
        <v>17.29150945972933</v>
      </c>
      <c r="BW49" s="373">
        <f>(BW48*'Unit Costs and Indicators'!$A$133*0.5)+BV49</f>
        <v>17.553502027300986</v>
      </c>
      <c r="BX49" s="373">
        <f>(BX48*'Unit Costs and Indicators'!$A$133*0.5)+BW49</f>
        <v>17.815494594872643</v>
      </c>
      <c r="BY49" s="373">
        <f>(BY48*'Unit Costs and Indicators'!$A$133*0.5)+BX49</f>
        <v>18.077487162444299</v>
      </c>
      <c r="BZ49" s="373">
        <f>(BZ48*'Unit Costs and Indicators'!$A$133*0.5)+BY49</f>
        <v>18.339479730015956</v>
      </c>
      <c r="CA49" s="373">
        <f>(CA48*'Unit Costs and Indicators'!$A$133*0.5)+BZ49</f>
        <v>18.601472297587613</v>
      </c>
      <c r="CB49" s="373">
        <f>(CB48*'Unit Costs and Indicators'!$A$133*0.5)+CA49</f>
        <v>18.863464865159269</v>
      </c>
      <c r="CC49" s="373">
        <f>(CC48*'Unit Costs and Indicators'!$A$133*0.5)+CB49</f>
        <v>19.125457432730926</v>
      </c>
      <c r="CD49" s="373">
        <f>(CD48*'Unit Costs and Indicators'!$A$133*0.5)+CC49</f>
        <v>19.387450000302582</v>
      </c>
      <c r="CE49" s="373">
        <f>(CE48*'Unit Costs and Indicators'!$A$133*0.5)+CD49</f>
        <v>19.649442567874239</v>
      </c>
      <c r="CF49" s="373">
        <f>(CF48*'Unit Costs and Indicators'!$A$133*0.5)+CE49</f>
        <v>19.911435135445895</v>
      </c>
      <c r="CG49" s="373">
        <f>(CG48*'Unit Costs and Indicators'!$A$133*0.5)+CF49</f>
        <v>20.173427703017552</v>
      </c>
      <c r="CH49" s="373">
        <f>(CH48*'Unit Costs and Indicators'!$A$133*0.5)+CG49</f>
        <v>20.435420270589209</v>
      </c>
      <c r="CI49" s="373">
        <f>(CI48*'Unit Costs and Indicators'!$A$133*0.5)+CH49</f>
        <v>20.697412838160865</v>
      </c>
      <c r="CJ49" s="373">
        <f>(CJ48*'Unit Costs and Indicators'!$A$133*0.5)+CI49</f>
        <v>20.959405405732522</v>
      </c>
      <c r="CK49" s="373">
        <f>(CK48*'Unit Costs and Indicators'!$A$133*0.5)+CJ49</f>
        <v>21.221397973304178</v>
      </c>
      <c r="CL49" s="373">
        <f>(CL48*'Unit Costs and Indicators'!$A$133*0.5)+CK49</f>
        <v>21.483390540875835</v>
      </c>
      <c r="CM49" s="373">
        <f>(CM48*'Unit Costs and Indicators'!$A$133*0.5)+CL49</f>
        <v>21.745383108447491</v>
      </c>
      <c r="CN49" s="373">
        <f>(CN48*'Unit Costs and Indicators'!$A$133*0.5)+CM49</f>
        <v>22.007375676019148</v>
      </c>
      <c r="CO49" s="373">
        <f>(CO48*'Unit Costs and Indicators'!$A$133*0.5)+CN49</f>
        <v>22.269368243590804</v>
      </c>
      <c r="CP49" s="373">
        <f>(CP48*'Unit Costs and Indicators'!$A$133*0.5)+CO49</f>
        <v>22.531360811162461</v>
      </c>
      <c r="CQ49" s="373">
        <f>(CQ48*'Unit Costs and Indicators'!$A$133*0.5)+CP49</f>
        <v>22.793353378734118</v>
      </c>
      <c r="CR49" s="373">
        <f>(CR48*'Unit Costs and Indicators'!$A$133*0.5)+CQ49</f>
        <v>23.055345946305774</v>
      </c>
      <c r="CS49" s="373">
        <f>(CS48*'Unit Costs and Indicators'!$A$133*0.5)+CR49</f>
        <v>23.317338513877431</v>
      </c>
      <c r="CT49" s="373">
        <f>(CT48*'Unit Costs and Indicators'!$A$133*0.5)+CS49</f>
        <v>23.579331081449087</v>
      </c>
      <c r="CU49" s="373">
        <f>(CU48*'Unit Costs and Indicators'!$A$133*0.5)+CT49</f>
        <v>23.841323649020744</v>
      </c>
      <c r="CV49" s="373">
        <f>(CV48*'Unit Costs and Indicators'!$A$133*0.5)+CU49</f>
        <v>24.1033162165924</v>
      </c>
      <c r="CW49" s="373">
        <f>(CW48*'Unit Costs and Indicators'!$A$133*0.5)+CV49</f>
        <v>24.365308784164057</v>
      </c>
      <c r="CX49" s="373">
        <f>(CX48*'Unit Costs and Indicators'!$A$133*0.5)+CW49</f>
        <v>24.627301351735714</v>
      </c>
      <c r="CY49" s="373">
        <f>(CY48*'Unit Costs and Indicators'!$A$133*0.5)+CX49</f>
        <v>24.88929391930737</v>
      </c>
      <c r="CZ49" s="373">
        <f>(CZ48*'Unit Costs and Indicators'!$A$133*0.5)+CY49</f>
        <v>25.151286486879027</v>
      </c>
      <c r="DA49" s="373">
        <f>(DA48*'Unit Costs and Indicators'!$A$133*0.5)+CZ49</f>
        <v>25.413279054450683</v>
      </c>
      <c r="DB49" s="373">
        <f>(DB48*'Unit Costs and Indicators'!$A$133*0.5)+DA49</f>
        <v>25.67527162202234</v>
      </c>
      <c r="DC49" s="373">
        <f>(DC48*'Unit Costs and Indicators'!$A$133*0.5)+DB49</f>
        <v>25.937264189593996</v>
      </c>
      <c r="DD49" s="373">
        <f>(DD48*'Unit Costs and Indicators'!$A$133*0.5)+DC49</f>
        <v>26.199256757165653</v>
      </c>
      <c r="DE49" s="373">
        <f>(DE48*'Unit Costs and Indicators'!$A$133*0.5)+DD49</f>
        <v>26.46124932473731</v>
      </c>
      <c r="DF49" s="301"/>
      <c r="DG49" s="301"/>
      <c r="DH49" s="301"/>
      <c r="DI49" s="301"/>
      <c r="DJ49" s="301"/>
      <c r="DK49" s="301"/>
      <c r="DL49" s="301"/>
    </row>
    <row r="50" spans="1:116" ht="15.75" hidden="1" customHeight="1" outlineLevel="1" x14ac:dyDescent="0.25">
      <c r="A50" s="763"/>
      <c r="B50" s="765"/>
      <c r="C50" s="374" t="s">
        <v>273</v>
      </c>
      <c r="D50" s="375"/>
      <c r="E50" s="376"/>
      <c r="F50" s="375"/>
      <c r="G50" s="375"/>
      <c r="H50" s="286">
        <v>170</v>
      </c>
      <c r="I50" s="312">
        <f>H50*(1+'Unit Costs and Indicators'!$D$169)</f>
        <v>170</v>
      </c>
      <c r="J50" s="312">
        <f>I50*(1+'Unit Costs and Indicators'!$D$169)</f>
        <v>170</v>
      </c>
      <c r="K50" s="312">
        <f>J50*(1+'Unit Costs and Indicators'!$D$169)</f>
        <v>170</v>
      </c>
      <c r="L50" s="312">
        <f>K50*(1+'Unit Costs and Indicators'!$D$169)</f>
        <v>170</v>
      </c>
      <c r="M50" s="312">
        <f>L50*(1+'Unit Costs and Indicators'!$D$169)</f>
        <v>170</v>
      </c>
      <c r="N50" s="312">
        <f>M50*(1+'Unit Costs and Indicators'!$D$169)</f>
        <v>170</v>
      </c>
      <c r="O50" s="312">
        <f>N50*(1+'Unit Costs and Indicators'!$D$169)</f>
        <v>170</v>
      </c>
      <c r="P50" s="312">
        <f>O50*(1+'Unit Costs and Indicators'!$D$169)</f>
        <v>170</v>
      </c>
      <c r="Q50" s="312">
        <f>P50*(1+'Unit Costs and Indicators'!$D$169)</f>
        <v>170</v>
      </c>
      <c r="R50" s="312">
        <f>Q50*(1+'Unit Costs and Indicators'!$D$169)</f>
        <v>170</v>
      </c>
      <c r="S50" s="312">
        <f>R50*(1+'Unit Costs and Indicators'!$D$169)</f>
        <v>170</v>
      </c>
      <c r="T50" s="312">
        <f>S50*(1+'Unit Costs and Indicators'!$D$169)</f>
        <v>170</v>
      </c>
      <c r="U50" s="312">
        <f>T50*(1+'Unit Costs and Indicators'!$D$169)</f>
        <v>170</v>
      </c>
      <c r="V50" s="312">
        <f>U50*(1+'Unit Costs and Indicators'!$D$169)</f>
        <v>170</v>
      </c>
      <c r="W50" s="312">
        <f>V50*(1+'Unit Costs and Indicators'!$D$169)</f>
        <v>170</v>
      </c>
      <c r="X50" s="312">
        <f>W50*(1+'Unit Costs and Indicators'!$D$169)</f>
        <v>170</v>
      </c>
      <c r="Y50" s="312">
        <f>X50*(1+'Unit Costs and Indicators'!$D$169)</f>
        <v>170</v>
      </c>
      <c r="Z50" s="312">
        <f>Y50*(1+'Unit Costs and Indicators'!$D$169)</f>
        <v>170</v>
      </c>
      <c r="AA50" s="312">
        <f>Z50*(1+'Unit Costs and Indicators'!$D$169)</f>
        <v>170</v>
      </c>
      <c r="AB50" s="312">
        <f>AA50*(1+'Unit Costs and Indicators'!$D$169)</f>
        <v>170</v>
      </c>
      <c r="AC50" s="312">
        <f>AB50*(1+'Unit Costs and Indicators'!$D$169)</f>
        <v>170</v>
      </c>
      <c r="AD50" s="312">
        <f>AC50*(1+'Unit Costs and Indicators'!$D$169)</f>
        <v>170</v>
      </c>
      <c r="AE50" s="312">
        <f>AD50*(1+'Unit Costs and Indicators'!$D$169)</f>
        <v>170</v>
      </c>
      <c r="AF50" s="312">
        <f>AE50*(1+'Unit Costs and Indicators'!$D$169)</f>
        <v>170</v>
      </c>
      <c r="AG50" s="312">
        <f>AF50*(1+'Unit Costs and Indicators'!$D$169)</f>
        <v>170</v>
      </c>
      <c r="AH50" s="312">
        <f>AG50*(1+'Unit Costs and Indicators'!$D$169)</f>
        <v>170</v>
      </c>
      <c r="AI50" s="312">
        <f>AH50*(1+'Unit Costs and Indicators'!$D$169)</f>
        <v>170</v>
      </c>
      <c r="AJ50" s="312">
        <f>AI50*(1+'Unit Costs and Indicators'!$D$169)</f>
        <v>170</v>
      </c>
      <c r="AK50" s="312">
        <f>AJ50*(1+'Unit Costs and Indicators'!$D$169)</f>
        <v>170</v>
      </c>
      <c r="AL50" s="312">
        <f>AK50*(1+'Unit Costs and Indicators'!$D$169)</f>
        <v>170</v>
      </c>
      <c r="AM50" s="312">
        <f>AL50*(1+'Unit Costs and Indicators'!$D$169)</f>
        <v>170</v>
      </c>
      <c r="AN50" s="312">
        <f>AM50*(1+'Unit Costs and Indicators'!$D$169)</f>
        <v>170</v>
      </c>
      <c r="AO50" s="312">
        <f>AN50*(1+'Unit Costs and Indicators'!$D$169)</f>
        <v>170</v>
      </c>
      <c r="AP50" s="312">
        <f>AO50*(1+'Unit Costs and Indicators'!$D$169)</f>
        <v>170</v>
      </c>
      <c r="AQ50" s="312">
        <f>AP50*(1+'Unit Costs and Indicators'!$D$169)</f>
        <v>170</v>
      </c>
      <c r="AR50" s="312">
        <f>AQ50*(1+'Unit Costs and Indicators'!$D$169)</f>
        <v>170</v>
      </c>
      <c r="AS50" s="312">
        <f>AR50*(1+'Unit Costs and Indicators'!$D$169)</f>
        <v>170</v>
      </c>
      <c r="AT50" s="312">
        <f>AS50*(1+'Unit Costs and Indicators'!$D$169)</f>
        <v>170</v>
      </c>
      <c r="AU50" s="312">
        <f>AT50*(1+'Unit Costs and Indicators'!$D$169)</f>
        <v>170</v>
      </c>
      <c r="AV50" s="312">
        <f>AU50*(1+'Unit Costs and Indicators'!$D$169)</f>
        <v>170</v>
      </c>
      <c r="AW50" s="312">
        <f>AV50*(1+'Unit Costs and Indicators'!$D$169)</f>
        <v>170</v>
      </c>
      <c r="AX50" s="312">
        <f>AW50*(1+'Unit Costs and Indicators'!$D$169)</f>
        <v>170</v>
      </c>
      <c r="AY50" s="312">
        <f>AX50*(1+'Unit Costs and Indicators'!$D$169)</f>
        <v>170</v>
      </c>
      <c r="AZ50" s="312">
        <f>AY50*(1+'Unit Costs and Indicators'!$D$169)</f>
        <v>170</v>
      </c>
      <c r="BA50" s="312">
        <f>AZ50*(1+'Unit Costs and Indicators'!$D$169)</f>
        <v>170</v>
      </c>
      <c r="BB50" s="312">
        <f>BA50*(1+'Unit Costs and Indicators'!$D$169)</f>
        <v>170</v>
      </c>
      <c r="BC50" s="312">
        <f>BB50*(1+'Unit Costs and Indicators'!$D$169)</f>
        <v>170</v>
      </c>
      <c r="BD50" s="312">
        <f>BC50*(1+'Unit Costs and Indicators'!$D$169)</f>
        <v>170</v>
      </c>
      <c r="BE50" s="312">
        <f>BD50*(1+'Unit Costs and Indicators'!$D$169)</f>
        <v>170</v>
      </c>
      <c r="BF50" s="312">
        <f>BE50*(1+'Unit Costs and Indicators'!$D$169)</f>
        <v>170</v>
      </c>
      <c r="BG50" s="312">
        <f>BF50*(1+'Unit Costs and Indicators'!$D$169)</f>
        <v>170</v>
      </c>
      <c r="BH50" s="312">
        <f>BG50*(1+'Unit Costs and Indicators'!$D$169)</f>
        <v>170</v>
      </c>
      <c r="BI50" s="312">
        <f>BH50*(1+'Unit Costs and Indicators'!$D$169)</f>
        <v>170</v>
      </c>
      <c r="BJ50" s="312">
        <f>BI50*(1+'Unit Costs and Indicators'!$D$169)</f>
        <v>170</v>
      </c>
      <c r="BK50" s="312">
        <f>BJ50*(1+'Unit Costs and Indicators'!$D$169)</f>
        <v>170</v>
      </c>
      <c r="BL50" s="312">
        <f>BK50*(1+'Unit Costs and Indicators'!$D$169)</f>
        <v>170</v>
      </c>
      <c r="BM50" s="312">
        <f>BL50*(1+'Unit Costs and Indicators'!$D$169)</f>
        <v>170</v>
      </c>
      <c r="BN50" s="312">
        <f>BM50*(1+'Unit Costs and Indicators'!$D$169)</f>
        <v>170</v>
      </c>
      <c r="BO50" s="312">
        <f>BN50*(1+'Unit Costs and Indicators'!$D$169)</f>
        <v>170</v>
      </c>
      <c r="BP50" s="312">
        <f>BO50*(1+'Unit Costs and Indicators'!$D$169)</f>
        <v>170</v>
      </c>
      <c r="BQ50" s="312">
        <f>BP50*(1+'Unit Costs and Indicators'!$D$169)</f>
        <v>170</v>
      </c>
      <c r="BR50" s="312">
        <f>BQ50*(1+'Unit Costs and Indicators'!$D$169)</f>
        <v>170</v>
      </c>
      <c r="BS50" s="312">
        <f>BR50*(1+'Unit Costs and Indicators'!$D$169)</f>
        <v>170</v>
      </c>
      <c r="BT50" s="312">
        <f>BS50*(1+'Unit Costs and Indicators'!$D$169)</f>
        <v>170</v>
      </c>
      <c r="BU50" s="312">
        <f>BT50*(1+'Unit Costs and Indicators'!$D$169)</f>
        <v>170</v>
      </c>
      <c r="BV50" s="312">
        <f>BU50*(1+'Unit Costs and Indicators'!$D$169)</f>
        <v>170</v>
      </c>
      <c r="BW50" s="312">
        <f>BV50*(1+'Unit Costs and Indicators'!$D$169)</f>
        <v>170</v>
      </c>
      <c r="BX50" s="312">
        <f>BW50*(1+'Unit Costs and Indicators'!$D$169)</f>
        <v>170</v>
      </c>
      <c r="BY50" s="312">
        <f>BX50*(1+'Unit Costs and Indicators'!$D$169)</f>
        <v>170</v>
      </c>
      <c r="BZ50" s="312">
        <f>BY50*(1+'Unit Costs and Indicators'!$D$169)</f>
        <v>170</v>
      </c>
      <c r="CA50" s="312">
        <f>BZ50*(1+'Unit Costs and Indicators'!$D$169)</f>
        <v>170</v>
      </c>
      <c r="CB50" s="312">
        <f>CA50*(1+'Unit Costs and Indicators'!$D$169)</f>
        <v>170</v>
      </c>
      <c r="CC50" s="312">
        <f>CB50*(1+'Unit Costs and Indicators'!$D$169)</f>
        <v>170</v>
      </c>
      <c r="CD50" s="312">
        <f>CC50*(1+'Unit Costs and Indicators'!$D$169)</f>
        <v>170</v>
      </c>
      <c r="CE50" s="312">
        <f>CD50*(1+'Unit Costs and Indicators'!$D$169)</f>
        <v>170</v>
      </c>
      <c r="CF50" s="312">
        <f>CE50*(1+'Unit Costs and Indicators'!$D$169)</f>
        <v>170</v>
      </c>
      <c r="CG50" s="312">
        <f>CF50*(1+'Unit Costs and Indicators'!$D$169)</f>
        <v>170</v>
      </c>
      <c r="CH50" s="312">
        <f>CG50*(1+'Unit Costs and Indicators'!$D$169)</f>
        <v>170</v>
      </c>
      <c r="CI50" s="312">
        <f>CH50*(1+'Unit Costs and Indicators'!$D$169)</f>
        <v>170</v>
      </c>
      <c r="CJ50" s="312">
        <f>CI50*(1+'Unit Costs and Indicators'!$D$169)</f>
        <v>170</v>
      </c>
      <c r="CK50" s="312">
        <f>CJ50*(1+'Unit Costs and Indicators'!$D$169)</f>
        <v>170</v>
      </c>
      <c r="CL50" s="312">
        <f>CK50*(1+'Unit Costs and Indicators'!$D$169)</f>
        <v>170</v>
      </c>
      <c r="CM50" s="312">
        <f>CL50*(1+'Unit Costs and Indicators'!$D$169)</f>
        <v>170</v>
      </c>
      <c r="CN50" s="312">
        <f>CM50*(1+'Unit Costs and Indicators'!$D$169)</f>
        <v>170</v>
      </c>
      <c r="CO50" s="312">
        <f>CN50*(1+'Unit Costs and Indicators'!$D$169)</f>
        <v>170</v>
      </c>
      <c r="CP50" s="312">
        <f>CO50*(1+'Unit Costs and Indicators'!$D$169)</f>
        <v>170</v>
      </c>
      <c r="CQ50" s="312">
        <f>CP50*(1+'Unit Costs and Indicators'!$D$169)</f>
        <v>170</v>
      </c>
      <c r="CR50" s="312">
        <f>CQ50*(1+'Unit Costs and Indicators'!$D$169)</f>
        <v>170</v>
      </c>
      <c r="CS50" s="312">
        <f>CR50*(1+'Unit Costs and Indicators'!$D$169)</f>
        <v>170</v>
      </c>
      <c r="CT50" s="312">
        <f>CS50*(1+'Unit Costs and Indicators'!$D$169)</f>
        <v>170</v>
      </c>
      <c r="CU50" s="312">
        <f>CT50*(1+'Unit Costs and Indicators'!$D$169)</f>
        <v>170</v>
      </c>
      <c r="CV50" s="312">
        <f>CU50*(1+'Unit Costs and Indicators'!$D$169)</f>
        <v>170</v>
      </c>
      <c r="CW50" s="312">
        <f>CV50*(1+'Unit Costs and Indicators'!$D$169)</f>
        <v>170</v>
      </c>
      <c r="CX50" s="312">
        <f>CW50*(1+'Unit Costs and Indicators'!$D$169)</f>
        <v>170</v>
      </c>
      <c r="CY50" s="312">
        <f>CX50*(1+'Unit Costs and Indicators'!$D$169)</f>
        <v>170</v>
      </c>
      <c r="CZ50" s="312">
        <f>CY50*(1+'Unit Costs and Indicators'!$D$169)</f>
        <v>170</v>
      </c>
      <c r="DA50" s="312">
        <f>CZ50*(1+'Unit Costs and Indicators'!$D$169)</f>
        <v>170</v>
      </c>
      <c r="DB50" s="312">
        <f>DA50*(1+'Unit Costs and Indicators'!$D$169)</f>
        <v>170</v>
      </c>
      <c r="DC50" s="312">
        <f>DB50*(1+'Unit Costs and Indicators'!$D$169)</f>
        <v>170</v>
      </c>
      <c r="DD50" s="312">
        <f>DC50*(1+'Unit Costs and Indicators'!$D$169)</f>
        <v>170</v>
      </c>
      <c r="DE50" s="312">
        <f>DD50*(1+'Unit Costs and Indicators'!$D$169)</f>
        <v>170</v>
      </c>
      <c r="DF50" s="312"/>
      <c r="DG50" s="312"/>
      <c r="DH50" s="312"/>
      <c r="DI50" s="312"/>
      <c r="DJ50" s="312"/>
      <c r="DK50" s="312"/>
      <c r="DL50" s="312"/>
    </row>
    <row r="51" spans="1:116" ht="15.75" hidden="1" customHeight="1" outlineLevel="1" x14ac:dyDescent="0.25">
      <c r="A51" s="763"/>
      <c r="B51" s="765"/>
      <c r="C51" s="374" t="s">
        <v>274</v>
      </c>
      <c r="D51" s="375"/>
      <c r="E51" s="376"/>
      <c r="F51" s="375"/>
      <c r="G51" s="375"/>
      <c r="H51" s="313">
        <f>((3.49/100)*'Unit Costs and Indicators'!$A$133)*H50</f>
        <v>325510.80320880003</v>
      </c>
      <c r="I51" s="296">
        <f>((3.49/100)*'Unit Costs and Indicators'!$A$133)*I50</f>
        <v>325510.80320880003</v>
      </c>
      <c r="J51" s="296">
        <f>((3.49/100)*'Unit Costs and Indicators'!$A$133)*J50</f>
        <v>325510.80320880003</v>
      </c>
      <c r="K51" s="296">
        <f>((3.49/100)*'Unit Costs and Indicators'!$A$133)*K50</f>
        <v>325510.80320880003</v>
      </c>
      <c r="L51" s="296">
        <f>((3.49/100)*'Unit Costs and Indicators'!$A$133)*L50</f>
        <v>325510.80320880003</v>
      </c>
      <c r="M51" s="296">
        <f>((3.49/100)*'Unit Costs and Indicators'!$A$133)*M50</f>
        <v>325510.80320880003</v>
      </c>
      <c r="N51" s="296">
        <f>((3.49/100)*'Unit Costs and Indicators'!$A$133)*N50</f>
        <v>325510.80320880003</v>
      </c>
      <c r="O51" s="296">
        <f>((3.49/100)*'Unit Costs and Indicators'!$A$133)*O50</f>
        <v>325510.80320880003</v>
      </c>
      <c r="P51" s="296">
        <f>((3.49/100)*'Unit Costs and Indicators'!$A$133)*P50</f>
        <v>325510.80320880003</v>
      </c>
      <c r="Q51" s="296">
        <f>((3.49/100)*'Unit Costs and Indicators'!$A$133)*Q50</f>
        <v>325510.80320880003</v>
      </c>
      <c r="R51" s="296">
        <f>((3.49/100)*'Unit Costs and Indicators'!$A$133)*R50</f>
        <v>325510.80320880003</v>
      </c>
      <c r="S51" s="296">
        <f>((3.49/100)*'Unit Costs and Indicators'!$A$133)*S50</f>
        <v>325510.80320880003</v>
      </c>
      <c r="T51" s="296">
        <f>((3.49/100)*'Unit Costs and Indicators'!$A$133)*T50</f>
        <v>325510.80320880003</v>
      </c>
      <c r="U51" s="296">
        <f>((3.49/100)*'Unit Costs and Indicators'!$A$133)*U50</f>
        <v>325510.80320880003</v>
      </c>
      <c r="V51" s="296">
        <f>((3.49/100)*'Unit Costs and Indicators'!$A$133)*V50</f>
        <v>325510.80320880003</v>
      </c>
      <c r="W51" s="296">
        <f>((3.49/100)*'Unit Costs and Indicators'!$A$133)*W50</f>
        <v>325510.80320880003</v>
      </c>
      <c r="X51" s="296">
        <f>((3.49/100)*'Unit Costs and Indicators'!$A$133)*X50</f>
        <v>325510.80320880003</v>
      </c>
      <c r="Y51" s="296">
        <f>((3.49/100)*'Unit Costs and Indicators'!$A$133)*Y50</f>
        <v>325510.80320880003</v>
      </c>
      <c r="Z51" s="296">
        <f>((3.49/100)*'Unit Costs and Indicators'!$A$133)*Z50</f>
        <v>325510.80320880003</v>
      </c>
      <c r="AA51" s="296">
        <f>((3.49/100)*'Unit Costs and Indicators'!$A$133)*AA50</f>
        <v>325510.80320880003</v>
      </c>
      <c r="AB51" s="296">
        <f>((3.49/100)*'Unit Costs and Indicators'!$A$133)*AB50</f>
        <v>325510.80320880003</v>
      </c>
      <c r="AC51" s="296">
        <f>((3.49/100)*'Unit Costs and Indicators'!$A$133)*AC50</f>
        <v>325510.80320880003</v>
      </c>
      <c r="AD51" s="296">
        <f>((3.49/100)*'Unit Costs and Indicators'!$A$133)*AD50</f>
        <v>325510.80320880003</v>
      </c>
      <c r="AE51" s="296">
        <f>((3.49/100)*'Unit Costs and Indicators'!$A$133)*AE50</f>
        <v>325510.80320880003</v>
      </c>
      <c r="AF51" s="296">
        <f>((3.49/100)*'Unit Costs and Indicators'!$A$133)*AF50</f>
        <v>325510.80320880003</v>
      </c>
      <c r="AG51" s="296">
        <f>((3.49/100)*'Unit Costs and Indicators'!$A$133)*AG50</f>
        <v>325510.80320880003</v>
      </c>
      <c r="AH51" s="296">
        <f>((3.49/100)*'Unit Costs and Indicators'!$A$133)*AH50</f>
        <v>325510.80320880003</v>
      </c>
      <c r="AI51" s="296">
        <f>((3.49/100)*'Unit Costs and Indicators'!$A$133)*AI50</f>
        <v>325510.80320880003</v>
      </c>
      <c r="AJ51" s="296">
        <f>((3.49/100)*'Unit Costs and Indicators'!$A$133)*AJ50</f>
        <v>325510.80320880003</v>
      </c>
      <c r="AK51" s="296">
        <f>((3.49/100)*'Unit Costs and Indicators'!$A$133)*AK50</f>
        <v>325510.80320880003</v>
      </c>
      <c r="AL51" s="296">
        <f>((3.49/100)*'Unit Costs and Indicators'!$A$133)*AL50</f>
        <v>325510.80320880003</v>
      </c>
      <c r="AM51" s="296">
        <f>((3.49/100)*'Unit Costs and Indicators'!$A$133)*AM50</f>
        <v>325510.80320880003</v>
      </c>
      <c r="AN51" s="296">
        <f>((3.49/100)*'Unit Costs and Indicators'!$A$133)*AN50</f>
        <v>325510.80320880003</v>
      </c>
      <c r="AO51" s="296">
        <f>((3.49/100)*'Unit Costs and Indicators'!$A$133)*AO50</f>
        <v>325510.80320880003</v>
      </c>
      <c r="AP51" s="296">
        <f>((3.49/100)*'Unit Costs and Indicators'!$A$133)*AP50</f>
        <v>325510.80320880003</v>
      </c>
      <c r="AQ51" s="296">
        <f>((3.49/100)*'Unit Costs and Indicators'!$A$133)*AQ50</f>
        <v>325510.80320880003</v>
      </c>
      <c r="AR51" s="296">
        <f>((3.49/100)*'Unit Costs and Indicators'!$A$133)*AR50</f>
        <v>325510.80320880003</v>
      </c>
      <c r="AS51" s="296">
        <f>((3.49/100)*'Unit Costs and Indicators'!$A$133)*AS50</f>
        <v>325510.80320880003</v>
      </c>
      <c r="AT51" s="296">
        <f>((3.49/100)*'Unit Costs and Indicators'!$A$133)*AT50</f>
        <v>325510.80320880003</v>
      </c>
      <c r="AU51" s="296">
        <f>((3.49/100)*'Unit Costs and Indicators'!$A$133)*AU50</f>
        <v>325510.80320880003</v>
      </c>
      <c r="AV51" s="296">
        <f>((3.49/100)*'Unit Costs and Indicators'!$A$133)*AV50</f>
        <v>325510.80320880003</v>
      </c>
      <c r="AW51" s="296">
        <f>((3.49/100)*'Unit Costs and Indicators'!$A$133)*AW50</f>
        <v>325510.80320880003</v>
      </c>
      <c r="AX51" s="296">
        <f>((3.49/100)*'Unit Costs and Indicators'!$A$133)*AX50</f>
        <v>325510.80320880003</v>
      </c>
      <c r="AY51" s="296">
        <f>((3.49/100)*'Unit Costs and Indicators'!$A$133)*AY50</f>
        <v>325510.80320880003</v>
      </c>
      <c r="AZ51" s="296">
        <f>((3.49/100)*'Unit Costs and Indicators'!$A$133)*AZ50</f>
        <v>325510.80320880003</v>
      </c>
      <c r="BA51" s="296">
        <f>((3.49/100)*'Unit Costs and Indicators'!$A$133)*BA50</f>
        <v>325510.80320880003</v>
      </c>
      <c r="BB51" s="296">
        <f>((3.49/100)*'Unit Costs and Indicators'!$A$133)*BB50</f>
        <v>325510.80320880003</v>
      </c>
      <c r="BC51" s="296">
        <f>((3.49/100)*'Unit Costs and Indicators'!$A$133)*BC50</f>
        <v>325510.80320880003</v>
      </c>
      <c r="BD51" s="296">
        <f>((3.49/100)*'Unit Costs and Indicators'!$A$133)*BD50</f>
        <v>325510.80320880003</v>
      </c>
      <c r="BE51" s="296">
        <f>((3.49/100)*'Unit Costs and Indicators'!$A$133)*BE50</f>
        <v>325510.80320880003</v>
      </c>
      <c r="BF51" s="296">
        <f>((3.49/100)*'Unit Costs and Indicators'!$A$133)*BF50</f>
        <v>325510.80320880003</v>
      </c>
      <c r="BG51" s="296">
        <f>((3.49/100)*'Unit Costs and Indicators'!$A$133)*BG50</f>
        <v>325510.80320880003</v>
      </c>
      <c r="BH51" s="296">
        <f>((3.49/100)*'Unit Costs and Indicators'!$A$133)*BH50</f>
        <v>325510.80320880003</v>
      </c>
      <c r="BI51" s="296">
        <f>((3.49/100)*'Unit Costs and Indicators'!$A$133)*BI50</f>
        <v>325510.80320880003</v>
      </c>
      <c r="BJ51" s="296">
        <f>((3.49/100)*'Unit Costs and Indicators'!$A$133)*BJ50</f>
        <v>325510.80320880003</v>
      </c>
      <c r="BK51" s="296">
        <f>((3.49/100)*'Unit Costs and Indicators'!$A$133)*BK50</f>
        <v>325510.80320880003</v>
      </c>
      <c r="BL51" s="296">
        <f>((3.49/100)*'Unit Costs and Indicators'!$A$133)*BL50</f>
        <v>325510.80320880003</v>
      </c>
      <c r="BM51" s="296">
        <f>((3.49/100)*'Unit Costs and Indicators'!$A$133)*BM50</f>
        <v>325510.80320880003</v>
      </c>
      <c r="BN51" s="296">
        <f>((3.49/100)*'Unit Costs and Indicators'!$A$133)*BN50</f>
        <v>325510.80320880003</v>
      </c>
      <c r="BO51" s="296">
        <f>((3.49/100)*'Unit Costs and Indicators'!$A$133)*BO50</f>
        <v>325510.80320880003</v>
      </c>
      <c r="BP51" s="296">
        <f>((3.49/100)*'Unit Costs and Indicators'!$A$133)*BP50</f>
        <v>325510.80320880003</v>
      </c>
      <c r="BQ51" s="296">
        <f>((3.49/100)*'Unit Costs and Indicators'!$A$133)*BQ50</f>
        <v>325510.80320880003</v>
      </c>
      <c r="BR51" s="296">
        <f>((3.49/100)*'Unit Costs and Indicators'!$A$133)*BR50</f>
        <v>325510.80320880003</v>
      </c>
      <c r="BS51" s="296">
        <f>((3.49/100)*'Unit Costs and Indicators'!$A$133)*BS50</f>
        <v>325510.80320880003</v>
      </c>
      <c r="BT51" s="296">
        <f>((3.49/100)*'Unit Costs and Indicators'!$A$133)*BT50</f>
        <v>325510.80320880003</v>
      </c>
      <c r="BU51" s="296">
        <f>((3.49/100)*'Unit Costs and Indicators'!$A$133)*BU50</f>
        <v>325510.80320880003</v>
      </c>
      <c r="BV51" s="296">
        <f>((3.49/100)*'Unit Costs and Indicators'!$A$133)*BV50</f>
        <v>325510.80320880003</v>
      </c>
      <c r="BW51" s="296">
        <f>((3.49/100)*'Unit Costs and Indicators'!$A$133)*BW50</f>
        <v>325510.80320880003</v>
      </c>
      <c r="BX51" s="296">
        <f>((3.49/100)*'Unit Costs and Indicators'!$A$133)*BX50</f>
        <v>325510.80320880003</v>
      </c>
      <c r="BY51" s="296">
        <f>((3.49/100)*'Unit Costs and Indicators'!$A$133)*BY50</f>
        <v>325510.80320880003</v>
      </c>
      <c r="BZ51" s="296">
        <f>((3.49/100)*'Unit Costs and Indicators'!$A$133)*BZ50</f>
        <v>325510.80320880003</v>
      </c>
      <c r="CA51" s="296">
        <f>((3.49/100)*'Unit Costs and Indicators'!$A$133)*CA50</f>
        <v>325510.80320880003</v>
      </c>
      <c r="CB51" s="296">
        <f>((3.49/100)*'Unit Costs and Indicators'!$A$133)*CB50</f>
        <v>325510.80320880003</v>
      </c>
      <c r="CC51" s="296">
        <f>((3.49/100)*'Unit Costs and Indicators'!$A$133)*CC50</f>
        <v>325510.80320880003</v>
      </c>
      <c r="CD51" s="296">
        <f>((3.49/100)*'Unit Costs and Indicators'!$A$133)*CD50</f>
        <v>325510.80320880003</v>
      </c>
      <c r="CE51" s="296">
        <f>((3.49/100)*'Unit Costs and Indicators'!$A$133)*CE50</f>
        <v>325510.80320880003</v>
      </c>
      <c r="CF51" s="296">
        <f>((3.49/100)*'Unit Costs and Indicators'!$A$133)*CF50</f>
        <v>325510.80320880003</v>
      </c>
      <c r="CG51" s="296">
        <f>((3.49/100)*'Unit Costs and Indicators'!$A$133)*CG50</f>
        <v>325510.80320880003</v>
      </c>
      <c r="CH51" s="296">
        <f>((3.49/100)*'Unit Costs and Indicators'!$A$133)*CH50</f>
        <v>325510.80320880003</v>
      </c>
      <c r="CI51" s="296">
        <f>((3.49/100)*'Unit Costs and Indicators'!$A$133)*CI50</f>
        <v>325510.80320880003</v>
      </c>
      <c r="CJ51" s="296">
        <f>((3.49/100)*'Unit Costs and Indicators'!$A$133)*CJ50</f>
        <v>325510.80320880003</v>
      </c>
      <c r="CK51" s="296">
        <f>((3.49/100)*'Unit Costs and Indicators'!$A$133)*CK50</f>
        <v>325510.80320880003</v>
      </c>
      <c r="CL51" s="296">
        <f>((3.49/100)*'Unit Costs and Indicators'!$A$133)*CL50</f>
        <v>325510.80320880003</v>
      </c>
      <c r="CM51" s="296">
        <f>((3.49/100)*'Unit Costs and Indicators'!$A$133)*CM50</f>
        <v>325510.80320880003</v>
      </c>
      <c r="CN51" s="296">
        <f>((3.49/100)*'Unit Costs and Indicators'!$A$133)*CN50</f>
        <v>325510.80320880003</v>
      </c>
      <c r="CO51" s="296">
        <f>((3.49/100)*'Unit Costs and Indicators'!$A$133)*CO50</f>
        <v>325510.80320880003</v>
      </c>
      <c r="CP51" s="296">
        <f>((3.49/100)*'Unit Costs and Indicators'!$A$133)*CP50</f>
        <v>325510.80320880003</v>
      </c>
      <c r="CQ51" s="296">
        <f>((3.49/100)*'Unit Costs and Indicators'!$A$133)*CQ50</f>
        <v>325510.80320880003</v>
      </c>
      <c r="CR51" s="296">
        <f>((3.49/100)*'Unit Costs and Indicators'!$A$133)*CR50</f>
        <v>325510.80320880003</v>
      </c>
      <c r="CS51" s="296">
        <f>((3.49/100)*'Unit Costs and Indicators'!$A$133)*CS50</f>
        <v>325510.80320880003</v>
      </c>
      <c r="CT51" s="296">
        <f>((3.49/100)*'Unit Costs and Indicators'!$A$133)*CT50</f>
        <v>325510.80320880003</v>
      </c>
      <c r="CU51" s="296">
        <f>((3.49/100)*'Unit Costs and Indicators'!$A$133)*CU50</f>
        <v>325510.80320880003</v>
      </c>
      <c r="CV51" s="296">
        <f>((3.49/100)*'Unit Costs and Indicators'!$A$133)*CV50</f>
        <v>325510.80320880003</v>
      </c>
      <c r="CW51" s="296">
        <f>((3.49/100)*'Unit Costs and Indicators'!$A$133)*CW50</f>
        <v>325510.80320880003</v>
      </c>
      <c r="CX51" s="296">
        <f>((3.49/100)*'Unit Costs and Indicators'!$A$133)*CX50</f>
        <v>325510.80320880003</v>
      </c>
      <c r="CY51" s="296">
        <f>((3.49/100)*'Unit Costs and Indicators'!$A$133)*CY50</f>
        <v>325510.80320880003</v>
      </c>
      <c r="CZ51" s="296">
        <f>((3.49/100)*'Unit Costs and Indicators'!$A$133)*CZ50</f>
        <v>325510.80320880003</v>
      </c>
      <c r="DA51" s="296">
        <f>((3.49/100)*'Unit Costs and Indicators'!$A$133)*DA50</f>
        <v>325510.80320880003</v>
      </c>
      <c r="DB51" s="296">
        <f>((3.49/100)*'Unit Costs and Indicators'!$A$133)*DB50</f>
        <v>325510.80320880003</v>
      </c>
      <c r="DC51" s="296">
        <f>((3.49/100)*'Unit Costs and Indicators'!$A$133)*DC50</f>
        <v>325510.80320880003</v>
      </c>
      <c r="DD51" s="296">
        <f>((3.49/100)*'Unit Costs and Indicators'!$A$133)*DD50</f>
        <v>325510.80320880003</v>
      </c>
      <c r="DE51" s="296">
        <f>((3.49/100)*'Unit Costs and Indicators'!$A$133)*DE50</f>
        <v>325510.80320880003</v>
      </c>
      <c r="DF51" s="287"/>
      <c r="DG51" s="287"/>
      <c r="DH51" s="287"/>
      <c r="DI51" s="287"/>
      <c r="DJ51" s="287"/>
      <c r="DK51" s="287"/>
      <c r="DL51" s="287"/>
    </row>
    <row r="52" spans="1:116" ht="15.75" hidden="1" customHeight="1" outlineLevel="1" x14ac:dyDescent="0.25">
      <c r="A52" s="763"/>
      <c r="B52" s="765"/>
      <c r="C52" s="377" t="s">
        <v>275</v>
      </c>
      <c r="D52" s="378"/>
      <c r="E52" s="379"/>
      <c r="F52" s="378"/>
      <c r="G52" s="378"/>
      <c r="H52" s="335">
        <f>H51*'Unit Costs and Indicators'!$L$10</f>
        <v>27.244218014204545</v>
      </c>
      <c r="I52" s="336">
        <f>I51*'Unit Costs and Indicators'!$L$10</f>
        <v>27.244218014204545</v>
      </c>
      <c r="J52" s="336">
        <f>J51*'Unit Costs and Indicators'!$L$10</f>
        <v>27.244218014204545</v>
      </c>
      <c r="K52" s="336">
        <f>K51*'Unit Costs and Indicators'!$L$10</f>
        <v>27.244218014204545</v>
      </c>
      <c r="L52" s="336">
        <f>L51*'Unit Costs and Indicators'!$L$10</f>
        <v>27.244218014204545</v>
      </c>
      <c r="M52" s="336">
        <f>M51*'Unit Costs and Indicators'!$L$10</f>
        <v>27.244218014204545</v>
      </c>
      <c r="N52" s="336">
        <f>N51*'Unit Costs and Indicators'!$L$10</f>
        <v>27.244218014204545</v>
      </c>
      <c r="O52" s="336">
        <f>O51*'Unit Costs and Indicators'!$L$10</f>
        <v>27.244218014204545</v>
      </c>
      <c r="P52" s="336">
        <f>P51*'Unit Costs and Indicators'!$L$10</f>
        <v>27.244218014204545</v>
      </c>
      <c r="Q52" s="336">
        <f>Q51*'Unit Costs and Indicators'!$L$10</f>
        <v>27.244218014204545</v>
      </c>
      <c r="R52" s="336">
        <f>R51*'Unit Costs and Indicators'!$L$10</f>
        <v>27.244218014204545</v>
      </c>
      <c r="S52" s="336">
        <f>S51*'Unit Costs and Indicators'!$L$10</f>
        <v>27.244218014204545</v>
      </c>
      <c r="T52" s="336">
        <f>T51*'Unit Costs and Indicators'!$L$10</f>
        <v>27.244218014204545</v>
      </c>
      <c r="U52" s="336">
        <f>U51*'Unit Costs and Indicators'!$L$10</f>
        <v>27.244218014204545</v>
      </c>
      <c r="V52" s="336">
        <f>V51*'Unit Costs and Indicators'!$L$10</f>
        <v>27.244218014204545</v>
      </c>
      <c r="W52" s="336">
        <f>W51*'Unit Costs and Indicators'!$L$10</f>
        <v>27.244218014204545</v>
      </c>
      <c r="X52" s="336">
        <f>X51*'Unit Costs and Indicators'!$L$10</f>
        <v>27.244218014204545</v>
      </c>
      <c r="Y52" s="336">
        <f>Y51*'Unit Costs and Indicators'!$L$10</f>
        <v>27.244218014204545</v>
      </c>
      <c r="Z52" s="336">
        <f>Z51*'Unit Costs and Indicators'!$L$10</f>
        <v>27.244218014204545</v>
      </c>
      <c r="AA52" s="336">
        <f>AA51*'Unit Costs and Indicators'!$L$10</f>
        <v>27.244218014204545</v>
      </c>
      <c r="AB52" s="336">
        <f>AB51*'Unit Costs and Indicators'!$L$10</f>
        <v>27.244218014204545</v>
      </c>
      <c r="AC52" s="336">
        <f>AC51*'Unit Costs and Indicators'!$L$10</f>
        <v>27.244218014204545</v>
      </c>
      <c r="AD52" s="336">
        <f>AD51*'Unit Costs and Indicators'!$L$10</f>
        <v>27.244218014204545</v>
      </c>
      <c r="AE52" s="336">
        <f>AE51*'Unit Costs and Indicators'!$L$10</f>
        <v>27.244218014204545</v>
      </c>
      <c r="AF52" s="336">
        <f>AF51*'Unit Costs and Indicators'!$L$10</f>
        <v>27.244218014204545</v>
      </c>
      <c r="AG52" s="336">
        <f>AG51*'Unit Costs and Indicators'!$L$10</f>
        <v>27.244218014204545</v>
      </c>
      <c r="AH52" s="336">
        <f>AH51*'Unit Costs and Indicators'!$L$10</f>
        <v>27.244218014204545</v>
      </c>
      <c r="AI52" s="336">
        <f>AI51*'Unit Costs and Indicators'!$L$10</f>
        <v>27.244218014204545</v>
      </c>
      <c r="AJ52" s="336">
        <f>AJ51*'Unit Costs and Indicators'!$L$10</f>
        <v>27.244218014204545</v>
      </c>
      <c r="AK52" s="336">
        <f>AK51*'Unit Costs and Indicators'!$L$10</f>
        <v>27.244218014204545</v>
      </c>
      <c r="AL52" s="336">
        <f>AL51*'Unit Costs and Indicators'!$L$10</f>
        <v>27.244218014204545</v>
      </c>
      <c r="AM52" s="336">
        <f>AM51*'Unit Costs and Indicators'!$L$10</f>
        <v>27.244218014204545</v>
      </c>
      <c r="AN52" s="336">
        <f>AN51*'Unit Costs and Indicators'!$L$10</f>
        <v>27.244218014204545</v>
      </c>
      <c r="AO52" s="336">
        <f>AO51*'Unit Costs and Indicators'!$L$10</f>
        <v>27.244218014204545</v>
      </c>
      <c r="AP52" s="336">
        <f>AP51*'Unit Costs and Indicators'!$L$10</f>
        <v>27.244218014204545</v>
      </c>
      <c r="AQ52" s="336">
        <f>AQ51*'Unit Costs and Indicators'!$L$10</f>
        <v>27.244218014204545</v>
      </c>
      <c r="AR52" s="336">
        <f>AR51*'Unit Costs and Indicators'!$L$10</f>
        <v>27.244218014204545</v>
      </c>
      <c r="AS52" s="336">
        <f>AS51*'Unit Costs and Indicators'!$L$10</f>
        <v>27.244218014204545</v>
      </c>
      <c r="AT52" s="336">
        <f>AT51*'Unit Costs and Indicators'!$L$10</f>
        <v>27.244218014204545</v>
      </c>
      <c r="AU52" s="336">
        <f>AU51*'Unit Costs and Indicators'!$L$10</f>
        <v>27.244218014204545</v>
      </c>
      <c r="AV52" s="336">
        <f>AV51*'Unit Costs and Indicators'!$L$10</f>
        <v>27.244218014204545</v>
      </c>
      <c r="AW52" s="336">
        <f>AW51*'Unit Costs and Indicators'!$L$10</f>
        <v>27.244218014204545</v>
      </c>
      <c r="AX52" s="336">
        <f>AX51*'Unit Costs and Indicators'!$L$10</f>
        <v>27.244218014204545</v>
      </c>
      <c r="AY52" s="336">
        <f>AY51*'Unit Costs and Indicators'!$L$10</f>
        <v>27.244218014204545</v>
      </c>
      <c r="AZ52" s="336">
        <f>AZ51*'Unit Costs and Indicators'!$L$10</f>
        <v>27.244218014204545</v>
      </c>
      <c r="BA52" s="336">
        <f>BA51*'Unit Costs and Indicators'!$L$10</f>
        <v>27.244218014204545</v>
      </c>
      <c r="BB52" s="336">
        <f>BB51*'Unit Costs and Indicators'!$L$10</f>
        <v>27.244218014204545</v>
      </c>
      <c r="BC52" s="336">
        <f>BC51*'Unit Costs and Indicators'!$L$10</f>
        <v>27.244218014204545</v>
      </c>
      <c r="BD52" s="336">
        <f>BD51*'Unit Costs and Indicators'!$L$10</f>
        <v>27.244218014204545</v>
      </c>
      <c r="BE52" s="336">
        <f>BE51*'Unit Costs and Indicators'!$L$10</f>
        <v>27.244218014204545</v>
      </c>
      <c r="BF52" s="336">
        <f>BF51*'Unit Costs and Indicators'!$L$10</f>
        <v>27.244218014204545</v>
      </c>
      <c r="BG52" s="336">
        <f>BG51*'Unit Costs and Indicators'!$L$10</f>
        <v>27.244218014204545</v>
      </c>
      <c r="BH52" s="336">
        <f>BH51*'Unit Costs and Indicators'!$L$10</f>
        <v>27.244218014204545</v>
      </c>
      <c r="BI52" s="336">
        <f>BI51*'Unit Costs and Indicators'!$L$10</f>
        <v>27.244218014204545</v>
      </c>
      <c r="BJ52" s="336">
        <f>BJ51*'Unit Costs and Indicators'!$L$10</f>
        <v>27.244218014204545</v>
      </c>
      <c r="BK52" s="336">
        <f>BK51*'Unit Costs and Indicators'!$L$10</f>
        <v>27.244218014204545</v>
      </c>
      <c r="BL52" s="336">
        <f>BL51*'Unit Costs and Indicators'!$L$10</f>
        <v>27.244218014204545</v>
      </c>
      <c r="BM52" s="336">
        <f>BM51*'Unit Costs and Indicators'!$L$10</f>
        <v>27.244218014204545</v>
      </c>
      <c r="BN52" s="336">
        <f>BN51*'Unit Costs and Indicators'!$L$10</f>
        <v>27.244218014204545</v>
      </c>
      <c r="BO52" s="336">
        <f>BO51*'Unit Costs and Indicators'!$L$10</f>
        <v>27.244218014204545</v>
      </c>
      <c r="BP52" s="336">
        <f>BP51*'Unit Costs and Indicators'!$L$10</f>
        <v>27.244218014204545</v>
      </c>
      <c r="BQ52" s="336">
        <f>BQ51*'Unit Costs and Indicators'!$L$10</f>
        <v>27.244218014204545</v>
      </c>
      <c r="BR52" s="336">
        <f>BR51*'Unit Costs and Indicators'!$L$10</f>
        <v>27.244218014204545</v>
      </c>
      <c r="BS52" s="336">
        <f>BS51*'Unit Costs and Indicators'!$L$10</f>
        <v>27.244218014204545</v>
      </c>
      <c r="BT52" s="336">
        <f>BT51*'Unit Costs and Indicators'!$L$10</f>
        <v>27.244218014204545</v>
      </c>
      <c r="BU52" s="336">
        <f>BU51*'Unit Costs and Indicators'!$L$10</f>
        <v>27.244218014204545</v>
      </c>
      <c r="BV52" s="336">
        <f>BV51*'Unit Costs and Indicators'!$L$10</f>
        <v>27.244218014204545</v>
      </c>
      <c r="BW52" s="336">
        <f>BW51*'Unit Costs and Indicators'!$L$10</f>
        <v>27.244218014204545</v>
      </c>
      <c r="BX52" s="336">
        <f>BX51*'Unit Costs and Indicators'!$L$10</f>
        <v>27.244218014204545</v>
      </c>
      <c r="BY52" s="336">
        <f>BY51*'Unit Costs and Indicators'!$L$10</f>
        <v>27.244218014204545</v>
      </c>
      <c r="BZ52" s="336">
        <f>BZ51*'Unit Costs and Indicators'!$L$10</f>
        <v>27.244218014204545</v>
      </c>
      <c r="CA52" s="336">
        <f>CA51*'Unit Costs and Indicators'!$L$10</f>
        <v>27.244218014204545</v>
      </c>
      <c r="CB52" s="336">
        <f>CB51*'Unit Costs and Indicators'!$L$10</f>
        <v>27.244218014204545</v>
      </c>
      <c r="CC52" s="336">
        <f>CC51*'Unit Costs and Indicators'!$L$10</f>
        <v>27.244218014204545</v>
      </c>
      <c r="CD52" s="336">
        <f>CD51*'Unit Costs and Indicators'!$L$10</f>
        <v>27.244218014204545</v>
      </c>
      <c r="CE52" s="336">
        <f>CE51*'Unit Costs and Indicators'!$L$10</f>
        <v>27.244218014204545</v>
      </c>
      <c r="CF52" s="336">
        <f>CF51*'Unit Costs and Indicators'!$L$10</f>
        <v>27.244218014204545</v>
      </c>
      <c r="CG52" s="336">
        <f>CG51*'Unit Costs and Indicators'!$L$10</f>
        <v>27.244218014204545</v>
      </c>
      <c r="CH52" s="336">
        <f>CH51*'Unit Costs and Indicators'!$L$10</f>
        <v>27.244218014204545</v>
      </c>
      <c r="CI52" s="336">
        <f>CI51*'Unit Costs and Indicators'!$L$10</f>
        <v>27.244218014204545</v>
      </c>
      <c r="CJ52" s="336">
        <f>CJ51*'Unit Costs and Indicators'!$L$10</f>
        <v>27.244218014204545</v>
      </c>
      <c r="CK52" s="336">
        <f>CK51*'Unit Costs and Indicators'!$L$10</f>
        <v>27.244218014204545</v>
      </c>
      <c r="CL52" s="336">
        <f>CL51*'Unit Costs and Indicators'!$L$10</f>
        <v>27.244218014204545</v>
      </c>
      <c r="CM52" s="336">
        <f>CM51*'Unit Costs and Indicators'!$L$10</f>
        <v>27.244218014204545</v>
      </c>
      <c r="CN52" s="336">
        <f>CN51*'Unit Costs and Indicators'!$L$10</f>
        <v>27.244218014204545</v>
      </c>
      <c r="CO52" s="336">
        <f>CO51*'Unit Costs and Indicators'!$L$10</f>
        <v>27.244218014204545</v>
      </c>
      <c r="CP52" s="336">
        <f>CP51*'Unit Costs and Indicators'!$L$10</f>
        <v>27.244218014204545</v>
      </c>
      <c r="CQ52" s="336">
        <f>CQ51*'Unit Costs and Indicators'!$L$10</f>
        <v>27.244218014204545</v>
      </c>
      <c r="CR52" s="336">
        <f>CR51*'Unit Costs and Indicators'!$L$10</f>
        <v>27.244218014204545</v>
      </c>
      <c r="CS52" s="336">
        <f>CS51*'Unit Costs and Indicators'!$L$10</f>
        <v>27.244218014204545</v>
      </c>
      <c r="CT52" s="336">
        <f>CT51*'Unit Costs and Indicators'!$L$10</f>
        <v>27.244218014204545</v>
      </c>
      <c r="CU52" s="336">
        <f>CU51*'Unit Costs and Indicators'!$L$10</f>
        <v>27.244218014204545</v>
      </c>
      <c r="CV52" s="336">
        <f>CV51*'Unit Costs and Indicators'!$L$10</f>
        <v>27.244218014204545</v>
      </c>
      <c r="CW52" s="336">
        <f>CW51*'Unit Costs and Indicators'!$L$10</f>
        <v>27.244218014204545</v>
      </c>
      <c r="CX52" s="336">
        <f>CX51*'Unit Costs and Indicators'!$L$10</f>
        <v>27.244218014204545</v>
      </c>
      <c r="CY52" s="336">
        <f>CY51*'Unit Costs and Indicators'!$L$10</f>
        <v>27.244218014204545</v>
      </c>
      <c r="CZ52" s="336">
        <f>CZ51*'Unit Costs and Indicators'!$L$10</f>
        <v>27.244218014204545</v>
      </c>
      <c r="DA52" s="336">
        <f>DA51*'Unit Costs and Indicators'!$L$10</f>
        <v>27.244218014204545</v>
      </c>
      <c r="DB52" s="336">
        <f>DB51*'Unit Costs and Indicators'!$L$10</f>
        <v>27.244218014204545</v>
      </c>
      <c r="DC52" s="336">
        <f>DC51*'Unit Costs and Indicators'!$L$10</f>
        <v>27.244218014204545</v>
      </c>
      <c r="DD52" s="336">
        <f>DD51*'Unit Costs and Indicators'!$L$10</f>
        <v>27.244218014204545</v>
      </c>
      <c r="DE52" s="336">
        <f>DE51*'Unit Costs and Indicators'!$L$10</f>
        <v>27.244218014204545</v>
      </c>
      <c r="DF52" s="287"/>
      <c r="DG52" s="287"/>
      <c r="DH52" s="287"/>
      <c r="DI52" s="287"/>
      <c r="DJ52" s="287"/>
      <c r="DK52" s="287"/>
      <c r="DL52" s="287"/>
    </row>
    <row r="53" spans="1:116" ht="15.75" hidden="1" customHeight="1" outlineLevel="1" x14ac:dyDescent="0.25">
      <c r="A53" s="763"/>
      <c r="B53" s="380"/>
      <c r="C53" s="355" t="s">
        <v>244</v>
      </c>
      <c r="D53" s="356" t="s">
        <v>247</v>
      </c>
      <c r="E53" s="381"/>
      <c r="F53" s="316" t="s">
        <v>14</v>
      </c>
      <c r="G53" s="317">
        <f t="array" ref="G53">NPV($D$6, J53:DE53)+I53</f>
        <v>1632.5706787423292</v>
      </c>
      <c r="H53" s="359">
        <f>H52+H49</f>
        <v>27.506210581776202</v>
      </c>
      <c r="I53" s="360">
        <f>(I52+I49)</f>
        <v>27.506210581776202</v>
      </c>
      <c r="J53" s="360">
        <f t="shared" ref="J53:DE53" si="22">(J52+J49)*(1 + $D$5)^(J2-$I$2)</f>
        <v>28.323567212334815</v>
      </c>
      <c r="K53" s="360">
        <f t="shared" si="22"/>
        <v>29.162615623883063</v>
      </c>
      <c r="L53" s="360">
        <f t="shared" si="22"/>
        <v>30.023896545008306</v>
      </c>
      <c r="M53" s="360">
        <f t="shared" si="22"/>
        <v>30.907963656729006</v>
      </c>
      <c r="N53" s="360">
        <f t="shared" si="22"/>
        <v>31.815383894300531</v>
      </c>
      <c r="O53" s="360">
        <f t="shared" si="22"/>
        <v>32.746737755912228</v>
      </c>
      <c r="P53" s="360">
        <f t="shared" si="22"/>
        <v>33.70261961843066</v>
      </c>
      <c r="Q53" s="360">
        <f t="shared" si="22"/>
        <v>34.683638060347484</v>
      </c>
      <c r="R53" s="360">
        <f t="shared" si="22"/>
        <v>35.690416192093593</v>
      </c>
      <c r="S53" s="360">
        <f t="shared" si="22"/>
        <v>36.723591993885421</v>
      </c>
      <c r="T53" s="360">
        <f t="shared" si="22"/>
        <v>37.783818661272065</v>
      </c>
      <c r="U53" s="360">
        <f t="shared" si="22"/>
        <v>38.871764958556639</v>
      </c>
      <c r="V53" s="360">
        <f t="shared" si="22"/>
        <v>39.988115580268079</v>
      </c>
      <c r="W53" s="360">
        <f t="shared" si="22"/>
        <v>41.133571520864564</v>
      </c>
      <c r="X53" s="360">
        <f t="shared" si="22"/>
        <v>42.308850452852781</v>
      </c>
      <c r="Y53" s="360">
        <f t="shared" si="22"/>
        <v>43.514687113512203</v>
      </c>
      <c r="Z53" s="360">
        <f t="shared" si="22"/>
        <v>44.751833700416853</v>
      </c>
      <c r="AA53" s="360">
        <f t="shared" si="22"/>
        <v>46.021060275952273</v>
      </c>
      <c r="AB53" s="360">
        <f t="shared" si="22"/>
        <v>47.323155181028945</v>
      </c>
      <c r="AC53" s="360">
        <f t="shared" si="22"/>
        <v>48.658925458198318</v>
      </c>
      <c r="AD53" s="360">
        <f t="shared" si="22"/>
        <v>50.029197284382043</v>
      </c>
      <c r="AE53" s="360">
        <f t="shared" si="22"/>
        <v>51.434816413429843</v>
      </c>
      <c r="AF53" s="360">
        <f t="shared" si="22"/>
        <v>52.876648628725789</v>
      </c>
      <c r="AG53" s="360">
        <f t="shared" si="22"/>
        <v>54.355580206068218</v>
      </c>
      <c r="AH53" s="360">
        <f t="shared" si="22"/>
        <v>55.872518387052843</v>
      </c>
      <c r="AI53" s="360">
        <f t="shared" si="22"/>
        <v>57.428391863194442</v>
      </c>
      <c r="AJ53" s="360">
        <f t="shared" si="22"/>
        <v>59.024151271026859</v>
      </c>
      <c r="AK53" s="360">
        <f t="shared" si="22"/>
        <v>60.660769698427323</v>
      </c>
      <c r="AL53" s="360">
        <f t="shared" si="22"/>
        <v>62.339243202415368</v>
      </c>
      <c r="AM53" s="360">
        <f t="shared" si="22"/>
        <v>64.060591338683579</v>
      </c>
      <c r="AN53" s="360">
        <f t="shared" si="22"/>
        <v>65.825857703121528</v>
      </c>
      <c r="AO53" s="360">
        <f t="shared" si="22"/>
        <v>67.636110485601577</v>
      </c>
      <c r="AP53" s="360">
        <f t="shared" si="22"/>
        <v>69.492443036299534</v>
      </c>
      <c r="AQ53" s="360">
        <f t="shared" si="22"/>
        <v>71.395974444831182</v>
      </c>
      <c r="AR53" s="360">
        <f t="shared" si="22"/>
        <v>73.347850132489569</v>
      </c>
      <c r="AS53" s="360">
        <f t="shared" si="22"/>
        <v>75.349242457876358</v>
      </c>
      <c r="AT53" s="360">
        <f t="shared" si="22"/>
        <v>77.40135133622563</v>
      </c>
      <c r="AU53" s="360">
        <f t="shared" si="22"/>
        <v>79.505404872725748</v>
      </c>
      <c r="AV53" s="360">
        <f t="shared" si="22"/>
        <v>81.662660010151313</v>
      </c>
      <c r="AW53" s="360">
        <f t="shared" si="22"/>
        <v>83.874403191124884</v>
      </c>
      <c r="AX53" s="360">
        <f t="shared" si="22"/>
        <v>86.141951035333292</v>
      </c>
      <c r="AY53" s="360">
        <f t="shared" si="22"/>
        <v>88.466651032033596</v>
      </c>
      <c r="AZ53" s="360">
        <f t="shared" si="22"/>
        <v>90.849882248187768</v>
      </c>
      <c r="BA53" s="360">
        <f t="shared" si="22"/>
        <v>93.293056052575324</v>
      </c>
      <c r="BB53" s="360">
        <f t="shared" si="22"/>
        <v>95.797616856239074</v>
      </c>
      <c r="BC53" s="360">
        <f t="shared" si="22"/>
        <v>98.365042869628383</v>
      </c>
      <c r="BD53" s="360">
        <f t="shared" si="22"/>
        <v>100.99684687681071</v>
      </c>
      <c r="BE53" s="360">
        <f t="shared" si="22"/>
        <v>103.69457702713254</v>
      </c>
      <c r="BF53" s="360">
        <f t="shared" si="22"/>
        <v>106.45981764471648</v>
      </c>
      <c r="BG53" s="360">
        <f t="shared" si="22"/>
        <v>109.29419005619295</v>
      </c>
      <c r="BH53" s="360">
        <f t="shared" si="22"/>
        <v>112.19935343707056</v>
      </c>
      <c r="BI53" s="360">
        <f t="shared" si="22"/>
        <v>115.17700567716085</v>
      </c>
      <c r="BJ53" s="360">
        <f t="shared" si="22"/>
        <v>118.22888426547986</v>
      </c>
      <c r="BK53" s="360">
        <f t="shared" si="22"/>
        <v>121.35676719506083</v>
      </c>
      <c r="BL53" s="360">
        <f t="shared" si="22"/>
        <v>124.56247388811876</v>
      </c>
      <c r="BM53" s="360">
        <f t="shared" si="22"/>
        <v>127.84786614202105</v>
      </c>
      <c r="BN53" s="360">
        <f t="shared" si="22"/>
        <v>131.21484909652415</v>
      </c>
      <c r="BO53" s="360">
        <f t="shared" si="22"/>
        <v>134.66537222275062</v>
      </c>
      <c r="BP53" s="360">
        <f t="shared" si="22"/>
        <v>138.20143033438748</v>
      </c>
      <c r="BQ53" s="360">
        <f t="shared" si="22"/>
        <v>141.82506462160077</v>
      </c>
      <c r="BR53" s="360">
        <f t="shared" si="22"/>
        <v>145.53836370816879</v>
      </c>
      <c r="BS53" s="360">
        <f t="shared" si="22"/>
        <v>149.3434647323509</v>
      </c>
      <c r="BT53" s="360">
        <f t="shared" si="22"/>
        <v>153.242554452017</v>
      </c>
      <c r="BU53" s="360">
        <f t="shared" si="22"/>
        <v>157.23787037457689</v>
      </c>
      <c r="BV53" s="360">
        <f t="shared" si="22"/>
        <v>161.33170191225832</v>
      </c>
      <c r="BW53" s="360">
        <f t="shared" si="22"/>
        <v>165.52639156329715</v>
      </c>
      <c r="BX53" s="360">
        <f t="shared" si="22"/>
        <v>169.82433611961267</v>
      </c>
      <c r="BY53" s="360">
        <f t="shared" si="22"/>
        <v>174.22798790155548</v>
      </c>
      <c r="BZ53" s="360">
        <f t="shared" si="22"/>
        <v>178.73985602032815</v>
      </c>
      <c r="CA53" s="360">
        <f t="shared" si="22"/>
        <v>183.36250766869108</v>
      </c>
      <c r="CB53" s="360">
        <f t="shared" si="22"/>
        <v>188.09856944058043</v>
      </c>
      <c r="CC53" s="360">
        <f t="shared" si="22"/>
        <v>192.9507286802779</v>
      </c>
      <c r="CD53" s="360">
        <f t="shared" si="22"/>
        <v>197.92173486178697</v>
      </c>
      <c r="CE53" s="360">
        <f t="shared" si="22"/>
        <v>203.01440099908433</v>
      </c>
      <c r="CF53" s="360">
        <f t="shared" si="22"/>
        <v>208.23160508792884</v>
      </c>
      <c r="CG53" s="360">
        <f t="shared" si="22"/>
        <v>213.57629157992758</v>
      </c>
      <c r="CH53" s="360">
        <f t="shared" si="22"/>
        <v>219.05147288957102</v>
      </c>
      <c r="CI53" s="360">
        <f t="shared" si="22"/>
        <v>224.66023093496824</v>
      </c>
      <c r="CJ53" s="360">
        <f t="shared" si="22"/>
        <v>230.40571871302549</v>
      </c>
      <c r="CK53" s="360">
        <f t="shared" si="22"/>
        <v>236.29116190983112</v>
      </c>
      <c r="CL53" s="360">
        <f t="shared" si="22"/>
        <v>242.31986054702372</v>
      </c>
      <c r="CM53" s="360">
        <f t="shared" si="22"/>
        <v>248.49519066494005</v>
      </c>
      <c r="CN53" s="360">
        <f t="shared" si="22"/>
        <v>254.8206060433543</v>
      </c>
      <c r="CO53" s="360">
        <f t="shared" si="22"/>
        <v>261.29963996063913</v>
      </c>
      <c r="CP53" s="360">
        <f t="shared" si="22"/>
        <v>267.935906992198</v>
      </c>
      <c r="CQ53" s="360">
        <f t="shared" si="22"/>
        <v>274.73310484903499</v>
      </c>
      <c r="CR53" s="360">
        <f t="shared" si="22"/>
        <v>281.69501625734847</v>
      </c>
      <c r="CS53" s="360">
        <f t="shared" si="22"/>
        <v>288.82551088005499</v>
      </c>
      <c r="CT53" s="360">
        <f t="shared" si="22"/>
        <v>296.12854728116685</v>
      </c>
      <c r="CU53" s="360">
        <f t="shared" si="22"/>
        <v>303.6081749339711</v>
      </c>
      <c r="CV53" s="360">
        <f t="shared" si="22"/>
        <v>311.26853627397503</v>
      </c>
      <c r="CW53" s="360">
        <f t="shared" si="22"/>
        <v>319.11386879760568</v>
      </c>
      <c r="CX53" s="360">
        <f t="shared" si="22"/>
        <v>327.1485072076718</v>
      </c>
      <c r="CY53" s="360">
        <f t="shared" si="22"/>
        <v>335.37688560662156</v>
      </c>
      <c r="CZ53" s="360">
        <f t="shared" si="22"/>
        <v>343.80353973864618</v>
      </c>
      <c r="DA53" s="360">
        <f t="shared" si="22"/>
        <v>352.43310928170928</v>
      </c>
      <c r="DB53" s="360">
        <f t="shared" si="22"/>
        <v>361.27034019059943</v>
      </c>
      <c r="DC53" s="360">
        <f t="shared" si="22"/>
        <v>370.32008709213238</v>
      </c>
      <c r="DD53" s="360">
        <f t="shared" si="22"/>
        <v>379.58731573365048</v>
      </c>
      <c r="DE53" s="360">
        <f t="shared" si="22"/>
        <v>389.07710548599249</v>
      </c>
      <c r="DF53" s="382"/>
      <c r="DG53" s="382"/>
      <c r="DH53" s="382"/>
      <c r="DI53" s="382"/>
      <c r="DJ53" s="382"/>
      <c r="DK53" s="382"/>
      <c r="DL53" s="382"/>
    </row>
    <row r="54" spans="1:116" ht="15.75" hidden="1" customHeight="1" outlineLevel="1" x14ac:dyDescent="0.25">
      <c r="A54" s="763"/>
      <c r="B54" s="753" t="s">
        <v>276</v>
      </c>
      <c r="C54" s="383" t="s">
        <v>277</v>
      </c>
      <c r="D54" s="384" t="s">
        <v>278</v>
      </c>
      <c r="E54" s="385"/>
      <c r="F54" s="386"/>
      <c r="G54" s="387">
        <f>((17252000000.991)/'Unit Costs and Indicators'!J10)*'Unit Costs and Indicators'!L10</f>
        <v>206.27678299317753</v>
      </c>
      <c r="H54" s="388">
        <f>G54*(1+'Unit Costs and Indicators'!$C$128)</f>
        <v>207.31345517137967</v>
      </c>
      <c r="I54" s="289">
        <f t="shared" ref="I54:AH54" si="23">(H54)*(1+$D$11)</f>
        <v>208.35002244723654</v>
      </c>
      <c r="J54" s="289">
        <f t="shared" si="23"/>
        <v>209.39177255947271</v>
      </c>
      <c r="K54" s="289">
        <f t="shared" si="23"/>
        <v>210.43873142227005</v>
      </c>
      <c r="L54" s="289">
        <f t="shared" si="23"/>
        <v>211.49092507938138</v>
      </c>
      <c r="M54" s="289">
        <f t="shared" si="23"/>
        <v>212.54837970477826</v>
      </c>
      <c r="N54" s="289">
        <f t="shared" si="23"/>
        <v>213.61112160330214</v>
      </c>
      <c r="O54" s="289">
        <f t="shared" si="23"/>
        <v>214.67917721131863</v>
      </c>
      <c r="P54" s="289">
        <f t="shared" si="23"/>
        <v>215.7525730973752</v>
      </c>
      <c r="Q54" s="289">
        <f t="shared" si="23"/>
        <v>216.83133596286206</v>
      </c>
      <c r="R54" s="289">
        <f t="shared" si="23"/>
        <v>217.91549264267636</v>
      </c>
      <c r="S54" s="289">
        <f t="shared" si="23"/>
        <v>219.0050701058897</v>
      </c>
      <c r="T54" s="289">
        <f t="shared" si="23"/>
        <v>220.10009545641913</v>
      </c>
      <c r="U54" s="289">
        <f t="shared" si="23"/>
        <v>221.20059593370121</v>
      </c>
      <c r="V54" s="289">
        <f t="shared" si="23"/>
        <v>222.3065989133697</v>
      </c>
      <c r="W54" s="289">
        <f t="shared" si="23"/>
        <v>223.41813190793653</v>
      </c>
      <c r="X54" s="289">
        <f t="shared" si="23"/>
        <v>224.53522256747618</v>
      </c>
      <c r="Y54" s="289">
        <f t="shared" si="23"/>
        <v>225.65789868031354</v>
      </c>
      <c r="Z54" s="289">
        <f t="shared" si="23"/>
        <v>226.78618817371509</v>
      </c>
      <c r="AA54" s="289">
        <f t="shared" si="23"/>
        <v>227.92011911458363</v>
      </c>
      <c r="AB54" s="289">
        <f t="shared" si="23"/>
        <v>229.05971971015651</v>
      </c>
      <c r="AC54" s="289">
        <f t="shared" si="23"/>
        <v>230.20501830870728</v>
      </c>
      <c r="AD54" s="289">
        <f t="shared" si="23"/>
        <v>231.3560434002508</v>
      </c>
      <c r="AE54" s="289">
        <f t="shared" si="23"/>
        <v>232.51282361725202</v>
      </c>
      <c r="AF54" s="289">
        <f t="shared" si="23"/>
        <v>233.67538773533826</v>
      </c>
      <c r="AG54" s="289">
        <f t="shared" si="23"/>
        <v>234.84376467401492</v>
      </c>
      <c r="AH54" s="289">
        <f t="shared" si="23"/>
        <v>236.01798349738496</v>
      </c>
      <c r="AI54" s="289">
        <f t="shared" ref="AI54:DE54" si="24">(AH54)</f>
        <v>236.01798349738496</v>
      </c>
      <c r="AJ54" s="289">
        <f t="shared" si="24"/>
        <v>236.01798349738496</v>
      </c>
      <c r="AK54" s="289">
        <f t="shared" si="24"/>
        <v>236.01798349738496</v>
      </c>
      <c r="AL54" s="289">
        <f t="shared" si="24"/>
        <v>236.01798349738496</v>
      </c>
      <c r="AM54" s="289">
        <f t="shared" si="24"/>
        <v>236.01798349738496</v>
      </c>
      <c r="AN54" s="289">
        <f t="shared" si="24"/>
        <v>236.01798349738496</v>
      </c>
      <c r="AO54" s="289">
        <f t="shared" si="24"/>
        <v>236.01798349738496</v>
      </c>
      <c r="AP54" s="289">
        <f t="shared" si="24"/>
        <v>236.01798349738496</v>
      </c>
      <c r="AQ54" s="289">
        <f t="shared" si="24"/>
        <v>236.01798349738496</v>
      </c>
      <c r="AR54" s="289">
        <f t="shared" si="24"/>
        <v>236.01798349738496</v>
      </c>
      <c r="AS54" s="289">
        <f t="shared" si="24"/>
        <v>236.01798349738496</v>
      </c>
      <c r="AT54" s="289">
        <f t="shared" si="24"/>
        <v>236.01798349738496</v>
      </c>
      <c r="AU54" s="289">
        <f t="shared" si="24"/>
        <v>236.01798349738496</v>
      </c>
      <c r="AV54" s="289">
        <f t="shared" si="24"/>
        <v>236.01798349738496</v>
      </c>
      <c r="AW54" s="289">
        <f t="shared" si="24"/>
        <v>236.01798349738496</v>
      </c>
      <c r="AX54" s="289">
        <f t="shared" si="24"/>
        <v>236.01798349738496</v>
      </c>
      <c r="AY54" s="289">
        <f t="shared" si="24"/>
        <v>236.01798349738496</v>
      </c>
      <c r="AZ54" s="289">
        <f t="shared" si="24"/>
        <v>236.01798349738496</v>
      </c>
      <c r="BA54" s="289">
        <f t="shared" si="24"/>
        <v>236.01798349738496</v>
      </c>
      <c r="BB54" s="289">
        <f t="shared" si="24"/>
        <v>236.01798349738496</v>
      </c>
      <c r="BC54" s="289">
        <f t="shared" si="24"/>
        <v>236.01798349738496</v>
      </c>
      <c r="BD54" s="289">
        <f t="shared" si="24"/>
        <v>236.01798349738496</v>
      </c>
      <c r="BE54" s="289">
        <f t="shared" si="24"/>
        <v>236.01798349738496</v>
      </c>
      <c r="BF54" s="289">
        <f t="shared" si="24"/>
        <v>236.01798349738496</v>
      </c>
      <c r="BG54" s="289">
        <f t="shared" si="24"/>
        <v>236.01798349738496</v>
      </c>
      <c r="BH54" s="289">
        <f t="shared" si="24"/>
        <v>236.01798349738496</v>
      </c>
      <c r="BI54" s="289">
        <f t="shared" si="24"/>
        <v>236.01798349738496</v>
      </c>
      <c r="BJ54" s="289">
        <f t="shared" si="24"/>
        <v>236.01798349738496</v>
      </c>
      <c r="BK54" s="289">
        <f t="shared" si="24"/>
        <v>236.01798349738496</v>
      </c>
      <c r="BL54" s="289">
        <f t="shared" si="24"/>
        <v>236.01798349738496</v>
      </c>
      <c r="BM54" s="289">
        <f t="shared" si="24"/>
        <v>236.01798349738496</v>
      </c>
      <c r="BN54" s="289">
        <f t="shared" si="24"/>
        <v>236.01798349738496</v>
      </c>
      <c r="BO54" s="289">
        <f t="shared" si="24"/>
        <v>236.01798349738496</v>
      </c>
      <c r="BP54" s="289">
        <f t="shared" si="24"/>
        <v>236.01798349738496</v>
      </c>
      <c r="BQ54" s="289">
        <f t="shared" si="24"/>
        <v>236.01798349738496</v>
      </c>
      <c r="BR54" s="289">
        <f t="shared" si="24"/>
        <v>236.01798349738496</v>
      </c>
      <c r="BS54" s="289">
        <f t="shared" si="24"/>
        <v>236.01798349738496</v>
      </c>
      <c r="BT54" s="289">
        <f t="shared" si="24"/>
        <v>236.01798349738496</v>
      </c>
      <c r="BU54" s="289">
        <f t="shared" si="24"/>
        <v>236.01798349738496</v>
      </c>
      <c r="BV54" s="289">
        <f t="shared" si="24"/>
        <v>236.01798349738496</v>
      </c>
      <c r="BW54" s="289">
        <f t="shared" si="24"/>
        <v>236.01798349738496</v>
      </c>
      <c r="BX54" s="289">
        <f t="shared" si="24"/>
        <v>236.01798349738496</v>
      </c>
      <c r="BY54" s="289">
        <f t="shared" si="24"/>
        <v>236.01798349738496</v>
      </c>
      <c r="BZ54" s="289">
        <f t="shared" si="24"/>
        <v>236.01798349738496</v>
      </c>
      <c r="CA54" s="289">
        <f t="shared" si="24"/>
        <v>236.01798349738496</v>
      </c>
      <c r="CB54" s="289">
        <f t="shared" si="24"/>
        <v>236.01798349738496</v>
      </c>
      <c r="CC54" s="289">
        <f t="shared" si="24"/>
        <v>236.01798349738496</v>
      </c>
      <c r="CD54" s="289">
        <f t="shared" si="24"/>
        <v>236.01798349738496</v>
      </c>
      <c r="CE54" s="289">
        <f t="shared" si="24"/>
        <v>236.01798349738496</v>
      </c>
      <c r="CF54" s="289">
        <f t="shared" si="24"/>
        <v>236.01798349738496</v>
      </c>
      <c r="CG54" s="289">
        <f t="shared" si="24"/>
        <v>236.01798349738496</v>
      </c>
      <c r="CH54" s="289">
        <f t="shared" si="24"/>
        <v>236.01798349738496</v>
      </c>
      <c r="CI54" s="289">
        <f t="shared" si="24"/>
        <v>236.01798349738496</v>
      </c>
      <c r="CJ54" s="289">
        <f t="shared" si="24"/>
        <v>236.01798349738496</v>
      </c>
      <c r="CK54" s="289">
        <f t="shared" si="24"/>
        <v>236.01798349738496</v>
      </c>
      <c r="CL54" s="289">
        <f t="shared" si="24"/>
        <v>236.01798349738496</v>
      </c>
      <c r="CM54" s="289">
        <f t="shared" si="24"/>
        <v>236.01798349738496</v>
      </c>
      <c r="CN54" s="289">
        <f t="shared" si="24"/>
        <v>236.01798349738496</v>
      </c>
      <c r="CO54" s="289">
        <f t="shared" si="24"/>
        <v>236.01798349738496</v>
      </c>
      <c r="CP54" s="289">
        <f t="shared" si="24"/>
        <v>236.01798349738496</v>
      </c>
      <c r="CQ54" s="289">
        <f t="shared" si="24"/>
        <v>236.01798349738496</v>
      </c>
      <c r="CR54" s="289">
        <f t="shared" si="24"/>
        <v>236.01798349738496</v>
      </c>
      <c r="CS54" s="289">
        <f t="shared" si="24"/>
        <v>236.01798349738496</v>
      </c>
      <c r="CT54" s="289">
        <f t="shared" si="24"/>
        <v>236.01798349738496</v>
      </c>
      <c r="CU54" s="289">
        <f t="shared" si="24"/>
        <v>236.01798349738496</v>
      </c>
      <c r="CV54" s="289">
        <f t="shared" si="24"/>
        <v>236.01798349738496</v>
      </c>
      <c r="CW54" s="289">
        <f t="shared" si="24"/>
        <v>236.01798349738496</v>
      </c>
      <c r="CX54" s="289">
        <f t="shared" si="24"/>
        <v>236.01798349738496</v>
      </c>
      <c r="CY54" s="289">
        <f t="shared" si="24"/>
        <v>236.01798349738496</v>
      </c>
      <c r="CZ54" s="289">
        <f t="shared" si="24"/>
        <v>236.01798349738496</v>
      </c>
      <c r="DA54" s="289">
        <f t="shared" si="24"/>
        <v>236.01798349738496</v>
      </c>
      <c r="DB54" s="289">
        <f t="shared" si="24"/>
        <v>236.01798349738496</v>
      </c>
      <c r="DC54" s="289">
        <f t="shared" si="24"/>
        <v>236.01798349738496</v>
      </c>
      <c r="DD54" s="289">
        <f t="shared" si="24"/>
        <v>236.01798349738496</v>
      </c>
      <c r="DE54" s="289">
        <f t="shared" si="24"/>
        <v>236.01798349738496</v>
      </c>
      <c r="DF54" s="289"/>
      <c r="DG54" s="289"/>
      <c r="DH54" s="289"/>
      <c r="DI54" s="289"/>
      <c r="DJ54" s="289"/>
      <c r="DK54" s="289"/>
      <c r="DL54" s="289"/>
    </row>
    <row r="55" spans="1:116" ht="15.75" hidden="1" customHeight="1" outlineLevel="1" x14ac:dyDescent="0.25">
      <c r="A55" s="763"/>
      <c r="B55" s="753"/>
      <c r="C55" s="278" t="s">
        <v>279</v>
      </c>
      <c r="D55" s="279" t="s">
        <v>280</v>
      </c>
      <c r="E55" s="280"/>
      <c r="F55" s="310"/>
      <c r="G55" s="310">
        <f>((17252353)/7000)*(1 + 2%)^3</f>
        <v>2615.4764317748568</v>
      </c>
      <c r="H55" s="300">
        <f t="shared" ref="H55:DE55" si="25">G55</f>
        <v>2615.4764317748568</v>
      </c>
      <c r="I55" s="301">
        <f t="shared" si="25"/>
        <v>2615.4764317748568</v>
      </c>
      <c r="J55" s="301">
        <f t="shared" si="25"/>
        <v>2615.4764317748568</v>
      </c>
      <c r="K55" s="301">
        <f t="shared" si="25"/>
        <v>2615.4764317748568</v>
      </c>
      <c r="L55" s="301">
        <f t="shared" si="25"/>
        <v>2615.4764317748568</v>
      </c>
      <c r="M55" s="301">
        <f t="shared" si="25"/>
        <v>2615.4764317748568</v>
      </c>
      <c r="N55" s="301">
        <f t="shared" si="25"/>
        <v>2615.4764317748568</v>
      </c>
      <c r="O55" s="301">
        <f t="shared" si="25"/>
        <v>2615.4764317748568</v>
      </c>
      <c r="P55" s="301">
        <f t="shared" si="25"/>
        <v>2615.4764317748568</v>
      </c>
      <c r="Q55" s="301">
        <f t="shared" si="25"/>
        <v>2615.4764317748568</v>
      </c>
      <c r="R55" s="301">
        <f t="shared" si="25"/>
        <v>2615.4764317748568</v>
      </c>
      <c r="S55" s="301">
        <f t="shared" si="25"/>
        <v>2615.4764317748568</v>
      </c>
      <c r="T55" s="301">
        <f t="shared" si="25"/>
        <v>2615.4764317748568</v>
      </c>
      <c r="U55" s="301">
        <f t="shared" si="25"/>
        <v>2615.4764317748568</v>
      </c>
      <c r="V55" s="301">
        <f t="shared" si="25"/>
        <v>2615.4764317748568</v>
      </c>
      <c r="W55" s="301">
        <f t="shared" si="25"/>
        <v>2615.4764317748568</v>
      </c>
      <c r="X55" s="301">
        <f t="shared" si="25"/>
        <v>2615.4764317748568</v>
      </c>
      <c r="Y55" s="301">
        <f t="shared" si="25"/>
        <v>2615.4764317748568</v>
      </c>
      <c r="Z55" s="301">
        <f t="shared" si="25"/>
        <v>2615.4764317748568</v>
      </c>
      <c r="AA55" s="301">
        <f t="shared" si="25"/>
        <v>2615.4764317748568</v>
      </c>
      <c r="AB55" s="301">
        <f t="shared" si="25"/>
        <v>2615.4764317748568</v>
      </c>
      <c r="AC55" s="301">
        <f t="shared" si="25"/>
        <v>2615.4764317748568</v>
      </c>
      <c r="AD55" s="301">
        <f t="shared" si="25"/>
        <v>2615.4764317748568</v>
      </c>
      <c r="AE55" s="301">
        <f t="shared" si="25"/>
        <v>2615.4764317748568</v>
      </c>
      <c r="AF55" s="301">
        <f t="shared" si="25"/>
        <v>2615.4764317748568</v>
      </c>
      <c r="AG55" s="301">
        <f t="shared" si="25"/>
        <v>2615.4764317748568</v>
      </c>
      <c r="AH55" s="301">
        <f t="shared" si="25"/>
        <v>2615.4764317748568</v>
      </c>
      <c r="AI55" s="301">
        <f t="shared" si="25"/>
        <v>2615.4764317748568</v>
      </c>
      <c r="AJ55" s="301">
        <f t="shared" si="25"/>
        <v>2615.4764317748568</v>
      </c>
      <c r="AK55" s="301">
        <f t="shared" si="25"/>
        <v>2615.4764317748568</v>
      </c>
      <c r="AL55" s="301">
        <f t="shared" si="25"/>
        <v>2615.4764317748568</v>
      </c>
      <c r="AM55" s="301">
        <f t="shared" si="25"/>
        <v>2615.4764317748568</v>
      </c>
      <c r="AN55" s="301">
        <f t="shared" si="25"/>
        <v>2615.4764317748568</v>
      </c>
      <c r="AO55" s="301">
        <f t="shared" si="25"/>
        <v>2615.4764317748568</v>
      </c>
      <c r="AP55" s="301">
        <f t="shared" si="25"/>
        <v>2615.4764317748568</v>
      </c>
      <c r="AQ55" s="301">
        <f t="shared" si="25"/>
        <v>2615.4764317748568</v>
      </c>
      <c r="AR55" s="301">
        <f t="shared" si="25"/>
        <v>2615.4764317748568</v>
      </c>
      <c r="AS55" s="301">
        <f t="shared" si="25"/>
        <v>2615.4764317748568</v>
      </c>
      <c r="AT55" s="301">
        <f t="shared" si="25"/>
        <v>2615.4764317748568</v>
      </c>
      <c r="AU55" s="301">
        <f t="shared" si="25"/>
        <v>2615.4764317748568</v>
      </c>
      <c r="AV55" s="301">
        <f t="shared" si="25"/>
        <v>2615.4764317748568</v>
      </c>
      <c r="AW55" s="301">
        <f t="shared" si="25"/>
        <v>2615.4764317748568</v>
      </c>
      <c r="AX55" s="301">
        <f t="shared" si="25"/>
        <v>2615.4764317748568</v>
      </c>
      <c r="AY55" s="301">
        <f t="shared" si="25"/>
        <v>2615.4764317748568</v>
      </c>
      <c r="AZ55" s="301">
        <f t="shared" si="25"/>
        <v>2615.4764317748568</v>
      </c>
      <c r="BA55" s="301">
        <f t="shared" si="25"/>
        <v>2615.4764317748568</v>
      </c>
      <c r="BB55" s="301">
        <f t="shared" si="25"/>
        <v>2615.4764317748568</v>
      </c>
      <c r="BC55" s="301">
        <f t="shared" si="25"/>
        <v>2615.4764317748568</v>
      </c>
      <c r="BD55" s="301">
        <f t="shared" si="25"/>
        <v>2615.4764317748568</v>
      </c>
      <c r="BE55" s="301">
        <f t="shared" si="25"/>
        <v>2615.4764317748568</v>
      </c>
      <c r="BF55" s="301">
        <f t="shared" si="25"/>
        <v>2615.4764317748568</v>
      </c>
      <c r="BG55" s="301">
        <f t="shared" si="25"/>
        <v>2615.4764317748568</v>
      </c>
      <c r="BH55" s="301">
        <f t="shared" si="25"/>
        <v>2615.4764317748568</v>
      </c>
      <c r="BI55" s="301">
        <f t="shared" si="25"/>
        <v>2615.4764317748568</v>
      </c>
      <c r="BJ55" s="301">
        <f t="shared" si="25"/>
        <v>2615.4764317748568</v>
      </c>
      <c r="BK55" s="301">
        <f t="shared" si="25"/>
        <v>2615.4764317748568</v>
      </c>
      <c r="BL55" s="301">
        <f t="shared" si="25"/>
        <v>2615.4764317748568</v>
      </c>
      <c r="BM55" s="301">
        <f t="shared" si="25"/>
        <v>2615.4764317748568</v>
      </c>
      <c r="BN55" s="301">
        <f t="shared" si="25"/>
        <v>2615.4764317748568</v>
      </c>
      <c r="BO55" s="301">
        <f t="shared" si="25"/>
        <v>2615.4764317748568</v>
      </c>
      <c r="BP55" s="301">
        <f t="shared" si="25"/>
        <v>2615.4764317748568</v>
      </c>
      <c r="BQ55" s="301">
        <f t="shared" si="25"/>
        <v>2615.4764317748568</v>
      </c>
      <c r="BR55" s="301">
        <f t="shared" si="25"/>
        <v>2615.4764317748568</v>
      </c>
      <c r="BS55" s="301">
        <f t="shared" si="25"/>
        <v>2615.4764317748568</v>
      </c>
      <c r="BT55" s="301">
        <f t="shared" si="25"/>
        <v>2615.4764317748568</v>
      </c>
      <c r="BU55" s="301">
        <f t="shared" si="25"/>
        <v>2615.4764317748568</v>
      </c>
      <c r="BV55" s="301">
        <f t="shared" si="25"/>
        <v>2615.4764317748568</v>
      </c>
      <c r="BW55" s="301">
        <f t="shared" si="25"/>
        <v>2615.4764317748568</v>
      </c>
      <c r="BX55" s="301">
        <f t="shared" si="25"/>
        <v>2615.4764317748568</v>
      </c>
      <c r="BY55" s="301">
        <f t="shared" si="25"/>
        <v>2615.4764317748568</v>
      </c>
      <c r="BZ55" s="301">
        <f t="shared" si="25"/>
        <v>2615.4764317748568</v>
      </c>
      <c r="CA55" s="301">
        <f t="shared" si="25"/>
        <v>2615.4764317748568</v>
      </c>
      <c r="CB55" s="301">
        <f t="shared" si="25"/>
        <v>2615.4764317748568</v>
      </c>
      <c r="CC55" s="301">
        <f t="shared" si="25"/>
        <v>2615.4764317748568</v>
      </c>
      <c r="CD55" s="301">
        <f t="shared" si="25"/>
        <v>2615.4764317748568</v>
      </c>
      <c r="CE55" s="301">
        <f t="shared" si="25"/>
        <v>2615.4764317748568</v>
      </c>
      <c r="CF55" s="301">
        <f t="shared" si="25"/>
        <v>2615.4764317748568</v>
      </c>
      <c r="CG55" s="301">
        <f t="shared" si="25"/>
        <v>2615.4764317748568</v>
      </c>
      <c r="CH55" s="301">
        <f t="shared" si="25"/>
        <v>2615.4764317748568</v>
      </c>
      <c r="CI55" s="301">
        <f t="shared" si="25"/>
        <v>2615.4764317748568</v>
      </c>
      <c r="CJ55" s="301">
        <f t="shared" si="25"/>
        <v>2615.4764317748568</v>
      </c>
      <c r="CK55" s="301">
        <f t="shared" si="25"/>
        <v>2615.4764317748568</v>
      </c>
      <c r="CL55" s="301">
        <f t="shared" si="25"/>
        <v>2615.4764317748568</v>
      </c>
      <c r="CM55" s="301">
        <f t="shared" si="25"/>
        <v>2615.4764317748568</v>
      </c>
      <c r="CN55" s="301">
        <f t="shared" si="25"/>
        <v>2615.4764317748568</v>
      </c>
      <c r="CO55" s="301">
        <f t="shared" si="25"/>
        <v>2615.4764317748568</v>
      </c>
      <c r="CP55" s="301">
        <f t="shared" si="25"/>
        <v>2615.4764317748568</v>
      </c>
      <c r="CQ55" s="301">
        <f t="shared" si="25"/>
        <v>2615.4764317748568</v>
      </c>
      <c r="CR55" s="301">
        <f t="shared" si="25"/>
        <v>2615.4764317748568</v>
      </c>
      <c r="CS55" s="301">
        <f t="shared" si="25"/>
        <v>2615.4764317748568</v>
      </c>
      <c r="CT55" s="301">
        <f t="shared" si="25"/>
        <v>2615.4764317748568</v>
      </c>
      <c r="CU55" s="301">
        <f t="shared" si="25"/>
        <v>2615.4764317748568</v>
      </c>
      <c r="CV55" s="301">
        <f t="shared" si="25"/>
        <v>2615.4764317748568</v>
      </c>
      <c r="CW55" s="301">
        <f t="shared" si="25"/>
        <v>2615.4764317748568</v>
      </c>
      <c r="CX55" s="301">
        <f t="shared" si="25"/>
        <v>2615.4764317748568</v>
      </c>
      <c r="CY55" s="301">
        <f t="shared" si="25"/>
        <v>2615.4764317748568</v>
      </c>
      <c r="CZ55" s="301">
        <f t="shared" si="25"/>
        <v>2615.4764317748568</v>
      </c>
      <c r="DA55" s="301">
        <f t="shared" si="25"/>
        <v>2615.4764317748568</v>
      </c>
      <c r="DB55" s="301">
        <f t="shared" si="25"/>
        <v>2615.4764317748568</v>
      </c>
      <c r="DC55" s="301">
        <f t="shared" si="25"/>
        <v>2615.4764317748568</v>
      </c>
      <c r="DD55" s="301">
        <f t="shared" si="25"/>
        <v>2615.4764317748568</v>
      </c>
      <c r="DE55" s="301">
        <f t="shared" si="25"/>
        <v>2615.4764317748568</v>
      </c>
      <c r="DF55" s="301"/>
      <c r="DG55" s="301"/>
      <c r="DH55" s="301"/>
      <c r="DI55" s="301"/>
      <c r="DJ55" s="301"/>
      <c r="DK55" s="301"/>
      <c r="DL55" s="301"/>
    </row>
    <row r="56" spans="1:116" ht="15.75" hidden="1" customHeight="1" outlineLevel="1" x14ac:dyDescent="0.25">
      <c r="A56" s="763"/>
      <c r="B56" s="753"/>
      <c r="C56" s="291" t="s">
        <v>281</v>
      </c>
      <c r="D56" s="348"/>
      <c r="E56" s="349"/>
      <c r="F56" s="371"/>
      <c r="G56" s="371"/>
      <c r="H56" s="372">
        <f>(H54*'Unit Costs and Indicators'!$L$10)*H55</f>
        <v>45.382377180109543</v>
      </c>
      <c r="I56" s="373">
        <f>(I54*'Unit Costs and Indicators'!$L$10)*I55</f>
        <v>45.609289066010085</v>
      </c>
      <c r="J56" s="373">
        <f>(J54*'Unit Costs and Indicators'!$L$10)*J55</f>
        <v>45.837335511340129</v>
      </c>
      <c r="K56" s="373">
        <f>(K54*'Unit Costs and Indicators'!$L$10)*K55</f>
        <v>46.066522188896826</v>
      </c>
      <c r="L56" s="373">
        <f>(L54*'Unit Costs and Indicators'!$L$10)*L55</f>
        <v>46.296854799841306</v>
      </c>
      <c r="M56" s="373">
        <f>(M54*'Unit Costs and Indicators'!$L$10)*M55</f>
        <v>46.528339073840506</v>
      </c>
      <c r="N56" s="373">
        <f>(N54*'Unit Costs and Indicators'!$L$10)*N55</f>
        <v>46.760980769209702</v>
      </c>
      <c r="O56" s="373">
        <f>(O54*'Unit Costs and Indicators'!$L$10)*O55</f>
        <v>46.994785673055752</v>
      </c>
      <c r="P56" s="373">
        <f>(P54*'Unit Costs and Indicators'!$L$10)*P55</f>
        <v>47.22975960142103</v>
      </c>
      <c r="Q56" s="373">
        <f>(Q54*'Unit Costs and Indicators'!$L$10)*Q55</f>
        <v>47.46590839942813</v>
      </c>
      <c r="R56" s="373">
        <f>(R54*'Unit Costs and Indicators'!$L$10)*R55</f>
        <v>47.703237941425265</v>
      </c>
      <c r="S56" s="373">
        <f>(S54*'Unit Costs and Indicators'!$L$10)*S55</f>
        <v>47.941754131132377</v>
      </c>
      <c r="T56" s="373">
        <f>(T54*'Unit Costs and Indicators'!$L$10)*T55</f>
        <v>48.181462901788038</v>
      </c>
      <c r="U56" s="373">
        <f>(U54*'Unit Costs and Indicators'!$L$10)*U55</f>
        <v>48.422370216296983</v>
      </c>
      <c r="V56" s="373">
        <f>(V54*'Unit Costs and Indicators'!$L$10)*V55</f>
        <v>48.664482067378458</v>
      </c>
      <c r="W56" s="373">
        <f>(W54*'Unit Costs and Indicators'!$L$10)*W55</f>
        <v>48.907804477715345</v>
      </c>
      <c r="X56" s="373">
        <f>(X54*'Unit Costs and Indicators'!$L$10)*X55</f>
        <v>49.152343500103918</v>
      </c>
      <c r="Y56" s="373">
        <f>(Y54*'Unit Costs and Indicators'!$L$10)*Y55</f>
        <v>49.398105217604432</v>
      </c>
      <c r="Z56" s="373">
        <f>(Z54*'Unit Costs and Indicators'!$L$10)*Z55</f>
        <v>49.645095743692451</v>
      </c>
      <c r="AA56" s="373">
        <f>(AA54*'Unit Costs and Indicators'!$L$10)*AA55</f>
        <v>49.893321222410904</v>
      </c>
      <c r="AB56" s="373">
        <f>(AB54*'Unit Costs and Indicators'!$L$10)*AB55</f>
        <v>50.142787828522955</v>
      </c>
      <c r="AC56" s="373">
        <f>(AC54*'Unit Costs and Indicators'!$L$10)*AC55</f>
        <v>50.393501767665562</v>
      </c>
      <c r="AD56" s="373">
        <f>(AD54*'Unit Costs and Indicators'!$L$10)*AD55</f>
        <v>50.645469276503889</v>
      </c>
      <c r="AE56" s="373">
        <f>(AE54*'Unit Costs and Indicators'!$L$10)*AE55</f>
        <v>50.898696622886398</v>
      </c>
      <c r="AF56" s="373">
        <f>(AF54*'Unit Costs and Indicators'!$L$10)*AF55</f>
        <v>51.153190106000828</v>
      </c>
      <c r="AG56" s="373">
        <f>(AG54*'Unit Costs and Indicators'!$L$10)*AG55</f>
        <v>51.408956056530826</v>
      </c>
      <c r="AH56" s="373">
        <f>(AH54*'Unit Costs and Indicators'!$L$10)*AH55</f>
        <v>51.666000836813474</v>
      </c>
      <c r="AI56" s="373">
        <f>(AI54*'Unit Costs and Indicators'!$L$10)*AI55</f>
        <v>51.666000836813474</v>
      </c>
      <c r="AJ56" s="373">
        <f>(AJ54*'Unit Costs and Indicators'!$L$10)*AJ55</f>
        <v>51.666000836813474</v>
      </c>
      <c r="AK56" s="373">
        <f>(AK54*'Unit Costs and Indicators'!$L$10)*AK55</f>
        <v>51.666000836813474</v>
      </c>
      <c r="AL56" s="373">
        <f>(AL54*'Unit Costs and Indicators'!$L$10)*AL55</f>
        <v>51.666000836813474</v>
      </c>
      <c r="AM56" s="373">
        <f>(AM54*'Unit Costs and Indicators'!$L$10)*AM55</f>
        <v>51.666000836813474</v>
      </c>
      <c r="AN56" s="373">
        <f>(AN54*'Unit Costs and Indicators'!$L$10)*AN55</f>
        <v>51.666000836813474</v>
      </c>
      <c r="AO56" s="373">
        <f>(AO54*'Unit Costs and Indicators'!$L$10)*AO55</f>
        <v>51.666000836813474</v>
      </c>
      <c r="AP56" s="373">
        <f>(AP54*'Unit Costs and Indicators'!$L$10)*AP55</f>
        <v>51.666000836813474</v>
      </c>
      <c r="AQ56" s="373">
        <f>(AQ54*'Unit Costs and Indicators'!$L$10)*AQ55</f>
        <v>51.666000836813474</v>
      </c>
      <c r="AR56" s="373">
        <f>(AR54*'Unit Costs and Indicators'!$L$10)*AR55</f>
        <v>51.666000836813474</v>
      </c>
      <c r="AS56" s="373">
        <f>(AS54*'Unit Costs and Indicators'!$L$10)*AS55</f>
        <v>51.666000836813474</v>
      </c>
      <c r="AT56" s="373">
        <f>(AT54*'Unit Costs and Indicators'!$L$10)*AT55</f>
        <v>51.666000836813474</v>
      </c>
      <c r="AU56" s="373">
        <f>(AU54*'Unit Costs and Indicators'!$L$10)*AU55</f>
        <v>51.666000836813474</v>
      </c>
      <c r="AV56" s="373">
        <f>(AV54*'Unit Costs and Indicators'!$L$10)*AV55</f>
        <v>51.666000836813474</v>
      </c>
      <c r="AW56" s="373">
        <f>(AW54*'Unit Costs and Indicators'!$L$10)*AW55</f>
        <v>51.666000836813474</v>
      </c>
      <c r="AX56" s="373">
        <f>(AX54*'Unit Costs and Indicators'!$L$10)*AX55</f>
        <v>51.666000836813474</v>
      </c>
      <c r="AY56" s="373">
        <f>(AY54*'Unit Costs and Indicators'!$L$10)*AY55</f>
        <v>51.666000836813474</v>
      </c>
      <c r="AZ56" s="373">
        <f>(AZ54*'Unit Costs and Indicators'!$L$10)*AZ55</f>
        <v>51.666000836813474</v>
      </c>
      <c r="BA56" s="373">
        <f>(BA54*'Unit Costs and Indicators'!$L$10)*BA55</f>
        <v>51.666000836813474</v>
      </c>
      <c r="BB56" s="373">
        <f>(BB54*'Unit Costs and Indicators'!$L$10)*BB55</f>
        <v>51.666000836813474</v>
      </c>
      <c r="BC56" s="373">
        <f>(BC54*'Unit Costs and Indicators'!$L$10)*BC55</f>
        <v>51.666000836813474</v>
      </c>
      <c r="BD56" s="373">
        <f>(BD54*'Unit Costs and Indicators'!$L$10)*BD55</f>
        <v>51.666000836813474</v>
      </c>
      <c r="BE56" s="373">
        <f>(BE54*'Unit Costs and Indicators'!$L$10)*BE55</f>
        <v>51.666000836813474</v>
      </c>
      <c r="BF56" s="373">
        <f>(BF54*'Unit Costs and Indicators'!$L$10)*BF55</f>
        <v>51.666000836813474</v>
      </c>
      <c r="BG56" s="373">
        <f>(BG54*'Unit Costs and Indicators'!$L$10)*BG55</f>
        <v>51.666000836813474</v>
      </c>
      <c r="BH56" s="373">
        <f>(BH54*'Unit Costs and Indicators'!$L$10)*BH55</f>
        <v>51.666000836813474</v>
      </c>
      <c r="BI56" s="373">
        <f>(BI54*'Unit Costs and Indicators'!$L$10)*BI55</f>
        <v>51.666000836813474</v>
      </c>
      <c r="BJ56" s="373">
        <f>(BJ54*'Unit Costs and Indicators'!$L$10)*BJ55</f>
        <v>51.666000836813474</v>
      </c>
      <c r="BK56" s="373">
        <f>(BK54*'Unit Costs and Indicators'!$L$10)*BK55</f>
        <v>51.666000836813474</v>
      </c>
      <c r="BL56" s="373">
        <f>(BL54*'Unit Costs and Indicators'!$L$10)*BL55</f>
        <v>51.666000836813474</v>
      </c>
      <c r="BM56" s="373">
        <f>(BM54*'Unit Costs and Indicators'!$L$10)*BM55</f>
        <v>51.666000836813474</v>
      </c>
      <c r="BN56" s="373">
        <f>(BN54*'Unit Costs and Indicators'!$L$10)*BN55</f>
        <v>51.666000836813474</v>
      </c>
      <c r="BO56" s="373">
        <f>(BO54*'Unit Costs and Indicators'!$L$10)*BO55</f>
        <v>51.666000836813474</v>
      </c>
      <c r="BP56" s="373">
        <f>(BP54*'Unit Costs and Indicators'!$L$10)*BP55</f>
        <v>51.666000836813474</v>
      </c>
      <c r="BQ56" s="373">
        <f>(BQ54*'Unit Costs and Indicators'!$L$10)*BQ55</f>
        <v>51.666000836813474</v>
      </c>
      <c r="BR56" s="373">
        <f>(BR54*'Unit Costs and Indicators'!$L$10)*BR55</f>
        <v>51.666000836813474</v>
      </c>
      <c r="BS56" s="373">
        <f>(BS54*'Unit Costs and Indicators'!$L$10)*BS55</f>
        <v>51.666000836813474</v>
      </c>
      <c r="BT56" s="373">
        <f>(BT54*'Unit Costs and Indicators'!$L$10)*BT55</f>
        <v>51.666000836813474</v>
      </c>
      <c r="BU56" s="373">
        <f>(BU54*'Unit Costs and Indicators'!$L$10)*BU55</f>
        <v>51.666000836813474</v>
      </c>
      <c r="BV56" s="373">
        <f>(BV54*'Unit Costs and Indicators'!$L$10)*BV55</f>
        <v>51.666000836813474</v>
      </c>
      <c r="BW56" s="373">
        <f>(BW54*'Unit Costs and Indicators'!$L$10)*BW55</f>
        <v>51.666000836813474</v>
      </c>
      <c r="BX56" s="373">
        <f>(BX54*'Unit Costs and Indicators'!$L$10)*BX55</f>
        <v>51.666000836813474</v>
      </c>
      <c r="BY56" s="373">
        <f>(BY54*'Unit Costs and Indicators'!$L$10)*BY55</f>
        <v>51.666000836813474</v>
      </c>
      <c r="BZ56" s="373">
        <f>(BZ54*'Unit Costs and Indicators'!$L$10)*BZ55</f>
        <v>51.666000836813474</v>
      </c>
      <c r="CA56" s="373">
        <f>(CA54*'Unit Costs and Indicators'!$L$10)*CA55</f>
        <v>51.666000836813474</v>
      </c>
      <c r="CB56" s="373">
        <f>(CB54*'Unit Costs and Indicators'!$L$10)*CB55</f>
        <v>51.666000836813474</v>
      </c>
      <c r="CC56" s="373">
        <f>(CC54*'Unit Costs and Indicators'!$L$10)*CC55</f>
        <v>51.666000836813474</v>
      </c>
      <c r="CD56" s="373">
        <f>(CD54*'Unit Costs and Indicators'!$L$10)*CD55</f>
        <v>51.666000836813474</v>
      </c>
      <c r="CE56" s="373">
        <f>(CE54*'Unit Costs and Indicators'!$L$10)*CE55</f>
        <v>51.666000836813474</v>
      </c>
      <c r="CF56" s="373">
        <f>(CF54*'Unit Costs and Indicators'!$L$10)*CF55</f>
        <v>51.666000836813474</v>
      </c>
      <c r="CG56" s="373">
        <f>(CG54*'Unit Costs and Indicators'!$L$10)*CG55</f>
        <v>51.666000836813474</v>
      </c>
      <c r="CH56" s="373">
        <f>(CH54*'Unit Costs and Indicators'!$L$10)*CH55</f>
        <v>51.666000836813474</v>
      </c>
      <c r="CI56" s="373">
        <f>(CI54*'Unit Costs and Indicators'!$L$10)*CI55</f>
        <v>51.666000836813474</v>
      </c>
      <c r="CJ56" s="373">
        <f>(CJ54*'Unit Costs and Indicators'!$L$10)*CJ55</f>
        <v>51.666000836813474</v>
      </c>
      <c r="CK56" s="373">
        <f>(CK54*'Unit Costs and Indicators'!$L$10)*CK55</f>
        <v>51.666000836813474</v>
      </c>
      <c r="CL56" s="373">
        <f>(CL54*'Unit Costs and Indicators'!$L$10)*CL55</f>
        <v>51.666000836813474</v>
      </c>
      <c r="CM56" s="373">
        <f>(CM54*'Unit Costs and Indicators'!$L$10)*CM55</f>
        <v>51.666000836813474</v>
      </c>
      <c r="CN56" s="373">
        <f>(CN54*'Unit Costs and Indicators'!$L$10)*CN55</f>
        <v>51.666000836813474</v>
      </c>
      <c r="CO56" s="373">
        <f>(CO54*'Unit Costs and Indicators'!$L$10)*CO55</f>
        <v>51.666000836813474</v>
      </c>
      <c r="CP56" s="373">
        <f>(CP54*'Unit Costs and Indicators'!$L$10)*CP55</f>
        <v>51.666000836813474</v>
      </c>
      <c r="CQ56" s="373">
        <f>(CQ54*'Unit Costs and Indicators'!$L$10)*CQ55</f>
        <v>51.666000836813474</v>
      </c>
      <c r="CR56" s="373">
        <f>(CR54*'Unit Costs and Indicators'!$L$10)*CR55</f>
        <v>51.666000836813474</v>
      </c>
      <c r="CS56" s="373">
        <f>(CS54*'Unit Costs and Indicators'!$L$10)*CS55</f>
        <v>51.666000836813474</v>
      </c>
      <c r="CT56" s="373">
        <f>(CT54*'Unit Costs and Indicators'!$L$10)*CT55</f>
        <v>51.666000836813474</v>
      </c>
      <c r="CU56" s="373">
        <f>(CU54*'Unit Costs and Indicators'!$L$10)*CU55</f>
        <v>51.666000836813474</v>
      </c>
      <c r="CV56" s="373">
        <f>(CV54*'Unit Costs and Indicators'!$L$10)*CV55</f>
        <v>51.666000836813474</v>
      </c>
      <c r="CW56" s="373">
        <f>(CW54*'Unit Costs and Indicators'!$L$10)*CW55</f>
        <v>51.666000836813474</v>
      </c>
      <c r="CX56" s="373">
        <f>(CX54*'Unit Costs and Indicators'!$L$10)*CX55</f>
        <v>51.666000836813474</v>
      </c>
      <c r="CY56" s="373">
        <f>(CY54*'Unit Costs and Indicators'!$L$10)*CY55</f>
        <v>51.666000836813474</v>
      </c>
      <c r="CZ56" s="373">
        <f>(CZ54*'Unit Costs and Indicators'!$L$10)*CZ55</f>
        <v>51.666000836813474</v>
      </c>
      <c r="DA56" s="373">
        <f>(DA54*'Unit Costs and Indicators'!$L$10)*DA55</f>
        <v>51.666000836813474</v>
      </c>
      <c r="DB56" s="373">
        <f>(DB54*'Unit Costs and Indicators'!$L$10)*DB55</f>
        <v>51.666000836813474</v>
      </c>
      <c r="DC56" s="373">
        <f>(DC54*'Unit Costs and Indicators'!$L$10)*DC55</f>
        <v>51.666000836813474</v>
      </c>
      <c r="DD56" s="373">
        <f>(DD54*'Unit Costs and Indicators'!$L$10)*DD55</f>
        <v>51.666000836813474</v>
      </c>
      <c r="DE56" s="373">
        <f>(DE54*'Unit Costs and Indicators'!$L$10)*DE55</f>
        <v>51.666000836813474</v>
      </c>
      <c r="DF56" s="301"/>
      <c r="DG56" s="301"/>
      <c r="DH56" s="301"/>
      <c r="DI56" s="301"/>
      <c r="DJ56" s="301"/>
      <c r="DK56" s="301"/>
      <c r="DL56" s="301"/>
    </row>
    <row r="57" spans="1:116" ht="15.75" hidden="1" customHeight="1" outlineLevel="1" x14ac:dyDescent="0.25">
      <c r="A57" s="763"/>
      <c r="B57" s="753"/>
      <c r="C57" s="321" t="s">
        <v>282</v>
      </c>
      <c r="D57" s="279" t="s">
        <v>204</v>
      </c>
      <c r="E57" s="367" t="s">
        <v>283</v>
      </c>
      <c r="F57" s="279"/>
      <c r="G57" s="279" t="s">
        <v>284</v>
      </c>
      <c r="H57" s="281">
        <f>3847</f>
        <v>3847</v>
      </c>
      <c r="I57" s="284">
        <f>H57*(1+('Unit Costs and Indicators'!$D$145/2))</f>
        <v>3847</v>
      </c>
      <c r="J57" s="284">
        <f>I57*(1+('Unit Costs and Indicators'!$D$145/2))</f>
        <v>3847</v>
      </c>
      <c r="K57" s="284">
        <f>J57*(1+('Unit Costs and Indicators'!$D$145/2))</f>
        <v>3847</v>
      </c>
      <c r="L57" s="284">
        <f>K57*(1+('Unit Costs and Indicators'!$D$145/2))</f>
        <v>3847</v>
      </c>
      <c r="M57" s="284">
        <f>L57*(1+('Unit Costs and Indicators'!$D$145/2))</f>
        <v>3847</v>
      </c>
      <c r="N57" s="284">
        <f>M57*(1+('Unit Costs and Indicators'!$D$145/2))</f>
        <v>3847</v>
      </c>
      <c r="O57" s="284">
        <f>N57*(1+('Unit Costs and Indicators'!$D$145/2))</f>
        <v>3847</v>
      </c>
      <c r="P57" s="284">
        <f>O57*(1+('Unit Costs and Indicators'!$D$145/2))</f>
        <v>3847</v>
      </c>
      <c r="Q57" s="284">
        <f>P57*(1+('Unit Costs and Indicators'!$D$145/2))</f>
        <v>3847</v>
      </c>
      <c r="R57" s="284">
        <f>Q57*(1+('Unit Costs and Indicators'!$D$145/2))</f>
        <v>3847</v>
      </c>
      <c r="S57" s="284">
        <f>R57*(1+('Unit Costs and Indicators'!$D$145/2))</f>
        <v>3847</v>
      </c>
      <c r="T57" s="284">
        <f>S57*(1+('Unit Costs and Indicators'!$D$145/2))</f>
        <v>3847</v>
      </c>
      <c r="U57" s="284">
        <f>T57*(1+('Unit Costs and Indicators'!$D$145/2))</f>
        <v>3847</v>
      </c>
      <c r="V57" s="284">
        <f>U57*(1+('Unit Costs and Indicators'!$D$145/2))</f>
        <v>3847</v>
      </c>
      <c r="W57" s="284">
        <f>V57*(1+('Unit Costs and Indicators'!$D$145/2))</f>
        <v>3847</v>
      </c>
      <c r="X57" s="284">
        <f>W57*(1+('Unit Costs and Indicators'!$D$145/2))</f>
        <v>3847</v>
      </c>
      <c r="Y57" s="284">
        <f>X57*(1+('Unit Costs and Indicators'!$D$145/2))</f>
        <v>3847</v>
      </c>
      <c r="Z57" s="284">
        <f>Y57*(1+('Unit Costs and Indicators'!$D$145/2))</f>
        <v>3847</v>
      </c>
      <c r="AA57" s="284">
        <f>Z57*(1+('Unit Costs and Indicators'!$D$145/2))</f>
        <v>3847</v>
      </c>
      <c r="AB57" s="284">
        <f>AA57*(1+('Unit Costs and Indicators'!$D$145/2))</f>
        <v>3847</v>
      </c>
      <c r="AC57" s="284">
        <f>AB57*(1+('Unit Costs and Indicators'!$D$145/2))</f>
        <v>3847</v>
      </c>
      <c r="AD57" s="284">
        <f>AC57*(1+('Unit Costs and Indicators'!$D$145/2))</f>
        <v>3847</v>
      </c>
      <c r="AE57" s="284">
        <f>AD57*(1+('Unit Costs and Indicators'!$D$145/2))</f>
        <v>3847</v>
      </c>
      <c r="AF57" s="284">
        <f>AE57*(1+('Unit Costs and Indicators'!$D$145/2))</f>
        <v>3847</v>
      </c>
      <c r="AG57" s="284">
        <f>AF57*(1+('Unit Costs and Indicators'!$D$145/2))</f>
        <v>3847</v>
      </c>
      <c r="AH57" s="284">
        <f>AG57*(1+('Unit Costs and Indicators'!$D$145/2))</f>
        <v>3847</v>
      </c>
      <c r="AI57" s="284">
        <f>AH57*(1+('Unit Costs and Indicators'!$D$145/2))</f>
        <v>3847</v>
      </c>
      <c r="AJ57" s="284">
        <f>AI57*(1+('Unit Costs and Indicators'!$D$145/2))</f>
        <v>3847</v>
      </c>
      <c r="AK57" s="284">
        <f>AJ57*(1+('Unit Costs and Indicators'!$D$145/2))</f>
        <v>3847</v>
      </c>
      <c r="AL57" s="284">
        <f>AK57*(1+('Unit Costs and Indicators'!$D$145/2))</f>
        <v>3847</v>
      </c>
      <c r="AM57" s="284">
        <f>AL57*(1+('Unit Costs and Indicators'!$D$145/2))</f>
        <v>3847</v>
      </c>
      <c r="AN57" s="284">
        <f>AM57*(1+('Unit Costs and Indicators'!$D$145/2))</f>
        <v>3847</v>
      </c>
      <c r="AO57" s="284">
        <f>AN57*(1+('Unit Costs and Indicators'!$D$145/2))</f>
        <v>3847</v>
      </c>
      <c r="AP57" s="284">
        <f>AO57*(1+('Unit Costs and Indicators'!$D$145/2))</f>
        <v>3847</v>
      </c>
      <c r="AQ57" s="284">
        <f>AP57*(1+('Unit Costs and Indicators'!$D$145/2))</f>
        <v>3847</v>
      </c>
      <c r="AR57" s="284">
        <f>AQ57*(1+('Unit Costs and Indicators'!$D$145/2))</f>
        <v>3847</v>
      </c>
      <c r="AS57" s="284">
        <f>AR57*(1+('Unit Costs and Indicators'!$D$145/2))</f>
        <v>3847</v>
      </c>
      <c r="AT57" s="284">
        <f>AS57*(1+('Unit Costs and Indicators'!$D$145/2))</f>
        <v>3847</v>
      </c>
      <c r="AU57" s="284">
        <f>AT57*(1+('Unit Costs and Indicators'!$D$145/2))</f>
        <v>3847</v>
      </c>
      <c r="AV57" s="284">
        <f>AU57*(1+('Unit Costs and Indicators'!$D$145/2))</f>
        <v>3847</v>
      </c>
      <c r="AW57" s="284">
        <f>AV57*(1+('Unit Costs and Indicators'!$D$145/2))</f>
        <v>3847</v>
      </c>
      <c r="AX57" s="284">
        <f>AW57*(1+('Unit Costs and Indicators'!$D$145/2))</f>
        <v>3847</v>
      </c>
      <c r="AY57" s="284">
        <f>AX57*(1+('Unit Costs and Indicators'!$D$145/2))</f>
        <v>3847</v>
      </c>
      <c r="AZ57" s="284">
        <f>AY57*(1+('Unit Costs and Indicators'!$D$145/2))</f>
        <v>3847</v>
      </c>
      <c r="BA57" s="284">
        <f>AZ57*(1+('Unit Costs and Indicators'!$D$145/2))</f>
        <v>3847</v>
      </c>
      <c r="BB57" s="284">
        <f>BA57*(1+('Unit Costs and Indicators'!$D$145/2))</f>
        <v>3847</v>
      </c>
      <c r="BC57" s="284">
        <f>BB57*(1+('Unit Costs and Indicators'!$D$145/2))</f>
        <v>3847</v>
      </c>
      <c r="BD57" s="284">
        <f>BC57*(1+('Unit Costs and Indicators'!$D$145/2))</f>
        <v>3847</v>
      </c>
      <c r="BE57" s="284">
        <f>BD57*(1+('Unit Costs and Indicators'!$D$145/2))</f>
        <v>3847</v>
      </c>
      <c r="BF57" s="284">
        <f>BE57*(1+('Unit Costs and Indicators'!$D$145/2))</f>
        <v>3847</v>
      </c>
      <c r="BG57" s="284">
        <f>BF57*(1+('Unit Costs and Indicators'!$D$145/2))</f>
        <v>3847</v>
      </c>
      <c r="BH57" s="284">
        <f>BG57*(1+('Unit Costs and Indicators'!$D$145/2))</f>
        <v>3847</v>
      </c>
      <c r="BI57" s="284">
        <f>BH57*(1+('Unit Costs and Indicators'!$D$145/2))</f>
        <v>3847</v>
      </c>
      <c r="BJ57" s="284">
        <f>BI57*(1+('Unit Costs and Indicators'!$D$145/2))</f>
        <v>3847</v>
      </c>
      <c r="BK57" s="284">
        <f>BJ57*(1+('Unit Costs and Indicators'!$D$145/2))</f>
        <v>3847</v>
      </c>
      <c r="BL57" s="284">
        <f>BK57*(1+('Unit Costs and Indicators'!$D$145/2))</f>
        <v>3847</v>
      </c>
      <c r="BM57" s="284">
        <f>BL57*(1+('Unit Costs and Indicators'!$D$145/2))</f>
        <v>3847</v>
      </c>
      <c r="BN57" s="284">
        <f>BM57*(1+('Unit Costs and Indicators'!$D$145/2))</f>
        <v>3847</v>
      </c>
      <c r="BO57" s="284">
        <f>BN57*(1+('Unit Costs and Indicators'!$D$145/2))</f>
        <v>3847</v>
      </c>
      <c r="BP57" s="284">
        <f>BO57*(1+('Unit Costs and Indicators'!$D$145/2))</f>
        <v>3847</v>
      </c>
      <c r="BQ57" s="284">
        <f>BP57*(1+('Unit Costs and Indicators'!$D$145/2))</f>
        <v>3847</v>
      </c>
      <c r="BR57" s="284">
        <f>BQ57*(1+('Unit Costs and Indicators'!$D$145/2))</f>
        <v>3847</v>
      </c>
      <c r="BS57" s="284">
        <f>BR57*(1+('Unit Costs and Indicators'!$D$145/2))</f>
        <v>3847</v>
      </c>
      <c r="BT57" s="284">
        <f>BS57*(1+('Unit Costs and Indicators'!$D$145/2))</f>
        <v>3847</v>
      </c>
      <c r="BU57" s="284">
        <f>BT57*(1+('Unit Costs and Indicators'!$D$145/2))</f>
        <v>3847</v>
      </c>
      <c r="BV57" s="284">
        <f>BU57*(1+('Unit Costs and Indicators'!$D$145/2))</f>
        <v>3847</v>
      </c>
      <c r="BW57" s="284">
        <f>BV57*(1+('Unit Costs and Indicators'!$D$145/2))</f>
        <v>3847</v>
      </c>
      <c r="BX57" s="284">
        <f>BW57*(1+('Unit Costs and Indicators'!$D$145/2))</f>
        <v>3847</v>
      </c>
      <c r="BY57" s="284">
        <f>BX57*(1+('Unit Costs and Indicators'!$D$145/2))</f>
        <v>3847</v>
      </c>
      <c r="BZ57" s="284">
        <f>BY57*(1+('Unit Costs and Indicators'!$D$145/2))</f>
        <v>3847</v>
      </c>
      <c r="CA57" s="284">
        <f>BZ57*(1+('Unit Costs and Indicators'!$D$145/2))</f>
        <v>3847</v>
      </c>
      <c r="CB57" s="284">
        <f>CA57*(1+('Unit Costs and Indicators'!$D$145/2))</f>
        <v>3847</v>
      </c>
      <c r="CC57" s="284">
        <f>CB57*(1+('Unit Costs and Indicators'!$D$145/2))</f>
        <v>3847</v>
      </c>
      <c r="CD57" s="284">
        <f>CC57*(1+('Unit Costs and Indicators'!$D$145/2))</f>
        <v>3847</v>
      </c>
      <c r="CE57" s="284">
        <f>CD57*(1+('Unit Costs and Indicators'!$D$145/2))</f>
        <v>3847</v>
      </c>
      <c r="CF57" s="284">
        <f>CE57*(1+('Unit Costs and Indicators'!$D$145/2))</f>
        <v>3847</v>
      </c>
      <c r="CG57" s="284">
        <f>CF57*(1+('Unit Costs and Indicators'!$D$145/2))</f>
        <v>3847</v>
      </c>
      <c r="CH57" s="284">
        <f>CG57*(1+('Unit Costs and Indicators'!$D$145/2))</f>
        <v>3847</v>
      </c>
      <c r="CI57" s="284">
        <f>CH57*(1+('Unit Costs and Indicators'!$D$145/2))</f>
        <v>3847</v>
      </c>
      <c r="CJ57" s="284">
        <f>CI57*(1+('Unit Costs and Indicators'!$D$145/2))</f>
        <v>3847</v>
      </c>
      <c r="CK57" s="284">
        <f>CJ57*(1+('Unit Costs and Indicators'!$D$145/2))</f>
        <v>3847</v>
      </c>
      <c r="CL57" s="284">
        <f>CK57*(1+('Unit Costs and Indicators'!$D$145/2))</f>
        <v>3847</v>
      </c>
      <c r="CM57" s="284">
        <f>CL57*(1+('Unit Costs and Indicators'!$D$145/2))</f>
        <v>3847</v>
      </c>
      <c r="CN57" s="284">
        <f>CM57*(1+('Unit Costs and Indicators'!$D$145/2))</f>
        <v>3847</v>
      </c>
      <c r="CO57" s="284">
        <f>CN57*(1+('Unit Costs and Indicators'!$D$145/2))</f>
        <v>3847</v>
      </c>
      <c r="CP57" s="284">
        <f>CO57*(1+('Unit Costs and Indicators'!$D$145/2))</f>
        <v>3847</v>
      </c>
      <c r="CQ57" s="284">
        <f>CP57*(1+('Unit Costs and Indicators'!$D$145/2))</f>
        <v>3847</v>
      </c>
      <c r="CR57" s="284">
        <f>CQ57*(1+('Unit Costs and Indicators'!$D$145/2))</f>
        <v>3847</v>
      </c>
      <c r="CS57" s="284">
        <f>CR57*(1+('Unit Costs and Indicators'!$D$145/2))</f>
        <v>3847</v>
      </c>
      <c r="CT57" s="284">
        <f>CS57*(1+('Unit Costs and Indicators'!$D$145/2))</f>
        <v>3847</v>
      </c>
      <c r="CU57" s="284">
        <f>CT57*(1+('Unit Costs and Indicators'!$D$145/2))</f>
        <v>3847</v>
      </c>
      <c r="CV57" s="284">
        <f>CU57*(1+('Unit Costs and Indicators'!$D$145/2))</f>
        <v>3847</v>
      </c>
      <c r="CW57" s="284">
        <f>CV57*(1+('Unit Costs and Indicators'!$D$145/2))</f>
        <v>3847</v>
      </c>
      <c r="CX57" s="284">
        <f>CW57*(1+('Unit Costs and Indicators'!$D$145/2))</f>
        <v>3847</v>
      </c>
      <c r="CY57" s="284">
        <f>CX57*(1+('Unit Costs and Indicators'!$D$145/2))</f>
        <v>3847</v>
      </c>
      <c r="CZ57" s="284">
        <f>CY57*(1+('Unit Costs and Indicators'!$D$145/2))</f>
        <v>3847</v>
      </c>
      <c r="DA57" s="284">
        <f>CZ57*(1+('Unit Costs and Indicators'!$D$145/2))</f>
        <v>3847</v>
      </c>
      <c r="DB57" s="284">
        <f>DA57*(1+('Unit Costs and Indicators'!$D$145/2))</f>
        <v>3847</v>
      </c>
      <c r="DC57" s="284">
        <f>DB57*(1+('Unit Costs and Indicators'!$D$145/2))</f>
        <v>3847</v>
      </c>
      <c r="DD57" s="284">
        <f>DC57*(1+('Unit Costs and Indicators'!$D$145/2))</f>
        <v>3847</v>
      </c>
      <c r="DE57" s="284">
        <f>DD57*(1+('Unit Costs and Indicators'!$D$145/2))</f>
        <v>3847</v>
      </c>
      <c r="DF57" s="284"/>
      <c r="DG57" s="284"/>
      <c r="DH57" s="284"/>
      <c r="DI57" s="284"/>
      <c r="DJ57" s="284"/>
      <c r="DK57" s="284"/>
      <c r="DL57" s="284"/>
    </row>
    <row r="58" spans="1:116" ht="15.75" hidden="1" customHeight="1" outlineLevel="1" x14ac:dyDescent="0.25">
      <c r="A58" s="763"/>
      <c r="B58" s="753"/>
      <c r="C58" s="321" t="s">
        <v>285</v>
      </c>
      <c r="D58" s="279"/>
      <c r="E58" s="280"/>
      <c r="F58" s="279"/>
      <c r="G58" s="279"/>
      <c r="H58" s="325">
        <f>H57*'Unit Costs and Indicators'!$L$10</f>
        <v>0.32198165365779002</v>
      </c>
      <c r="I58" s="326">
        <f>I57*'Unit Costs and Indicators'!$L$10</f>
        <v>0.32198165365779002</v>
      </c>
      <c r="J58" s="326">
        <f>J57*'Unit Costs and Indicators'!$L$10</f>
        <v>0.32198165365779002</v>
      </c>
      <c r="K58" s="326">
        <f>K57*'Unit Costs and Indicators'!$L$10</f>
        <v>0.32198165365779002</v>
      </c>
      <c r="L58" s="326">
        <f>L57*'Unit Costs and Indicators'!$L$10</f>
        <v>0.32198165365779002</v>
      </c>
      <c r="M58" s="326">
        <f>M57*'Unit Costs and Indicators'!$L$10</f>
        <v>0.32198165365779002</v>
      </c>
      <c r="N58" s="326">
        <f>N57*'Unit Costs and Indicators'!$L$10</f>
        <v>0.32198165365779002</v>
      </c>
      <c r="O58" s="326">
        <f>O57*'Unit Costs and Indicators'!$L$10</f>
        <v>0.32198165365779002</v>
      </c>
      <c r="P58" s="326">
        <f>P57*'Unit Costs and Indicators'!$L$10</f>
        <v>0.32198165365779002</v>
      </c>
      <c r="Q58" s="326">
        <f>Q57*'Unit Costs and Indicators'!$L$10</f>
        <v>0.32198165365779002</v>
      </c>
      <c r="R58" s="326">
        <f>R57*'Unit Costs and Indicators'!$L$10</f>
        <v>0.32198165365779002</v>
      </c>
      <c r="S58" s="326">
        <f>S57*'Unit Costs and Indicators'!$L$10</f>
        <v>0.32198165365779002</v>
      </c>
      <c r="T58" s="326">
        <f>T57*'Unit Costs and Indicators'!$L$10</f>
        <v>0.32198165365779002</v>
      </c>
      <c r="U58" s="326">
        <f>U57*'Unit Costs and Indicators'!$L$10</f>
        <v>0.32198165365779002</v>
      </c>
      <c r="V58" s="326">
        <f>V57*'Unit Costs and Indicators'!$L$10</f>
        <v>0.32198165365779002</v>
      </c>
      <c r="W58" s="326">
        <f>W57*'Unit Costs and Indicators'!$L$10</f>
        <v>0.32198165365779002</v>
      </c>
      <c r="X58" s="326">
        <f>X57*'Unit Costs and Indicators'!$L$10</f>
        <v>0.32198165365779002</v>
      </c>
      <c r="Y58" s="326">
        <f>Y57*'Unit Costs and Indicators'!$L$10</f>
        <v>0.32198165365779002</v>
      </c>
      <c r="Z58" s="326">
        <f>Z57*'Unit Costs and Indicators'!$L$10</f>
        <v>0.32198165365779002</v>
      </c>
      <c r="AA58" s="326">
        <f>AA57*'Unit Costs and Indicators'!$L$10</f>
        <v>0.32198165365779002</v>
      </c>
      <c r="AB58" s="326">
        <f>AB57*'Unit Costs and Indicators'!$L$10</f>
        <v>0.32198165365779002</v>
      </c>
      <c r="AC58" s="326">
        <f>AC57*'Unit Costs and Indicators'!$L$10</f>
        <v>0.32198165365779002</v>
      </c>
      <c r="AD58" s="326">
        <f>AD57*'Unit Costs and Indicators'!$L$10</f>
        <v>0.32198165365779002</v>
      </c>
      <c r="AE58" s="326">
        <f>AE57*'Unit Costs and Indicators'!$L$10</f>
        <v>0.32198165365779002</v>
      </c>
      <c r="AF58" s="326">
        <f>AF57*'Unit Costs and Indicators'!$L$10</f>
        <v>0.32198165365779002</v>
      </c>
      <c r="AG58" s="326">
        <f>AG57*'Unit Costs and Indicators'!$L$10</f>
        <v>0.32198165365779002</v>
      </c>
      <c r="AH58" s="326">
        <f>AH57*'Unit Costs and Indicators'!$L$10</f>
        <v>0.32198165365779002</v>
      </c>
      <c r="AI58" s="326">
        <f>AI57*'Unit Costs and Indicators'!$L$10</f>
        <v>0.32198165365779002</v>
      </c>
      <c r="AJ58" s="326">
        <f>AJ57*'Unit Costs and Indicators'!$L$10</f>
        <v>0.32198165365779002</v>
      </c>
      <c r="AK58" s="326">
        <f>AK57*'Unit Costs and Indicators'!$L$10</f>
        <v>0.32198165365779002</v>
      </c>
      <c r="AL58" s="326">
        <f>AL57*'Unit Costs and Indicators'!$L$10</f>
        <v>0.32198165365779002</v>
      </c>
      <c r="AM58" s="326">
        <f>AM57*'Unit Costs and Indicators'!$L$10</f>
        <v>0.32198165365779002</v>
      </c>
      <c r="AN58" s="326">
        <f>AN57*'Unit Costs and Indicators'!$L$10</f>
        <v>0.32198165365779002</v>
      </c>
      <c r="AO58" s="326">
        <f>AO57*'Unit Costs and Indicators'!$L$10</f>
        <v>0.32198165365779002</v>
      </c>
      <c r="AP58" s="326">
        <f>AP57*'Unit Costs and Indicators'!$L$10</f>
        <v>0.32198165365779002</v>
      </c>
      <c r="AQ58" s="326">
        <f>AQ57*'Unit Costs and Indicators'!$L$10</f>
        <v>0.32198165365779002</v>
      </c>
      <c r="AR58" s="326">
        <f>AR57*'Unit Costs and Indicators'!$L$10</f>
        <v>0.32198165365779002</v>
      </c>
      <c r="AS58" s="326">
        <f>AS57*'Unit Costs and Indicators'!$L$10</f>
        <v>0.32198165365779002</v>
      </c>
      <c r="AT58" s="326">
        <f>AT57*'Unit Costs and Indicators'!$L$10</f>
        <v>0.32198165365779002</v>
      </c>
      <c r="AU58" s="326">
        <f>AU57*'Unit Costs and Indicators'!$L$10</f>
        <v>0.32198165365779002</v>
      </c>
      <c r="AV58" s="326">
        <f>AV57*'Unit Costs and Indicators'!$L$10</f>
        <v>0.32198165365779002</v>
      </c>
      <c r="AW58" s="326">
        <f>AW57*'Unit Costs and Indicators'!$L$10</f>
        <v>0.32198165365779002</v>
      </c>
      <c r="AX58" s="326">
        <f>AX57*'Unit Costs and Indicators'!$L$10</f>
        <v>0.32198165365779002</v>
      </c>
      <c r="AY58" s="326">
        <f>AY57*'Unit Costs and Indicators'!$L$10</f>
        <v>0.32198165365779002</v>
      </c>
      <c r="AZ58" s="326">
        <f>AZ57*'Unit Costs and Indicators'!$L$10</f>
        <v>0.32198165365779002</v>
      </c>
      <c r="BA58" s="326">
        <f>BA57*'Unit Costs and Indicators'!$L$10</f>
        <v>0.32198165365779002</v>
      </c>
      <c r="BB58" s="326">
        <f>BB57*'Unit Costs and Indicators'!$L$10</f>
        <v>0.32198165365779002</v>
      </c>
      <c r="BC58" s="326">
        <f>BC57*'Unit Costs and Indicators'!$L$10</f>
        <v>0.32198165365779002</v>
      </c>
      <c r="BD58" s="326">
        <f>BD57*'Unit Costs and Indicators'!$L$10</f>
        <v>0.32198165365779002</v>
      </c>
      <c r="BE58" s="326">
        <f>BE57*'Unit Costs and Indicators'!$L$10</f>
        <v>0.32198165365779002</v>
      </c>
      <c r="BF58" s="326">
        <f>BF57*'Unit Costs and Indicators'!$L$10</f>
        <v>0.32198165365779002</v>
      </c>
      <c r="BG58" s="326">
        <f>BG57*'Unit Costs and Indicators'!$L$10</f>
        <v>0.32198165365779002</v>
      </c>
      <c r="BH58" s="326">
        <f>BH57*'Unit Costs and Indicators'!$L$10</f>
        <v>0.32198165365779002</v>
      </c>
      <c r="BI58" s="326">
        <f>BI57*'Unit Costs and Indicators'!$L$10</f>
        <v>0.32198165365779002</v>
      </c>
      <c r="BJ58" s="326">
        <f>BJ57*'Unit Costs and Indicators'!$L$10</f>
        <v>0.32198165365779002</v>
      </c>
      <c r="BK58" s="326">
        <f>BK57*'Unit Costs and Indicators'!$L$10</f>
        <v>0.32198165365779002</v>
      </c>
      <c r="BL58" s="326">
        <f>BL57*'Unit Costs and Indicators'!$L$10</f>
        <v>0.32198165365779002</v>
      </c>
      <c r="BM58" s="326">
        <f>BM57*'Unit Costs and Indicators'!$L$10</f>
        <v>0.32198165365779002</v>
      </c>
      <c r="BN58" s="326">
        <f>BN57*'Unit Costs and Indicators'!$L$10</f>
        <v>0.32198165365779002</v>
      </c>
      <c r="BO58" s="326">
        <f>BO57*'Unit Costs and Indicators'!$L$10</f>
        <v>0.32198165365779002</v>
      </c>
      <c r="BP58" s="326">
        <f>BP57*'Unit Costs and Indicators'!$L$10</f>
        <v>0.32198165365779002</v>
      </c>
      <c r="BQ58" s="326">
        <f>BQ57*'Unit Costs and Indicators'!$L$10</f>
        <v>0.32198165365779002</v>
      </c>
      <c r="BR58" s="326">
        <f>BR57*'Unit Costs and Indicators'!$L$10</f>
        <v>0.32198165365779002</v>
      </c>
      <c r="BS58" s="326">
        <f>BS57*'Unit Costs and Indicators'!$L$10</f>
        <v>0.32198165365779002</v>
      </c>
      <c r="BT58" s="326">
        <f>BT57*'Unit Costs and Indicators'!$L$10</f>
        <v>0.32198165365779002</v>
      </c>
      <c r="BU58" s="326">
        <f>BU57*'Unit Costs and Indicators'!$L$10</f>
        <v>0.32198165365779002</v>
      </c>
      <c r="BV58" s="326">
        <f>BV57*'Unit Costs and Indicators'!$L$10</f>
        <v>0.32198165365779002</v>
      </c>
      <c r="BW58" s="326">
        <f>BW57*'Unit Costs and Indicators'!$L$10</f>
        <v>0.32198165365779002</v>
      </c>
      <c r="BX58" s="326">
        <f>BX57*'Unit Costs and Indicators'!$L$10</f>
        <v>0.32198165365779002</v>
      </c>
      <c r="BY58" s="326">
        <f>BY57*'Unit Costs and Indicators'!$L$10</f>
        <v>0.32198165365779002</v>
      </c>
      <c r="BZ58" s="326">
        <f>BZ57*'Unit Costs and Indicators'!$L$10</f>
        <v>0.32198165365779002</v>
      </c>
      <c r="CA58" s="326">
        <f>CA57*'Unit Costs and Indicators'!$L$10</f>
        <v>0.32198165365779002</v>
      </c>
      <c r="CB58" s="326">
        <f>CB57*'Unit Costs and Indicators'!$L$10</f>
        <v>0.32198165365779002</v>
      </c>
      <c r="CC58" s="326">
        <f>CC57*'Unit Costs and Indicators'!$L$10</f>
        <v>0.32198165365779002</v>
      </c>
      <c r="CD58" s="326">
        <f>CD57*'Unit Costs and Indicators'!$L$10</f>
        <v>0.32198165365779002</v>
      </c>
      <c r="CE58" s="326">
        <f>CE57*'Unit Costs and Indicators'!$L$10</f>
        <v>0.32198165365779002</v>
      </c>
      <c r="CF58" s="326">
        <f>CF57*'Unit Costs and Indicators'!$L$10</f>
        <v>0.32198165365779002</v>
      </c>
      <c r="CG58" s="326">
        <f>CG57*'Unit Costs and Indicators'!$L$10</f>
        <v>0.32198165365779002</v>
      </c>
      <c r="CH58" s="326">
        <f>CH57*'Unit Costs and Indicators'!$L$10</f>
        <v>0.32198165365779002</v>
      </c>
      <c r="CI58" s="326">
        <f>CI57*'Unit Costs and Indicators'!$L$10</f>
        <v>0.32198165365779002</v>
      </c>
      <c r="CJ58" s="326">
        <f>CJ57*'Unit Costs and Indicators'!$L$10</f>
        <v>0.32198165365779002</v>
      </c>
      <c r="CK58" s="326">
        <f>CK57*'Unit Costs and Indicators'!$L$10</f>
        <v>0.32198165365779002</v>
      </c>
      <c r="CL58" s="326">
        <f>CL57*'Unit Costs and Indicators'!$L$10</f>
        <v>0.32198165365779002</v>
      </c>
      <c r="CM58" s="326">
        <f>CM57*'Unit Costs and Indicators'!$L$10</f>
        <v>0.32198165365779002</v>
      </c>
      <c r="CN58" s="326">
        <f>CN57*'Unit Costs and Indicators'!$L$10</f>
        <v>0.32198165365779002</v>
      </c>
      <c r="CO58" s="326">
        <f>CO57*'Unit Costs and Indicators'!$L$10</f>
        <v>0.32198165365779002</v>
      </c>
      <c r="CP58" s="326">
        <f>CP57*'Unit Costs and Indicators'!$L$10</f>
        <v>0.32198165365779002</v>
      </c>
      <c r="CQ58" s="326">
        <f>CQ57*'Unit Costs and Indicators'!$L$10</f>
        <v>0.32198165365779002</v>
      </c>
      <c r="CR58" s="326">
        <f>CR57*'Unit Costs and Indicators'!$L$10</f>
        <v>0.32198165365779002</v>
      </c>
      <c r="CS58" s="326">
        <f>CS57*'Unit Costs and Indicators'!$L$10</f>
        <v>0.32198165365779002</v>
      </c>
      <c r="CT58" s="326">
        <f>CT57*'Unit Costs and Indicators'!$L$10</f>
        <v>0.32198165365779002</v>
      </c>
      <c r="CU58" s="326">
        <f>CU57*'Unit Costs and Indicators'!$L$10</f>
        <v>0.32198165365779002</v>
      </c>
      <c r="CV58" s="326">
        <f>CV57*'Unit Costs and Indicators'!$L$10</f>
        <v>0.32198165365779002</v>
      </c>
      <c r="CW58" s="326">
        <f>CW57*'Unit Costs and Indicators'!$L$10</f>
        <v>0.32198165365779002</v>
      </c>
      <c r="CX58" s="326">
        <f>CX57*'Unit Costs and Indicators'!$L$10</f>
        <v>0.32198165365779002</v>
      </c>
      <c r="CY58" s="326">
        <f>CY57*'Unit Costs and Indicators'!$L$10</f>
        <v>0.32198165365779002</v>
      </c>
      <c r="CZ58" s="326">
        <f>CZ57*'Unit Costs and Indicators'!$L$10</f>
        <v>0.32198165365779002</v>
      </c>
      <c r="DA58" s="326">
        <f>DA57*'Unit Costs and Indicators'!$L$10</f>
        <v>0.32198165365779002</v>
      </c>
      <c r="DB58" s="326">
        <f>DB57*'Unit Costs and Indicators'!$L$10</f>
        <v>0.32198165365779002</v>
      </c>
      <c r="DC58" s="326">
        <f>DC57*'Unit Costs and Indicators'!$L$10</f>
        <v>0.32198165365779002</v>
      </c>
      <c r="DD58" s="326">
        <f>DD57*'Unit Costs and Indicators'!$L$10</f>
        <v>0.32198165365779002</v>
      </c>
      <c r="DE58" s="326">
        <f>DE57*'Unit Costs and Indicators'!$L$10</f>
        <v>0.32198165365779002</v>
      </c>
      <c r="DF58" s="326"/>
      <c r="DG58" s="326"/>
      <c r="DH58" s="326"/>
      <c r="DI58" s="326"/>
      <c r="DJ58" s="326"/>
      <c r="DK58" s="326"/>
      <c r="DL58" s="326"/>
    </row>
    <row r="59" spans="1:116" ht="15.75" hidden="1" customHeight="1" outlineLevel="1" x14ac:dyDescent="0.25">
      <c r="A59" s="763"/>
      <c r="B59" s="753"/>
      <c r="C59" s="4" t="s">
        <v>286</v>
      </c>
      <c r="D59" s="3"/>
      <c r="E59" s="305"/>
      <c r="F59" s="3"/>
      <c r="G59" s="389" t="s">
        <v>287</v>
      </c>
      <c r="H59" s="42">
        <f>H54/'Unit Costs and Indicators'!$K$4</f>
        <v>5.6091302806109216E-6</v>
      </c>
      <c r="I59" s="4">
        <f>I54/'Unit Costs and Indicators'!$K$4</f>
        <v>5.6371759320139756E-6</v>
      </c>
      <c r="J59" s="4">
        <f>J54/'Unit Costs and Indicators'!$K$4</f>
        <v>5.6653618116740456E-6</v>
      </c>
      <c r="K59" s="4">
        <f>K54/'Unit Costs and Indicators'!$K$4</f>
        <v>5.693688620732415E-6</v>
      </c>
      <c r="L59" s="4">
        <f>L54/'Unit Costs and Indicators'!$K$4</f>
        <v>5.7221570638360764E-6</v>
      </c>
      <c r="M59" s="4">
        <f>M54/'Unit Costs and Indicators'!$K$4</f>
        <v>5.7507678491552559E-6</v>
      </c>
      <c r="N59" s="4">
        <f>N54/'Unit Costs and Indicators'!$K$4</f>
        <v>5.7795216884010322E-6</v>
      </c>
      <c r="O59" s="4">
        <f>O54/'Unit Costs and Indicators'!$K$4</f>
        <v>5.8084192968430365E-6</v>
      </c>
      <c r="P59" s="4">
        <f>P54/'Unit Costs and Indicators'!$K$4</f>
        <v>5.8374613933272508E-6</v>
      </c>
      <c r="Q59" s="4">
        <f>Q54/'Unit Costs and Indicators'!$K$4</f>
        <v>5.8666487002938865E-6</v>
      </c>
      <c r="R59" s="4">
        <f>R54/'Unit Costs and Indicators'!$K$4</f>
        <v>5.8959819437953557E-6</v>
      </c>
      <c r="S59" s="4">
        <f>S54/'Unit Costs and Indicators'!$K$4</f>
        <v>5.9254618535143318E-6</v>
      </c>
      <c r="T59" s="4">
        <f>T54/'Unit Costs and Indicators'!$K$4</f>
        <v>5.9550891627819031E-6</v>
      </c>
      <c r="U59" s="4">
        <f>U54/'Unit Costs and Indicators'!$K$4</f>
        <v>5.9848646085958119E-6</v>
      </c>
      <c r="V59" s="4">
        <f>V54/'Unit Costs and Indicators'!$K$4</f>
        <v>6.0147889316387909E-6</v>
      </c>
      <c r="W59" s="4">
        <f>W54/'Unit Costs and Indicators'!$K$4</f>
        <v>6.0448628762969841E-6</v>
      </c>
      <c r="X59" s="4">
        <f>X54/'Unit Costs and Indicators'!$K$4</f>
        <v>6.0750871906784683E-6</v>
      </c>
      <c r="Y59" s="4">
        <f>Y54/'Unit Costs and Indicators'!$K$4</f>
        <v>6.1054626266318595E-6</v>
      </c>
      <c r="Z59" s="4">
        <f>Z54/'Unit Costs and Indicators'!$K$4</f>
        <v>6.1359899397650184E-6</v>
      </c>
      <c r="AA59" s="4">
        <f>AA54/'Unit Costs and Indicators'!$K$4</f>
        <v>6.166669889463843E-6</v>
      </c>
      <c r="AB59" s="4">
        <f>AB54/'Unit Costs and Indicators'!$K$4</f>
        <v>6.1975032389111614E-6</v>
      </c>
      <c r="AC59" s="4">
        <f>AC54/'Unit Costs and Indicators'!$K$4</f>
        <v>6.2284907551057167E-6</v>
      </c>
      <c r="AD59" s="4">
        <f>AD54/'Unit Costs and Indicators'!$K$4</f>
        <v>6.2596332088812441E-6</v>
      </c>
      <c r="AE59" s="4">
        <f>AE54/'Unit Costs and Indicators'!$K$4</f>
        <v>6.2909313749256502E-6</v>
      </c>
      <c r="AF59" s="4">
        <f>AF54/'Unit Costs and Indicators'!$K$4</f>
        <v>6.3223860318002781E-6</v>
      </c>
      <c r="AG59" s="4">
        <f>AG54/'Unit Costs and Indicators'!$K$4</f>
        <v>6.3539979619592786E-6</v>
      </c>
      <c r="AH59" s="4">
        <f>AH54/'Unit Costs and Indicators'!$K$4</f>
        <v>6.385767951769074E-6</v>
      </c>
      <c r="AI59" s="4">
        <f>AI54/'Unit Costs and Indicators'!$K$4</f>
        <v>6.385767951769074E-6</v>
      </c>
      <c r="AJ59" s="4">
        <f>AJ54/'Unit Costs and Indicators'!$K$4</f>
        <v>6.385767951769074E-6</v>
      </c>
      <c r="AK59" s="4">
        <f>AK54/'Unit Costs and Indicators'!$K$4</f>
        <v>6.385767951769074E-6</v>
      </c>
      <c r="AL59" s="4">
        <f>AL54/'Unit Costs and Indicators'!$K$4</f>
        <v>6.385767951769074E-6</v>
      </c>
      <c r="AM59" s="4">
        <f>AM54/'Unit Costs and Indicators'!$K$4</f>
        <v>6.385767951769074E-6</v>
      </c>
      <c r="AN59" s="4">
        <f>AN54/'Unit Costs and Indicators'!$K$4</f>
        <v>6.385767951769074E-6</v>
      </c>
      <c r="AO59" s="4">
        <f>AO54/'Unit Costs and Indicators'!$K$4</f>
        <v>6.385767951769074E-6</v>
      </c>
      <c r="AP59" s="4">
        <f>AP54/'Unit Costs and Indicators'!$K$4</f>
        <v>6.385767951769074E-6</v>
      </c>
      <c r="AQ59" s="4">
        <f>AQ54/'Unit Costs and Indicators'!$K$4</f>
        <v>6.385767951769074E-6</v>
      </c>
      <c r="AR59" s="4">
        <f>AR54/'Unit Costs and Indicators'!$K$4</f>
        <v>6.385767951769074E-6</v>
      </c>
      <c r="AS59" s="4">
        <f>AS54/'Unit Costs and Indicators'!$K$4</f>
        <v>6.385767951769074E-6</v>
      </c>
      <c r="AT59" s="4">
        <f>AT54/'Unit Costs and Indicators'!$K$4</f>
        <v>6.385767951769074E-6</v>
      </c>
      <c r="AU59" s="4">
        <f>AU54/'Unit Costs and Indicators'!$K$4</f>
        <v>6.385767951769074E-6</v>
      </c>
      <c r="AV59" s="4">
        <f>AV54/'Unit Costs and Indicators'!$K$4</f>
        <v>6.385767951769074E-6</v>
      </c>
      <c r="AW59" s="4">
        <f>AW54/'Unit Costs and Indicators'!$K$4</f>
        <v>6.385767951769074E-6</v>
      </c>
      <c r="AX59" s="4">
        <f>AX54/'Unit Costs and Indicators'!$K$4</f>
        <v>6.385767951769074E-6</v>
      </c>
      <c r="AY59" s="4">
        <f>AY54/'Unit Costs and Indicators'!$K$4</f>
        <v>6.385767951769074E-6</v>
      </c>
      <c r="AZ59" s="4">
        <f>AZ54/'Unit Costs and Indicators'!$K$4</f>
        <v>6.385767951769074E-6</v>
      </c>
      <c r="BA59" s="4">
        <f>BA54/'Unit Costs and Indicators'!$K$4</f>
        <v>6.385767951769074E-6</v>
      </c>
      <c r="BB59" s="4">
        <f>BB54/'Unit Costs and Indicators'!$K$4</f>
        <v>6.385767951769074E-6</v>
      </c>
      <c r="BC59" s="4">
        <f>BC54/'Unit Costs and Indicators'!$K$4</f>
        <v>6.385767951769074E-6</v>
      </c>
      <c r="BD59" s="4">
        <f>BD54/'Unit Costs and Indicators'!$K$4</f>
        <v>6.385767951769074E-6</v>
      </c>
      <c r="BE59" s="4">
        <f>BE54/'Unit Costs and Indicators'!$K$4</f>
        <v>6.385767951769074E-6</v>
      </c>
      <c r="BF59" s="4">
        <f>BF54/'Unit Costs and Indicators'!$K$4</f>
        <v>6.385767951769074E-6</v>
      </c>
      <c r="BG59" s="4">
        <f>BG54/'Unit Costs and Indicators'!$K$4</f>
        <v>6.385767951769074E-6</v>
      </c>
      <c r="BH59" s="4">
        <f>BH54/'Unit Costs and Indicators'!$K$4</f>
        <v>6.385767951769074E-6</v>
      </c>
      <c r="BI59" s="4">
        <f>BI54/'Unit Costs and Indicators'!$K$4</f>
        <v>6.385767951769074E-6</v>
      </c>
      <c r="BJ59" s="4">
        <f>BJ54/'Unit Costs and Indicators'!$K$4</f>
        <v>6.385767951769074E-6</v>
      </c>
      <c r="BK59" s="4">
        <f>BK54/'Unit Costs and Indicators'!$K$4</f>
        <v>6.385767951769074E-6</v>
      </c>
      <c r="BL59" s="4">
        <f>BL54/'Unit Costs and Indicators'!$K$4</f>
        <v>6.385767951769074E-6</v>
      </c>
      <c r="BM59" s="4">
        <f>BM54/'Unit Costs and Indicators'!$K$4</f>
        <v>6.385767951769074E-6</v>
      </c>
      <c r="BN59" s="4">
        <f>BN54/'Unit Costs and Indicators'!$K$4</f>
        <v>6.385767951769074E-6</v>
      </c>
      <c r="BO59" s="4">
        <f>BO54/'Unit Costs and Indicators'!$K$4</f>
        <v>6.385767951769074E-6</v>
      </c>
      <c r="BP59" s="4">
        <f>BP54/'Unit Costs and Indicators'!$K$4</f>
        <v>6.385767951769074E-6</v>
      </c>
      <c r="BQ59" s="4">
        <f>BQ54/'Unit Costs and Indicators'!$K$4</f>
        <v>6.385767951769074E-6</v>
      </c>
      <c r="BR59" s="4">
        <f>BR54/'Unit Costs and Indicators'!$K$4</f>
        <v>6.385767951769074E-6</v>
      </c>
      <c r="BS59" s="4">
        <f>BS54/'Unit Costs and Indicators'!$K$4</f>
        <v>6.385767951769074E-6</v>
      </c>
      <c r="BT59" s="4">
        <f>BT54/'Unit Costs and Indicators'!$K$4</f>
        <v>6.385767951769074E-6</v>
      </c>
      <c r="BU59" s="4">
        <f>BU54/'Unit Costs and Indicators'!$K$4</f>
        <v>6.385767951769074E-6</v>
      </c>
      <c r="BV59" s="4">
        <f>BV54/'Unit Costs and Indicators'!$K$4</f>
        <v>6.385767951769074E-6</v>
      </c>
      <c r="BW59" s="4">
        <f>BW54/'Unit Costs and Indicators'!$K$4</f>
        <v>6.385767951769074E-6</v>
      </c>
      <c r="BX59" s="4">
        <f>BX54/'Unit Costs and Indicators'!$K$4</f>
        <v>6.385767951769074E-6</v>
      </c>
      <c r="BY59" s="4">
        <f>BY54/'Unit Costs and Indicators'!$K$4</f>
        <v>6.385767951769074E-6</v>
      </c>
      <c r="BZ59" s="4">
        <f>BZ54/'Unit Costs and Indicators'!$K$4</f>
        <v>6.385767951769074E-6</v>
      </c>
      <c r="CA59" s="4">
        <f>CA54/'Unit Costs and Indicators'!$K$4</f>
        <v>6.385767951769074E-6</v>
      </c>
      <c r="CB59" s="4">
        <f>CB54/'Unit Costs and Indicators'!$K$4</f>
        <v>6.385767951769074E-6</v>
      </c>
      <c r="CC59" s="4">
        <f>CC54/'Unit Costs and Indicators'!$K$4</f>
        <v>6.385767951769074E-6</v>
      </c>
      <c r="CD59" s="4">
        <f>CD54/'Unit Costs and Indicators'!$K$4</f>
        <v>6.385767951769074E-6</v>
      </c>
      <c r="CE59" s="4">
        <f>CE54/'Unit Costs and Indicators'!$K$4</f>
        <v>6.385767951769074E-6</v>
      </c>
      <c r="CF59" s="4">
        <f>CF54/'Unit Costs and Indicators'!$K$4</f>
        <v>6.385767951769074E-6</v>
      </c>
      <c r="CG59" s="4">
        <f>CG54/'Unit Costs and Indicators'!$K$4</f>
        <v>6.385767951769074E-6</v>
      </c>
      <c r="CH59" s="4">
        <f>CH54/'Unit Costs and Indicators'!$K$4</f>
        <v>6.385767951769074E-6</v>
      </c>
      <c r="CI59" s="4">
        <f>CI54/'Unit Costs and Indicators'!$K$4</f>
        <v>6.385767951769074E-6</v>
      </c>
      <c r="CJ59" s="4">
        <f>CJ54/'Unit Costs and Indicators'!$K$4</f>
        <v>6.385767951769074E-6</v>
      </c>
      <c r="CK59" s="4">
        <f>CK54/'Unit Costs and Indicators'!$K$4</f>
        <v>6.385767951769074E-6</v>
      </c>
      <c r="CL59" s="4">
        <f>CL54/'Unit Costs and Indicators'!$K$4</f>
        <v>6.385767951769074E-6</v>
      </c>
      <c r="CM59" s="4">
        <f>CM54/'Unit Costs and Indicators'!$K$4</f>
        <v>6.385767951769074E-6</v>
      </c>
      <c r="CN59" s="4">
        <f>CN54/'Unit Costs and Indicators'!$K$4</f>
        <v>6.385767951769074E-6</v>
      </c>
      <c r="CO59" s="4">
        <f>CO54/'Unit Costs and Indicators'!$K$4</f>
        <v>6.385767951769074E-6</v>
      </c>
      <c r="CP59" s="4">
        <f>CP54/'Unit Costs and Indicators'!$K$4</f>
        <v>6.385767951769074E-6</v>
      </c>
      <c r="CQ59" s="4">
        <f>CQ54/'Unit Costs and Indicators'!$K$4</f>
        <v>6.385767951769074E-6</v>
      </c>
      <c r="CR59" s="4">
        <f>CR54/'Unit Costs and Indicators'!$K$4</f>
        <v>6.385767951769074E-6</v>
      </c>
      <c r="CS59" s="4">
        <f>CS54/'Unit Costs and Indicators'!$K$4</f>
        <v>6.385767951769074E-6</v>
      </c>
      <c r="CT59" s="4">
        <f>CT54/'Unit Costs and Indicators'!$K$4</f>
        <v>6.385767951769074E-6</v>
      </c>
      <c r="CU59" s="4">
        <f>CU54/'Unit Costs and Indicators'!$K$4</f>
        <v>6.385767951769074E-6</v>
      </c>
      <c r="CV59" s="4">
        <f>CV54/'Unit Costs and Indicators'!$K$4</f>
        <v>6.385767951769074E-6</v>
      </c>
      <c r="CW59" s="4">
        <f>CW54/'Unit Costs and Indicators'!$K$4</f>
        <v>6.385767951769074E-6</v>
      </c>
      <c r="CX59" s="4">
        <f>CX54/'Unit Costs and Indicators'!$K$4</f>
        <v>6.385767951769074E-6</v>
      </c>
      <c r="CY59" s="4">
        <f>CY54/'Unit Costs and Indicators'!$K$4</f>
        <v>6.385767951769074E-6</v>
      </c>
      <c r="CZ59" s="4">
        <f>CZ54/'Unit Costs and Indicators'!$K$4</f>
        <v>6.385767951769074E-6</v>
      </c>
      <c r="DA59" s="4">
        <f>DA54/'Unit Costs and Indicators'!$K$4</f>
        <v>6.385767951769074E-6</v>
      </c>
      <c r="DB59" s="4">
        <f>DB54/'Unit Costs and Indicators'!$K$4</f>
        <v>6.385767951769074E-6</v>
      </c>
      <c r="DC59" s="4">
        <f>DC54/'Unit Costs and Indicators'!$K$4</f>
        <v>6.385767951769074E-6</v>
      </c>
      <c r="DD59" s="4">
        <f>DD54/'Unit Costs and Indicators'!$K$4</f>
        <v>6.385767951769074E-6</v>
      </c>
      <c r="DE59" s="4">
        <f>DE54/'Unit Costs and Indicators'!$K$4</f>
        <v>6.385767951769074E-6</v>
      </c>
      <c r="DF59" s="3"/>
      <c r="DG59" s="3"/>
      <c r="DH59" s="3"/>
      <c r="DI59" s="3"/>
      <c r="DJ59" s="3"/>
      <c r="DK59" s="3"/>
      <c r="DL59" s="3"/>
    </row>
    <row r="60" spans="1:116" ht="15.75" hidden="1" customHeight="1" outlineLevel="1" x14ac:dyDescent="0.25">
      <c r="A60" s="763"/>
      <c r="B60" s="753"/>
      <c r="C60" s="321" t="s">
        <v>288</v>
      </c>
      <c r="D60" s="279" t="s">
        <v>289</v>
      </c>
      <c r="E60" s="280"/>
      <c r="F60" s="284"/>
      <c r="G60" s="290">
        <v>1.9</v>
      </c>
      <c r="H60" s="42">
        <f t="shared" ref="H60:DE60" si="26">H58*$G$60</f>
        <v>0.61176514194980103</v>
      </c>
      <c r="I60" s="4">
        <f t="shared" si="26"/>
        <v>0.61176514194980103</v>
      </c>
      <c r="J60" s="4">
        <f t="shared" si="26"/>
        <v>0.61176514194980103</v>
      </c>
      <c r="K60" s="4">
        <f t="shared" si="26"/>
        <v>0.61176514194980103</v>
      </c>
      <c r="L60" s="4">
        <f t="shared" si="26"/>
        <v>0.61176514194980103</v>
      </c>
      <c r="M60" s="4">
        <f t="shared" si="26"/>
        <v>0.61176514194980103</v>
      </c>
      <c r="N60" s="4">
        <f t="shared" si="26"/>
        <v>0.61176514194980103</v>
      </c>
      <c r="O60" s="4">
        <f t="shared" si="26"/>
        <v>0.61176514194980103</v>
      </c>
      <c r="P60" s="4">
        <f t="shared" si="26"/>
        <v>0.61176514194980103</v>
      </c>
      <c r="Q60" s="4">
        <f t="shared" si="26"/>
        <v>0.61176514194980103</v>
      </c>
      <c r="R60" s="4">
        <f t="shared" si="26"/>
        <v>0.61176514194980103</v>
      </c>
      <c r="S60" s="4">
        <f t="shared" si="26"/>
        <v>0.61176514194980103</v>
      </c>
      <c r="T60" s="4">
        <f t="shared" si="26"/>
        <v>0.61176514194980103</v>
      </c>
      <c r="U60" s="4">
        <f t="shared" si="26"/>
        <v>0.61176514194980103</v>
      </c>
      <c r="V60" s="4">
        <f t="shared" si="26"/>
        <v>0.61176514194980103</v>
      </c>
      <c r="W60" s="4">
        <f t="shared" si="26"/>
        <v>0.61176514194980103</v>
      </c>
      <c r="X60" s="4">
        <f t="shared" si="26"/>
        <v>0.61176514194980103</v>
      </c>
      <c r="Y60" s="4">
        <f t="shared" si="26"/>
        <v>0.61176514194980103</v>
      </c>
      <c r="Z60" s="4">
        <f t="shared" si="26"/>
        <v>0.61176514194980103</v>
      </c>
      <c r="AA60" s="4">
        <f t="shared" si="26"/>
        <v>0.61176514194980103</v>
      </c>
      <c r="AB60" s="4">
        <f t="shared" si="26"/>
        <v>0.61176514194980103</v>
      </c>
      <c r="AC60" s="4">
        <f t="shared" si="26"/>
        <v>0.61176514194980103</v>
      </c>
      <c r="AD60" s="4">
        <f t="shared" si="26"/>
        <v>0.61176514194980103</v>
      </c>
      <c r="AE60" s="4">
        <f t="shared" si="26"/>
        <v>0.61176514194980103</v>
      </c>
      <c r="AF60" s="4">
        <f t="shared" si="26"/>
        <v>0.61176514194980103</v>
      </c>
      <c r="AG60" s="4">
        <f t="shared" si="26"/>
        <v>0.61176514194980103</v>
      </c>
      <c r="AH60" s="4">
        <f t="shared" si="26"/>
        <v>0.61176514194980103</v>
      </c>
      <c r="AI60" s="4">
        <f t="shared" si="26"/>
        <v>0.61176514194980103</v>
      </c>
      <c r="AJ60" s="4">
        <f t="shared" si="26"/>
        <v>0.61176514194980103</v>
      </c>
      <c r="AK60" s="4">
        <f t="shared" si="26"/>
        <v>0.61176514194980103</v>
      </c>
      <c r="AL60" s="4">
        <f t="shared" si="26"/>
        <v>0.61176514194980103</v>
      </c>
      <c r="AM60" s="4">
        <f t="shared" si="26"/>
        <v>0.61176514194980103</v>
      </c>
      <c r="AN60" s="4">
        <f t="shared" si="26"/>
        <v>0.61176514194980103</v>
      </c>
      <c r="AO60" s="4">
        <f t="shared" si="26"/>
        <v>0.61176514194980103</v>
      </c>
      <c r="AP60" s="4">
        <f t="shared" si="26"/>
        <v>0.61176514194980103</v>
      </c>
      <c r="AQ60" s="4">
        <f t="shared" si="26"/>
        <v>0.61176514194980103</v>
      </c>
      <c r="AR60" s="4">
        <f t="shared" si="26"/>
        <v>0.61176514194980103</v>
      </c>
      <c r="AS60" s="4">
        <f t="shared" si="26"/>
        <v>0.61176514194980103</v>
      </c>
      <c r="AT60" s="4">
        <f t="shared" si="26"/>
        <v>0.61176514194980103</v>
      </c>
      <c r="AU60" s="4">
        <f t="shared" si="26"/>
        <v>0.61176514194980103</v>
      </c>
      <c r="AV60" s="4">
        <f t="shared" si="26"/>
        <v>0.61176514194980103</v>
      </c>
      <c r="AW60" s="4">
        <f t="shared" si="26"/>
        <v>0.61176514194980103</v>
      </c>
      <c r="AX60" s="4">
        <f t="shared" si="26"/>
        <v>0.61176514194980103</v>
      </c>
      <c r="AY60" s="4">
        <f t="shared" si="26"/>
        <v>0.61176514194980103</v>
      </c>
      <c r="AZ60" s="4">
        <f t="shared" si="26"/>
        <v>0.61176514194980103</v>
      </c>
      <c r="BA60" s="4">
        <f t="shared" si="26"/>
        <v>0.61176514194980103</v>
      </c>
      <c r="BB60" s="4">
        <f t="shared" si="26"/>
        <v>0.61176514194980103</v>
      </c>
      <c r="BC60" s="4">
        <f t="shared" si="26"/>
        <v>0.61176514194980103</v>
      </c>
      <c r="BD60" s="4">
        <f t="shared" si="26"/>
        <v>0.61176514194980103</v>
      </c>
      <c r="BE60" s="4">
        <f t="shared" si="26"/>
        <v>0.61176514194980103</v>
      </c>
      <c r="BF60" s="4">
        <f t="shared" si="26"/>
        <v>0.61176514194980103</v>
      </c>
      <c r="BG60" s="4">
        <f t="shared" si="26"/>
        <v>0.61176514194980103</v>
      </c>
      <c r="BH60" s="4">
        <f t="shared" si="26"/>
        <v>0.61176514194980103</v>
      </c>
      <c r="BI60" s="4">
        <f t="shared" si="26"/>
        <v>0.61176514194980103</v>
      </c>
      <c r="BJ60" s="4">
        <f t="shared" si="26"/>
        <v>0.61176514194980103</v>
      </c>
      <c r="BK60" s="4">
        <f t="shared" si="26"/>
        <v>0.61176514194980103</v>
      </c>
      <c r="BL60" s="4">
        <f t="shared" si="26"/>
        <v>0.61176514194980103</v>
      </c>
      <c r="BM60" s="4">
        <f t="shared" si="26"/>
        <v>0.61176514194980103</v>
      </c>
      <c r="BN60" s="4">
        <f t="shared" si="26"/>
        <v>0.61176514194980103</v>
      </c>
      <c r="BO60" s="4">
        <f t="shared" si="26"/>
        <v>0.61176514194980103</v>
      </c>
      <c r="BP60" s="4">
        <f t="shared" si="26"/>
        <v>0.61176514194980103</v>
      </c>
      <c r="BQ60" s="4">
        <f t="shared" si="26"/>
        <v>0.61176514194980103</v>
      </c>
      <c r="BR60" s="4">
        <f t="shared" si="26"/>
        <v>0.61176514194980103</v>
      </c>
      <c r="BS60" s="4">
        <f t="shared" si="26"/>
        <v>0.61176514194980103</v>
      </c>
      <c r="BT60" s="4">
        <f t="shared" si="26"/>
        <v>0.61176514194980103</v>
      </c>
      <c r="BU60" s="4">
        <f t="shared" si="26"/>
        <v>0.61176514194980103</v>
      </c>
      <c r="BV60" s="4">
        <f t="shared" si="26"/>
        <v>0.61176514194980103</v>
      </c>
      <c r="BW60" s="4">
        <f t="shared" si="26"/>
        <v>0.61176514194980103</v>
      </c>
      <c r="BX60" s="4">
        <f t="shared" si="26"/>
        <v>0.61176514194980103</v>
      </c>
      <c r="BY60" s="4">
        <f t="shared" si="26"/>
        <v>0.61176514194980103</v>
      </c>
      <c r="BZ60" s="4">
        <f t="shared" si="26"/>
        <v>0.61176514194980103</v>
      </c>
      <c r="CA60" s="4">
        <f t="shared" si="26"/>
        <v>0.61176514194980103</v>
      </c>
      <c r="CB60" s="4">
        <f t="shared" si="26"/>
        <v>0.61176514194980103</v>
      </c>
      <c r="CC60" s="4">
        <f t="shared" si="26"/>
        <v>0.61176514194980103</v>
      </c>
      <c r="CD60" s="4">
        <f t="shared" si="26"/>
        <v>0.61176514194980103</v>
      </c>
      <c r="CE60" s="4">
        <f t="shared" si="26"/>
        <v>0.61176514194980103</v>
      </c>
      <c r="CF60" s="4">
        <f t="shared" si="26"/>
        <v>0.61176514194980103</v>
      </c>
      <c r="CG60" s="4">
        <f t="shared" si="26"/>
        <v>0.61176514194980103</v>
      </c>
      <c r="CH60" s="4">
        <f t="shared" si="26"/>
        <v>0.61176514194980103</v>
      </c>
      <c r="CI60" s="4">
        <f t="shared" si="26"/>
        <v>0.61176514194980103</v>
      </c>
      <c r="CJ60" s="4">
        <f t="shared" si="26"/>
        <v>0.61176514194980103</v>
      </c>
      <c r="CK60" s="4">
        <f t="shared" si="26"/>
        <v>0.61176514194980103</v>
      </c>
      <c r="CL60" s="4">
        <f t="shared" si="26"/>
        <v>0.61176514194980103</v>
      </c>
      <c r="CM60" s="4">
        <f t="shared" si="26"/>
        <v>0.61176514194980103</v>
      </c>
      <c r="CN60" s="4">
        <f t="shared" si="26"/>
        <v>0.61176514194980103</v>
      </c>
      <c r="CO60" s="4">
        <f t="shared" si="26"/>
        <v>0.61176514194980103</v>
      </c>
      <c r="CP60" s="4">
        <f t="shared" si="26"/>
        <v>0.61176514194980103</v>
      </c>
      <c r="CQ60" s="4">
        <f t="shared" si="26"/>
        <v>0.61176514194980103</v>
      </c>
      <c r="CR60" s="4">
        <f t="shared" si="26"/>
        <v>0.61176514194980103</v>
      </c>
      <c r="CS60" s="4">
        <f t="shared" si="26"/>
        <v>0.61176514194980103</v>
      </c>
      <c r="CT60" s="4">
        <f t="shared" si="26"/>
        <v>0.61176514194980103</v>
      </c>
      <c r="CU60" s="4">
        <f t="shared" si="26"/>
        <v>0.61176514194980103</v>
      </c>
      <c r="CV60" s="4">
        <f t="shared" si="26"/>
        <v>0.61176514194980103</v>
      </c>
      <c r="CW60" s="4">
        <f t="shared" si="26"/>
        <v>0.61176514194980103</v>
      </c>
      <c r="CX60" s="4">
        <f t="shared" si="26"/>
        <v>0.61176514194980103</v>
      </c>
      <c r="CY60" s="4">
        <f t="shared" si="26"/>
        <v>0.61176514194980103</v>
      </c>
      <c r="CZ60" s="4">
        <f t="shared" si="26"/>
        <v>0.61176514194980103</v>
      </c>
      <c r="DA60" s="4">
        <f t="shared" si="26"/>
        <v>0.61176514194980103</v>
      </c>
      <c r="DB60" s="4">
        <f t="shared" si="26"/>
        <v>0.61176514194980103</v>
      </c>
      <c r="DC60" s="4">
        <f t="shared" si="26"/>
        <v>0.61176514194980103</v>
      </c>
      <c r="DD60" s="4">
        <f t="shared" si="26"/>
        <v>0.61176514194980103</v>
      </c>
      <c r="DE60" s="4">
        <f t="shared" si="26"/>
        <v>0.61176514194980103</v>
      </c>
      <c r="DF60" s="3"/>
      <c r="DG60" s="3"/>
      <c r="DH60" s="3"/>
      <c r="DI60" s="3"/>
      <c r="DJ60" s="3"/>
      <c r="DK60" s="3"/>
      <c r="DL60" s="3"/>
    </row>
    <row r="61" spans="1:116" ht="15.75" hidden="1" customHeight="1" outlineLevel="1" x14ac:dyDescent="0.25">
      <c r="A61" s="763"/>
      <c r="B61" s="753"/>
      <c r="C61" s="321" t="s">
        <v>290</v>
      </c>
      <c r="D61" s="279"/>
      <c r="E61" s="299" t="s">
        <v>291</v>
      </c>
      <c r="F61" s="279"/>
      <c r="G61" s="279" t="s">
        <v>292</v>
      </c>
      <c r="H61" s="313">
        <f>(H57*'Unit Costs and Indicators'!$A$131)</f>
        <v>808672.61685517232</v>
      </c>
      <c r="I61" s="296">
        <f>(I57*'Unit Costs and Indicators'!$A$131)</f>
        <v>808672.61685517232</v>
      </c>
      <c r="J61" s="296">
        <f>(J57*'Unit Costs and Indicators'!$A$131)</f>
        <v>808672.61685517232</v>
      </c>
      <c r="K61" s="296">
        <f>(K57*'Unit Costs and Indicators'!$A$131)</f>
        <v>808672.61685517232</v>
      </c>
      <c r="L61" s="296">
        <f>(L57*'Unit Costs and Indicators'!$A$131)</f>
        <v>808672.61685517232</v>
      </c>
      <c r="M61" s="296">
        <f>(M57*'Unit Costs and Indicators'!$A$131)</f>
        <v>808672.61685517232</v>
      </c>
      <c r="N61" s="296">
        <f>(N57*'Unit Costs and Indicators'!$A$131)</f>
        <v>808672.61685517232</v>
      </c>
      <c r="O61" s="296">
        <f>(O57*'Unit Costs and Indicators'!$A$131)</f>
        <v>808672.61685517232</v>
      </c>
      <c r="P61" s="296">
        <f>(P57*'Unit Costs and Indicators'!$A$131)</f>
        <v>808672.61685517232</v>
      </c>
      <c r="Q61" s="296">
        <f>(Q57*'Unit Costs and Indicators'!$A$131)</f>
        <v>808672.61685517232</v>
      </c>
      <c r="R61" s="296">
        <f>(R57*'Unit Costs and Indicators'!$A$131)</f>
        <v>808672.61685517232</v>
      </c>
      <c r="S61" s="296">
        <f>(S57*'Unit Costs and Indicators'!$A$131)</f>
        <v>808672.61685517232</v>
      </c>
      <c r="T61" s="296">
        <f>(T57*'Unit Costs and Indicators'!$A$131)</f>
        <v>808672.61685517232</v>
      </c>
      <c r="U61" s="296">
        <f>(U57*'Unit Costs and Indicators'!$A$131)</f>
        <v>808672.61685517232</v>
      </c>
      <c r="V61" s="296">
        <f>(V57*'Unit Costs and Indicators'!$A$131)</f>
        <v>808672.61685517232</v>
      </c>
      <c r="W61" s="296">
        <f>(W57*'Unit Costs and Indicators'!$A$131)</f>
        <v>808672.61685517232</v>
      </c>
      <c r="X61" s="296">
        <f>(X57*'Unit Costs and Indicators'!$A$131)</f>
        <v>808672.61685517232</v>
      </c>
      <c r="Y61" s="296">
        <f>(Y57*'Unit Costs and Indicators'!$A$131)</f>
        <v>808672.61685517232</v>
      </c>
      <c r="Z61" s="296">
        <f>(Z57*'Unit Costs and Indicators'!$A$131)</f>
        <v>808672.61685517232</v>
      </c>
      <c r="AA61" s="296">
        <f>(AA57*'Unit Costs and Indicators'!$A$131)</f>
        <v>808672.61685517232</v>
      </c>
      <c r="AB61" s="296">
        <f>(AB57*'Unit Costs and Indicators'!$A$131)</f>
        <v>808672.61685517232</v>
      </c>
      <c r="AC61" s="296">
        <f>(AC57*'Unit Costs and Indicators'!$A$131)</f>
        <v>808672.61685517232</v>
      </c>
      <c r="AD61" s="296">
        <f>(AD57*'Unit Costs and Indicators'!$A$131)</f>
        <v>808672.61685517232</v>
      </c>
      <c r="AE61" s="296">
        <f>(AE57*'Unit Costs and Indicators'!$A$131)</f>
        <v>808672.61685517232</v>
      </c>
      <c r="AF61" s="296">
        <f>(AF57*'Unit Costs and Indicators'!$A$131)</f>
        <v>808672.61685517232</v>
      </c>
      <c r="AG61" s="296">
        <f>(AG57*'Unit Costs and Indicators'!$A$131)</f>
        <v>808672.61685517232</v>
      </c>
      <c r="AH61" s="296">
        <f>(AH57*'Unit Costs and Indicators'!$A$131)</f>
        <v>808672.61685517232</v>
      </c>
      <c r="AI61" s="296">
        <f>(AI57*'Unit Costs and Indicators'!$A$131)</f>
        <v>808672.61685517232</v>
      </c>
      <c r="AJ61" s="296">
        <f>(AJ57*'Unit Costs and Indicators'!$A$131)</f>
        <v>808672.61685517232</v>
      </c>
      <c r="AK61" s="296">
        <f>(AK57*'Unit Costs and Indicators'!$A$131)</f>
        <v>808672.61685517232</v>
      </c>
      <c r="AL61" s="296">
        <f>(AL57*'Unit Costs and Indicators'!$A$131)</f>
        <v>808672.61685517232</v>
      </c>
      <c r="AM61" s="296">
        <f>(AM57*'Unit Costs and Indicators'!$A$131)</f>
        <v>808672.61685517232</v>
      </c>
      <c r="AN61" s="296">
        <f>(AN57*'Unit Costs and Indicators'!$A$131)</f>
        <v>808672.61685517232</v>
      </c>
      <c r="AO61" s="296">
        <f>(AO57*'Unit Costs and Indicators'!$A$131)</f>
        <v>808672.61685517232</v>
      </c>
      <c r="AP61" s="296">
        <f>(AP57*'Unit Costs and Indicators'!$A$131)</f>
        <v>808672.61685517232</v>
      </c>
      <c r="AQ61" s="296">
        <f>(AQ57*'Unit Costs and Indicators'!$A$131)</f>
        <v>808672.61685517232</v>
      </c>
      <c r="AR61" s="296">
        <f>(AR57*'Unit Costs and Indicators'!$A$131)</f>
        <v>808672.61685517232</v>
      </c>
      <c r="AS61" s="296">
        <f>(AS57*'Unit Costs and Indicators'!$A$131)</f>
        <v>808672.61685517232</v>
      </c>
      <c r="AT61" s="296">
        <f>(AT57*'Unit Costs and Indicators'!$A$131)</f>
        <v>808672.61685517232</v>
      </c>
      <c r="AU61" s="296">
        <f>(AU57*'Unit Costs and Indicators'!$A$131)</f>
        <v>808672.61685517232</v>
      </c>
      <c r="AV61" s="296">
        <f>(AV57*'Unit Costs and Indicators'!$A$131)</f>
        <v>808672.61685517232</v>
      </c>
      <c r="AW61" s="296">
        <f>(AW57*'Unit Costs and Indicators'!$A$131)</f>
        <v>808672.61685517232</v>
      </c>
      <c r="AX61" s="296">
        <f>(AX57*'Unit Costs and Indicators'!$A$131)</f>
        <v>808672.61685517232</v>
      </c>
      <c r="AY61" s="296">
        <f>(AY57*'Unit Costs and Indicators'!$A$131)</f>
        <v>808672.61685517232</v>
      </c>
      <c r="AZ61" s="296">
        <f>(AZ57*'Unit Costs and Indicators'!$A$131)</f>
        <v>808672.61685517232</v>
      </c>
      <c r="BA61" s="296">
        <f>(BA57*'Unit Costs and Indicators'!$A$131)</f>
        <v>808672.61685517232</v>
      </c>
      <c r="BB61" s="296">
        <f>(BB57*'Unit Costs and Indicators'!$A$131)</f>
        <v>808672.61685517232</v>
      </c>
      <c r="BC61" s="296">
        <f>(BC57*'Unit Costs and Indicators'!$A$131)</f>
        <v>808672.61685517232</v>
      </c>
      <c r="BD61" s="296">
        <f>(BD57*'Unit Costs and Indicators'!$A$131)</f>
        <v>808672.61685517232</v>
      </c>
      <c r="BE61" s="296">
        <f>(BE57*'Unit Costs and Indicators'!$A$131)</f>
        <v>808672.61685517232</v>
      </c>
      <c r="BF61" s="296">
        <f>(BF57*'Unit Costs and Indicators'!$A$131)</f>
        <v>808672.61685517232</v>
      </c>
      <c r="BG61" s="296">
        <f>(BG57*'Unit Costs and Indicators'!$A$131)</f>
        <v>808672.61685517232</v>
      </c>
      <c r="BH61" s="296">
        <f>(BH57*'Unit Costs and Indicators'!$A$131)</f>
        <v>808672.61685517232</v>
      </c>
      <c r="BI61" s="296">
        <f>(BI57*'Unit Costs and Indicators'!$A$131)</f>
        <v>808672.61685517232</v>
      </c>
      <c r="BJ61" s="296">
        <f>(BJ57*'Unit Costs and Indicators'!$A$131)</f>
        <v>808672.61685517232</v>
      </c>
      <c r="BK61" s="296">
        <f>(BK57*'Unit Costs and Indicators'!$A$131)</f>
        <v>808672.61685517232</v>
      </c>
      <c r="BL61" s="296">
        <f>(BL57*'Unit Costs and Indicators'!$A$131)</f>
        <v>808672.61685517232</v>
      </c>
      <c r="BM61" s="296">
        <f>(BM57*'Unit Costs and Indicators'!$A$131)</f>
        <v>808672.61685517232</v>
      </c>
      <c r="BN61" s="296">
        <f>(BN57*'Unit Costs and Indicators'!$A$131)</f>
        <v>808672.61685517232</v>
      </c>
      <c r="BO61" s="296">
        <f>(BO57*'Unit Costs and Indicators'!$A$131)</f>
        <v>808672.61685517232</v>
      </c>
      <c r="BP61" s="296">
        <f>(BP57*'Unit Costs and Indicators'!$A$131)</f>
        <v>808672.61685517232</v>
      </c>
      <c r="BQ61" s="296">
        <f>(BQ57*'Unit Costs and Indicators'!$A$131)</f>
        <v>808672.61685517232</v>
      </c>
      <c r="BR61" s="296">
        <f>(BR57*'Unit Costs and Indicators'!$A$131)</f>
        <v>808672.61685517232</v>
      </c>
      <c r="BS61" s="296">
        <f>(BS57*'Unit Costs and Indicators'!$A$131)</f>
        <v>808672.61685517232</v>
      </c>
      <c r="BT61" s="296">
        <f>(BT57*'Unit Costs and Indicators'!$A$131)</f>
        <v>808672.61685517232</v>
      </c>
      <c r="BU61" s="296">
        <f>(BU57*'Unit Costs and Indicators'!$A$131)</f>
        <v>808672.61685517232</v>
      </c>
      <c r="BV61" s="296">
        <f>(BV57*'Unit Costs and Indicators'!$A$131)</f>
        <v>808672.61685517232</v>
      </c>
      <c r="BW61" s="296">
        <f>(BW57*'Unit Costs and Indicators'!$A$131)</f>
        <v>808672.61685517232</v>
      </c>
      <c r="BX61" s="296">
        <f>(BX57*'Unit Costs and Indicators'!$A$131)</f>
        <v>808672.61685517232</v>
      </c>
      <c r="BY61" s="296">
        <f>(BY57*'Unit Costs and Indicators'!$A$131)</f>
        <v>808672.61685517232</v>
      </c>
      <c r="BZ61" s="296">
        <f>(BZ57*'Unit Costs and Indicators'!$A$131)</f>
        <v>808672.61685517232</v>
      </c>
      <c r="CA61" s="296">
        <f>(CA57*'Unit Costs and Indicators'!$A$131)</f>
        <v>808672.61685517232</v>
      </c>
      <c r="CB61" s="296">
        <f>(CB57*'Unit Costs and Indicators'!$A$131)</f>
        <v>808672.61685517232</v>
      </c>
      <c r="CC61" s="296">
        <f>(CC57*'Unit Costs and Indicators'!$A$131)</f>
        <v>808672.61685517232</v>
      </c>
      <c r="CD61" s="296">
        <f>(CD57*'Unit Costs and Indicators'!$A$131)</f>
        <v>808672.61685517232</v>
      </c>
      <c r="CE61" s="296">
        <f>(CE57*'Unit Costs and Indicators'!$A$131)</f>
        <v>808672.61685517232</v>
      </c>
      <c r="CF61" s="296">
        <f>(CF57*'Unit Costs and Indicators'!$A$131)</f>
        <v>808672.61685517232</v>
      </c>
      <c r="CG61" s="296">
        <f>(CG57*'Unit Costs and Indicators'!$A$131)</f>
        <v>808672.61685517232</v>
      </c>
      <c r="CH61" s="296">
        <f>(CH57*'Unit Costs and Indicators'!$A$131)</f>
        <v>808672.61685517232</v>
      </c>
      <c r="CI61" s="296">
        <f>(CI57*'Unit Costs and Indicators'!$A$131)</f>
        <v>808672.61685517232</v>
      </c>
      <c r="CJ61" s="296">
        <f>(CJ57*'Unit Costs and Indicators'!$A$131)</f>
        <v>808672.61685517232</v>
      </c>
      <c r="CK61" s="296">
        <f>(CK57*'Unit Costs and Indicators'!$A$131)</f>
        <v>808672.61685517232</v>
      </c>
      <c r="CL61" s="296">
        <f>(CL57*'Unit Costs and Indicators'!$A$131)</f>
        <v>808672.61685517232</v>
      </c>
      <c r="CM61" s="296">
        <f>(CM57*'Unit Costs and Indicators'!$A$131)</f>
        <v>808672.61685517232</v>
      </c>
      <c r="CN61" s="296">
        <f>(CN57*'Unit Costs and Indicators'!$A$131)</f>
        <v>808672.61685517232</v>
      </c>
      <c r="CO61" s="296">
        <f>(CO57*'Unit Costs and Indicators'!$A$131)</f>
        <v>808672.61685517232</v>
      </c>
      <c r="CP61" s="296">
        <f>(CP57*'Unit Costs and Indicators'!$A$131)</f>
        <v>808672.61685517232</v>
      </c>
      <c r="CQ61" s="296">
        <f>(CQ57*'Unit Costs and Indicators'!$A$131)</f>
        <v>808672.61685517232</v>
      </c>
      <c r="CR61" s="296">
        <f>(CR57*'Unit Costs and Indicators'!$A$131)</f>
        <v>808672.61685517232</v>
      </c>
      <c r="CS61" s="296">
        <f>(CS57*'Unit Costs and Indicators'!$A$131)</f>
        <v>808672.61685517232</v>
      </c>
      <c r="CT61" s="296">
        <f>(CT57*'Unit Costs and Indicators'!$A$131)</f>
        <v>808672.61685517232</v>
      </c>
      <c r="CU61" s="296">
        <f>(CU57*'Unit Costs and Indicators'!$A$131)</f>
        <v>808672.61685517232</v>
      </c>
      <c r="CV61" s="296">
        <f>(CV57*'Unit Costs and Indicators'!$A$131)</f>
        <v>808672.61685517232</v>
      </c>
      <c r="CW61" s="296">
        <f>(CW57*'Unit Costs and Indicators'!$A$131)</f>
        <v>808672.61685517232</v>
      </c>
      <c r="CX61" s="296">
        <f>(CX57*'Unit Costs and Indicators'!$A$131)</f>
        <v>808672.61685517232</v>
      </c>
      <c r="CY61" s="296">
        <f>(CY57*'Unit Costs and Indicators'!$A$131)</f>
        <v>808672.61685517232</v>
      </c>
      <c r="CZ61" s="296">
        <f>(CZ57*'Unit Costs and Indicators'!$A$131)</f>
        <v>808672.61685517232</v>
      </c>
      <c r="DA61" s="296">
        <f>(DA57*'Unit Costs and Indicators'!$A$131)</f>
        <v>808672.61685517232</v>
      </c>
      <c r="DB61" s="296">
        <f>(DB57*'Unit Costs and Indicators'!$A$131)</f>
        <v>808672.61685517232</v>
      </c>
      <c r="DC61" s="296">
        <f>(DC57*'Unit Costs and Indicators'!$A$131)</f>
        <v>808672.61685517232</v>
      </c>
      <c r="DD61" s="296">
        <f>(DD57*'Unit Costs and Indicators'!$A$131)</f>
        <v>808672.61685517232</v>
      </c>
      <c r="DE61" s="296">
        <f>(DE57*'Unit Costs and Indicators'!$A$131)</f>
        <v>808672.61685517232</v>
      </c>
      <c r="DF61" s="296"/>
      <c r="DG61" s="296"/>
      <c r="DH61" s="296"/>
      <c r="DI61" s="296"/>
      <c r="DJ61" s="296"/>
      <c r="DK61" s="296"/>
      <c r="DL61" s="296"/>
    </row>
    <row r="62" spans="1:116" ht="15.75" hidden="1" customHeight="1" outlineLevel="1" x14ac:dyDescent="0.25">
      <c r="A62" s="763"/>
      <c r="B62" s="753"/>
      <c r="C62" s="347" t="s">
        <v>293</v>
      </c>
      <c r="D62" s="348"/>
      <c r="E62" s="390"/>
      <c r="F62" s="348"/>
      <c r="G62" s="348"/>
      <c r="H62" s="335">
        <f>H61*'Unit Costs and Indicators'!$D$19</f>
        <v>38.289423146551719</v>
      </c>
      <c r="I62" s="336">
        <f>I61*'Unit Costs and Indicators'!$D$19</f>
        <v>38.289423146551719</v>
      </c>
      <c r="J62" s="336">
        <f>J61*'Unit Costs and Indicators'!$D$19</f>
        <v>38.289423146551719</v>
      </c>
      <c r="K62" s="336">
        <f>K61*'Unit Costs and Indicators'!$D$19</f>
        <v>38.289423146551719</v>
      </c>
      <c r="L62" s="336">
        <f>L61*'Unit Costs and Indicators'!$D$19</f>
        <v>38.289423146551719</v>
      </c>
      <c r="M62" s="336">
        <f>M61*'Unit Costs and Indicators'!$D$19</f>
        <v>38.289423146551719</v>
      </c>
      <c r="N62" s="336">
        <f>N61*'Unit Costs and Indicators'!$D$19</f>
        <v>38.289423146551719</v>
      </c>
      <c r="O62" s="336">
        <f>O61*'Unit Costs and Indicators'!$D$19</f>
        <v>38.289423146551719</v>
      </c>
      <c r="P62" s="336">
        <f>P61*'Unit Costs and Indicators'!$D$19</f>
        <v>38.289423146551719</v>
      </c>
      <c r="Q62" s="336">
        <f>Q61*'Unit Costs and Indicators'!$D$19</f>
        <v>38.289423146551719</v>
      </c>
      <c r="R62" s="336">
        <f>R61*'Unit Costs and Indicators'!$D$19</f>
        <v>38.289423146551719</v>
      </c>
      <c r="S62" s="336">
        <f>S61*'Unit Costs and Indicators'!$D$19</f>
        <v>38.289423146551719</v>
      </c>
      <c r="T62" s="336">
        <f>T61*'Unit Costs and Indicators'!$D$19</f>
        <v>38.289423146551719</v>
      </c>
      <c r="U62" s="336">
        <f>U61*'Unit Costs and Indicators'!$D$19</f>
        <v>38.289423146551719</v>
      </c>
      <c r="V62" s="336">
        <f>V61*'Unit Costs and Indicators'!$D$19</f>
        <v>38.289423146551719</v>
      </c>
      <c r="W62" s="336">
        <f>W61*'Unit Costs and Indicators'!$D$19</f>
        <v>38.289423146551719</v>
      </c>
      <c r="X62" s="336">
        <f>X61*'Unit Costs and Indicators'!$D$19</f>
        <v>38.289423146551719</v>
      </c>
      <c r="Y62" s="336">
        <f>Y61*'Unit Costs and Indicators'!$D$19</f>
        <v>38.289423146551719</v>
      </c>
      <c r="Z62" s="336">
        <f>Z61*'Unit Costs and Indicators'!$D$19</f>
        <v>38.289423146551719</v>
      </c>
      <c r="AA62" s="336">
        <f>AA61*'Unit Costs and Indicators'!$D$19</f>
        <v>38.289423146551719</v>
      </c>
      <c r="AB62" s="336">
        <f>AB61*'Unit Costs and Indicators'!$D$19</f>
        <v>38.289423146551719</v>
      </c>
      <c r="AC62" s="336">
        <f>AC61*'Unit Costs and Indicators'!$D$19</f>
        <v>38.289423146551719</v>
      </c>
      <c r="AD62" s="336">
        <f>AD61*'Unit Costs and Indicators'!$D$19</f>
        <v>38.289423146551719</v>
      </c>
      <c r="AE62" s="336">
        <f>AE61*'Unit Costs and Indicators'!$D$19</f>
        <v>38.289423146551719</v>
      </c>
      <c r="AF62" s="336">
        <f>AF61*'Unit Costs and Indicators'!$D$19</f>
        <v>38.289423146551719</v>
      </c>
      <c r="AG62" s="336">
        <f>AG61*'Unit Costs and Indicators'!$D$19</f>
        <v>38.289423146551719</v>
      </c>
      <c r="AH62" s="336">
        <f>AH61*'Unit Costs and Indicators'!$D$19</f>
        <v>38.289423146551719</v>
      </c>
      <c r="AI62" s="336">
        <f>AI61*'Unit Costs and Indicators'!$D$19</f>
        <v>38.289423146551719</v>
      </c>
      <c r="AJ62" s="336">
        <f>AJ61*'Unit Costs and Indicators'!$D$19</f>
        <v>38.289423146551719</v>
      </c>
      <c r="AK62" s="336">
        <f>AK61*'Unit Costs and Indicators'!$D$19</f>
        <v>38.289423146551719</v>
      </c>
      <c r="AL62" s="336">
        <f>AL61*'Unit Costs and Indicators'!$D$19</f>
        <v>38.289423146551719</v>
      </c>
      <c r="AM62" s="336">
        <f>AM61*'Unit Costs and Indicators'!$D$19</f>
        <v>38.289423146551719</v>
      </c>
      <c r="AN62" s="336">
        <f>AN61*'Unit Costs and Indicators'!$D$19</f>
        <v>38.289423146551719</v>
      </c>
      <c r="AO62" s="336">
        <f>AO61*'Unit Costs and Indicators'!$D$19</f>
        <v>38.289423146551719</v>
      </c>
      <c r="AP62" s="336">
        <f>AP61*'Unit Costs and Indicators'!$D$19</f>
        <v>38.289423146551719</v>
      </c>
      <c r="AQ62" s="336">
        <f>AQ61*'Unit Costs and Indicators'!$D$19</f>
        <v>38.289423146551719</v>
      </c>
      <c r="AR62" s="336">
        <f>AR61*'Unit Costs and Indicators'!$D$19</f>
        <v>38.289423146551719</v>
      </c>
      <c r="AS62" s="336">
        <f>AS61*'Unit Costs and Indicators'!$D$19</f>
        <v>38.289423146551719</v>
      </c>
      <c r="AT62" s="336">
        <f>AT61*'Unit Costs and Indicators'!$D$19</f>
        <v>38.289423146551719</v>
      </c>
      <c r="AU62" s="336">
        <f>AU61*'Unit Costs and Indicators'!$D$19</f>
        <v>38.289423146551719</v>
      </c>
      <c r="AV62" s="336">
        <f>AV61*'Unit Costs and Indicators'!$D$19</f>
        <v>38.289423146551719</v>
      </c>
      <c r="AW62" s="336">
        <f>AW61*'Unit Costs and Indicators'!$D$19</f>
        <v>38.289423146551719</v>
      </c>
      <c r="AX62" s="336">
        <f>AX61*'Unit Costs and Indicators'!$D$19</f>
        <v>38.289423146551719</v>
      </c>
      <c r="AY62" s="336">
        <f>AY61*'Unit Costs and Indicators'!$D$19</f>
        <v>38.289423146551719</v>
      </c>
      <c r="AZ62" s="336">
        <f>AZ61*'Unit Costs and Indicators'!$D$19</f>
        <v>38.289423146551719</v>
      </c>
      <c r="BA62" s="336">
        <f>BA61*'Unit Costs and Indicators'!$D$19</f>
        <v>38.289423146551719</v>
      </c>
      <c r="BB62" s="336">
        <f>BB61*'Unit Costs and Indicators'!$D$19</f>
        <v>38.289423146551719</v>
      </c>
      <c r="BC62" s="336">
        <f>BC61*'Unit Costs and Indicators'!$D$19</f>
        <v>38.289423146551719</v>
      </c>
      <c r="BD62" s="336">
        <f>BD61*'Unit Costs and Indicators'!$D$19</f>
        <v>38.289423146551719</v>
      </c>
      <c r="BE62" s="336">
        <f>BE61*'Unit Costs and Indicators'!$D$19</f>
        <v>38.289423146551719</v>
      </c>
      <c r="BF62" s="336">
        <f>BF61*'Unit Costs and Indicators'!$D$19</f>
        <v>38.289423146551719</v>
      </c>
      <c r="BG62" s="336">
        <f>BG61*'Unit Costs and Indicators'!$D$19</f>
        <v>38.289423146551719</v>
      </c>
      <c r="BH62" s="336">
        <f>BH61*'Unit Costs and Indicators'!$D$19</f>
        <v>38.289423146551719</v>
      </c>
      <c r="BI62" s="336">
        <f>BI61*'Unit Costs and Indicators'!$D$19</f>
        <v>38.289423146551719</v>
      </c>
      <c r="BJ62" s="336">
        <f>BJ61*'Unit Costs and Indicators'!$D$19</f>
        <v>38.289423146551719</v>
      </c>
      <c r="BK62" s="336">
        <f>BK61*'Unit Costs and Indicators'!$D$19</f>
        <v>38.289423146551719</v>
      </c>
      <c r="BL62" s="336">
        <f>BL61*'Unit Costs and Indicators'!$D$19</f>
        <v>38.289423146551719</v>
      </c>
      <c r="BM62" s="336">
        <f>BM61*'Unit Costs and Indicators'!$D$19</f>
        <v>38.289423146551719</v>
      </c>
      <c r="BN62" s="336">
        <f>BN61*'Unit Costs and Indicators'!$D$19</f>
        <v>38.289423146551719</v>
      </c>
      <c r="BO62" s="336">
        <f>BO61*'Unit Costs and Indicators'!$D$19</f>
        <v>38.289423146551719</v>
      </c>
      <c r="BP62" s="336">
        <f>BP61*'Unit Costs and Indicators'!$D$19</f>
        <v>38.289423146551719</v>
      </c>
      <c r="BQ62" s="336">
        <f>BQ61*'Unit Costs and Indicators'!$D$19</f>
        <v>38.289423146551719</v>
      </c>
      <c r="BR62" s="336">
        <f>BR61*'Unit Costs and Indicators'!$D$19</f>
        <v>38.289423146551719</v>
      </c>
      <c r="BS62" s="336">
        <f>BS61*'Unit Costs and Indicators'!$D$19</f>
        <v>38.289423146551719</v>
      </c>
      <c r="BT62" s="336">
        <f>BT61*'Unit Costs and Indicators'!$D$19</f>
        <v>38.289423146551719</v>
      </c>
      <c r="BU62" s="336">
        <f>BU61*'Unit Costs and Indicators'!$D$19</f>
        <v>38.289423146551719</v>
      </c>
      <c r="BV62" s="336">
        <f>BV61*'Unit Costs and Indicators'!$D$19</f>
        <v>38.289423146551719</v>
      </c>
      <c r="BW62" s="336">
        <f>BW61*'Unit Costs and Indicators'!$D$19</f>
        <v>38.289423146551719</v>
      </c>
      <c r="BX62" s="336">
        <f>BX61*'Unit Costs and Indicators'!$D$19</f>
        <v>38.289423146551719</v>
      </c>
      <c r="BY62" s="336">
        <f>BY61*'Unit Costs and Indicators'!$D$19</f>
        <v>38.289423146551719</v>
      </c>
      <c r="BZ62" s="336">
        <f>BZ61*'Unit Costs and Indicators'!$D$19</f>
        <v>38.289423146551719</v>
      </c>
      <c r="CA62" s="336">
        <f>CA61*'Unit Costs and Indicators'!$D$19</f>
        <v>38.289423146551719</v>
      </c>
      <c r="CB62" s="336">
        <f>CB61*'Unit Costs and Indicators'!$D$19</f>
        <v>38.289423146551719</v>
      </c>
      <c r="CC62" s="336">
        <f>CC61*'Unit Costs and Indicators'!$D$19</f>
        <v>38.289423146551719</v>
      </c>
      <c r="CD62" s="336">
        <f>CD61*'Unit Costs and Indicators'!$D$19</f>
        <v>38.289423146551719</v>
      </c>
      <c r="CE62" s="336">
        <f>CE61*'Unit Costs and Indicators'!$D$19</f>
        <v>38.289423146551719</v>
      </c>
      <c r="CF62" s="336">
        <f>CF61*'Unit Costs and Indicators'!$D$19</f>
        <v>38.289423146551719</v>
      </c>
      <c r="CG62" s="336">
        <f>CG61*'Unit Costs and Indicators'!$D$19</f>
        <v>38.289423146551719</v>
      </c>
      <c r="CH62" s="336">
        <f>CH61*'Unit Costs and Indicators'!$D$19</f>
        <v>38.289423146551719</v>
      </c>
      <c r="CI62" s="336">
        <f>CI61*'Unit Costs and Indicators'!$D$19</f>
        <v>38.289423146551719</v>
      </c>
      <c r="CJ62" s="336">
        <f>CJ61*'Unit Costs and Indicators'!$D$19</f>
        <v>38.289423146551719</v>
      </c>
      <c r="CK62" s="336">
        <f>CK61*'Unit Costs and Indicators'!$D$19</f>
        <v>38.289423146551719</v>
      </c>
      <c r="CL62" s="336">
        <f>CL61*'Unit Costs and Indicators'!$D$19</f>
        <v>38.289423146551719</v>
      </c>
      <c r="CM62" s="336">
        <f>CM61*'Unit Costs and Indicators'!$D$19</f>
        <v>38.289423146551719</v>
      </c>
      <c r="CN62" s="336">
        <f>CN61*'Unit Costs and Indicators'!$D$19</f>
        <v>38.289423146551719</v>
      </c>
      <c r="CO62" s="336">
        <f>CO61*'Unit Costs and Indicators'!$D$19</f>
        <v>38.289423146551719</v>
      </c>
      <c r="CP62" s="336">
        <f>CP61*'Unit Costs and Indicators'!$D$19</f>
        <v>38.289423146551719</v>
      </c>
      <c r="CQ62" s="336">
        <f>CQ61*'Unit Costs and Indicators'!$D$19</f>
        <v>38.289423146551719</v>
      </c>
      <c r="CR62" s="336">
        <f>CR61*'Unit Costs and Indicators'!$D$19</f>
        <v>38.289423146551719</v>
      </c>
      <c r="CS62" s="336">
        <f>CS61*'Unit Costs and Indicators'!$D$19</f>
        <v>38.289423146551719</v>
      </c>
      <c r="CT62" s="336">
        <f>CT61*'Unit Costs and Indicators'!$D$19</f>
        <v>38.289423146551719</v>
      </c>
      <c r="CU62" s="336">
        <f>CU61*'Unit Costs and Indicators'!$D$19</f>
        <v>38.289423146551719</v>
      </c>
      <c r="CV62" s="336">
        <f>CV61*'Unit Costs and Indicators'!$D$19</f>
        <v>38.289423146551719</v>
      </c>
      <c r="CW62" s="336">
        <f>CW61*'Unit Costs and Indicators'!$D$19</f>
        <v>38.289423146551719</v>
      </c>
      <c r="CX62" s="336">
        <f>CX61*'Unit Costs and Indicators'!$D$19</f>
        <v>38.289423146551719</v>
      </c>
      <c r="CY62" s="336">
        <f>CY61*'Unit Costs and Indicators'!$D$19</f>
        <v>38.289423146551719</v>
      </c>
      <c r="CZ62" s="336">
        <f>CZ61*'Unit Costs and Indicators'!$D$19</f>
        <v>38.289423146551719</v>
      </c>
      <c r="DA62" s="336">
        <f>DA61*'Unit Costs and Indicators'!$D$19</f>
        <v>38.289423146551719</v>
      </c>
      <c r="DB62" s="336">
        <f>DB61*'Unit Costs and Indicators'!$D$19</f>
        <v>38.289423146551719</v>
      </c>
      <c r="DC62" s="336">
        <f>DC61*'Unit Costs and Indicators'!$D$19</f>
        <v>38.289423146551719</v>
      </c>
      <c r="DD62" s="336">
        <f>DD61*'Unit Costs and Indicators'!$D$19</f>
        <v>38.289423146551719</v>
      </c>
      <c r="DE62" s="336">
        <f>DE61*'Unit Costs and Indicators'!$D$19</f>
        <v>38.289423146551719</v>
      </c>
      <c r="DF62" s="296"/>
      <c r="DG62" s="296"/>
      <c r="DH62" s="296"/>
      <c r="DI62" s="296"/>
      <c r="DJ62" s="296"/>
      <c r="DK62" s="296"/>
      <c r="DL62" s="296"/>
    </row>
    <row r="63" spans="1:116" ht="15.75" hidden="1" customHeight="1" outlineLevel="1" x14ac:dyDescent="0.25">
      <c r="A63" s="763"/>
      <c r="B63" s="380"/>
      <c r="C63" s="355" t="s">
        <v>244</v>
      </c>
      <c r="D63" s="356" t="s">
        <v>247</v>
      </c>
      <c r="E63" s="381"/>
      <c r="F63" s="316" t="s">
        <v>14</v>
      </c>
      <c r="G63" s="317">
        <f t="shared" ref="G63:G64" si="27">NPV($D$6, J63:DE63)+I63</f>
        <v>3950.5037488800808</v>
      </c>
      <c r="H63" s="359">
        <f>H56+H62</f>
        <v>83.67180032666127</v>
      </c>
      <c r="I63" s="360">
        <f>(I56+I62)</f>
        <v>83.898712212561804</v>
      </c>
      <c r="J63" s="360">
        <f t="shared" ref="J63:DE63" si="28">(J56+J62)*(1 + $D$5)^(J2 - $I$2)</f>
        <v>85.8092938310497</v>
      </c>
      <c r="K63" s="360">
        <f t="shared" si="28"/>
        <v>87.76392552700068</v>
      </c>
      <c r="L63" s="360">
        <f t="shared" si="28"/>
        <v>89.763634846935844</v>
      </c>
      <c r="M63" s="360">
        <f t="shared" si="28"/>
        <v>91.809473566585552</v>
      </c>
      <c r="N63" s="360">
        <f t="shared" si="28"/>
        <v>93.9025182677983</v>
      </c>
      <c r="O63" s="360">
        <f t="shared" si="28"/>
        <v>96.043870929305328</v>
      </c>
      <c r="P63" s="360">
        <f t="shared" si="28"/>
        <v>98.234659531675845</v>
      </c>
      <c r="Q63" s="360">
        <f t="shared" si="28"/>
        <v>100.47603867680681</v>
      </c>
      <c r="R63" s="360">
        <f t="shared" si="28"/>
        <v>102.76919022229825</v>
      </c>
      <c r="S63" s="360">
        <f t="shared" si="28"/>
        <v>105.11532393107561</v>
      </c>
      <c r="T63" s="360">
        <f t="shared" si="28"/>
        <v>107.51567813662722</v>
      </c>
      <c r="U63" s="360">
        <f t="shared" si="28"/>
        <v>109.97152042423585</v>
      </c>
      <c r="V63" s="360">
        <f t="shared" si="28"/>
        <v>112.48414832859098</v>
      </c>
      <c r="W63" s="360">
        <f t="shared" si="28"/>
        <v>115.05489004817962</v>
      </c>
      <c r="X63" s="360">
        <f t="shared" si="28"/>
        <v>117.68510517686069</v>
      </c>
      <c r="Y63" s="360">
        <f t="shared" si="28"/>
        <v>120.37618545304115</v>
      </c>
      <c r="Z63" s="360">
        <f t="shared" si="28"/>
        <v>123.12955552687853</v>
      </c>
      <c r="AA63" s="360">
        <f t="shared" si="28"/>
        <v>125.94667374594857</v>
      </c>
      <c r="AB63" s="360">
        <f t="shared" si="28"/>
        <v>128.82903295982413</v>
      </c>
      <c r="AC63" s="360">
        <f t="shared" si="28"/>
        <v>131.77816134402508</v>
      </c>
      <c r="AD63" s="360">
        <f t="shared" si="28"/>
        <v>134.79562324380763</v>
      </c>
      <c r="AE63" s="360">
        <f t="shared" si="28"/>
        <v>137.88302003827567</v>
      </c>
      <c r="AF63" s="360">
        <f t="shared" si="28"/>
        <v>141.0419910253058</v>
      </c>
      <c r="AG63" s="360">
        <f t="shared" si="28"/>
        <v>144.27421432779181</v>
      </c>
      <c r="AH63" s="360">
        <f t="shared" si="28"/>
        <v>147.58140782172524</v>
      </c>
      <c r="AI63" s="360">
        <f t="shared" si="28"/>
        <v>150.53303597815975</v>
      </c>
      <c r="AJ63" s="360">
        <f t="shared" si="28"/>
        <v>153.54369669772294</v>
      </c>
      <c r="AK63" s="360">
        <f t="shared" si="28"/>
        <v>156.61457063167742</v>
      </c>
      <c r="AL63" s="360">
        <f t="shared" si="28"/>
        <v>159.74686204431094</v>
      </c>
      <c r="AM63" s="360">
        <f t="shared" si="28"/>
        <v>162.94179928519716</v>
      </c>
      <c r="AN63" s="360">
        <f t="shared" si="28"/>
        <v>166.20063527090107</v>
      </c>
      <c r="AO63" s="360">
        <f t="shared" si="28"/>
        <v>169.52464797631913</v>
      </c>
      <c r="AP63" s="360">
        <f t="shared" si="28"/>
        <v>172.91514093584553</v>
      </c>
      <c r="AQ63" s="360">
        <f t="shared" si="28"/>
        <v>176.37344375456243</v>
      </c>
      <c r="AR63" s="360">
        <f t="shared" si="28"/>
        <v>179.90091262965367</v>
      </c>
      <c r="AS63" s="360">
        <f t="shared" si="28"/>
        <v>183.49893088224673</v>
      </c>
      <c r="AT63" s="360">
        <f t="shared" si="28"/>
        <v>187.1689094998917</v>
      </c>
      <c r="AU63" s="360">
        <f t="shared" si="28"/>
        <v>190.91228768988955</v>
      </c>
      <c r="AV63" s="360">
        <f t="shared" si="28"/>
        <v>194.73053344368725</v>
      </c>
      <c r="AW63" s="360">
        <f t="shared" si="28"/>
        <v>198.62514411256106</v>
      </c>
      <c r="AX63" s="360">
        <f t="shared" si="28"/>
        <v>202.59764699481227</v>
      </c>
      <c r="AY63" s="360">
        <f t="shared" si="28"/>
        <v>206.6495999347085</v>
      </c>
      <c r="AZ63" s="360">
        <f t="shared" si="28"/>
        <v>210.78259193340267</v>
      </c>
      <c r="BA63" s="360">
        <f t="shared" si="28"/>
        <v>214.99824377207074</v>
      </c>
      <c r="BB63" s="360">
        <f t="shared" si="28"/>
        <v>219.29820864751215</v>
      </c>
      <c r="BC63" s="360">
        <f t="shared" si="28"/>
        <v>223.68417282046241</v>
      </c>
      <c r="BD63" s="360">
        <f t="shared" si="28"/>
        <v>228.1578562768716</v>
      </c>
      <c r="BE63" s="360">
        <f t="shared" si="28"/>
        <v>232.72101340240906</v>
      </c>
      <c r="BF63" s="360">
        <f t="shared" si="28"/>
        <v>237.37543367045726</v>
      </c>
      <c r="BG63" s="360">
        <f t="shared" si="28"/>
        <v>242.12294234386638</v>
      </c>
      <c r="BH63" s="360">
        <f t="shared" si="28"/>
        <v>246.96540119074371</v>
      </c>
      <c r="BI63" s="360">
        <f t="shared" si="28"/>
        <v>251.90470921455861</v>
      </c>
      <c r="BJ63" s="360">
        <f t="shared" si="28"/>
        <v>256.94280339884972</v>
      </c>
      <c r="BK63" s="360">
        <f t="shared" si="28"/>
        <v>262.08165946682675</v>
      </c>
      <c r="BL63" s="360">
        <f t="shared" si="28"/>
        <v>267.32329265616323</v>
      </c>
      <c r="BM63" s="360">
        <f t="shared" si="28"/>
        <v>272.66975850928651</v>
      </c>
      <c r="BN63" s="360">
        <f t="shared" si="28"/>
        <v>278.12315367947224</v>
      </c>
      <c r="BO63" s="360">
        <f t="shared" si="28"/>
        <v>283.68561675306171</v>
      </c>
      <c r="BP63" s="360">
        <f t="shared" si="28"/>
        <v>289.35932908812288</v>
      </c>
      <c r="BQ63" s="360">
        <f t="shared" si="28"/>
        <v>295.14651566988545</v>
      </c>
      <c r="BR63" s="360">
        <f t="shared" si="28"/>
        <v>301.04944598328308</v>
      </c>
      <c r="BS63" s="360">
        <f t="shared" si="28"/>
        <v>307.07043490294876</v>
      </c>
      <c r="BT63" s="360">
        <f t="shared" si="28"/>
        <v>313.21184360100767</v>
      </c>
      <c r="BU63" s="360">
        <f t="shared" si="28"/>
        <v>319.47608047302788</v>
      </c>
      <c r="BV63" s="360">
        <f t="shared" si="28"/>
        <v>325.86560208248846</v>
      </c>
      <c r="BW63" s="360">
        <f t="shared" si="28"/>
        <v>332.38291412413821</v>
      </c>
      <c r="BX63" s="360">
        <f t="shared" si="28"/>
        <v>339.03057240662099</v>
      </c>
      <c r="BY63" s="360">
        <f t="shared" si="28"/>
        <v>345.81118385475338</v>
      </c>
      <c r="BZ63" s="360">
        <f t="shared" si="28"/>
        <v>352.72740753184848</v>
      </c>
      <c r="CA63" s="360">
        <f t="shared" si="28"/>
        <v>359.78195568248549</v>
      </c>
      <c r="CB63" s="360">
        <f t="shared" si="28"/>
        <v>366.97759479613512</v>
      </c>
      <c r="CC63" s="360">
        <f t="shared" si="28"/>
        <v>374.31714669205786</v>
      </c>
      <c r="CD63" s="360">
        <f t="shared" si="28"/>
        <v>381.80348962589898</v>
      </c>
      <c r="CE63" s="360">
        <f t="shared" si="28"/>
        <v>389.43955941841699</v>
      </c>
      <c r="CF63" s="360">
        <f t="shared" si="28"/>
        <v>397.22835060678528</v>
      </c>
      <c r="CG63" s="360">
        <f t="shared" si="28"/>
        <v>405.17291761892108</v>
      </c>
      <c r="CH63" s="360">
        <f t="shared" si="28"/>
        <v>413.27637597129944</v>
      </c>
      <c r="CI63" s="360">
        <f t="shared" si="28"/>
        <v>421.54190349072547</v>
      </c>
      <c r="CJ63" s="360">
        <f t="shared" si="28"/>
        <v>429.97274156053987</v>
      </c>
      <c r="CK63" s="360">
        <f t="shared" si="28"/>
        <v>438.57219639175071</v>
      </c>
      <c r="CL63" s="360">
        <f t="shared" si="28"/>
        <v>447.34364031958575</v>
      </c>
      <c r="CM63" s="360">
        <f t="shared" si="28"/>
        <v>456.29051312597744</v>
      </c>
      <c r="CN63" s="360">
        <f t="shared" si="28"/>
        <v>465.41632338849695</v>
      </c>
      <c r="CO63" s="360">
        <f t="shared" si="28"/>
        <v>474.72464985626692</v>
      </c>
      <c r="CP63" s="360">
        <f t="shared" si="28"/>
        <v>484.21914285339227</v>
      </c>
      <c r="CQ63" s="360">
        <f t="shared" si="28"/>
        <v>493.90352571046014</v>
      </c>
      <c r="CR63" s="360">
        <f t="shared" si="28"/>
        <v>503.78159622466922</v>
      </c>
      <c r="CS63" s="360">
        <f t="shared" si="28"/>
        <v>513.85722814916267</v>
      </c>
      <c r="CT63" s="360">
        <f t="shared" si="28"/>
        <v>524.13437271214593</v>
      </c>
      <c r="CU63" s="360">
        <f t="shared" si="28"/>
        <v>534.61706016638891</v>
      </c>
      <c r="CV63" s="360">
        <f t="shared" si="28"/>
        <v>545.30940136971651</v>
      </c>
      <c r="CW63" s="360">
        <f t="shared" si="28"/>
        <v>556.21558939711099</v>
      </c>
      <c r="CX63" s="360">
        <f t="shared" si="28"/>
        <v>567.33990118505312</v>
      </c>
      <c r="CY63" s="360">
        <f t="shared" si="28"/>
        <v>578.68669920875425</v>
      </c>
      <c r="CZ63" s="360">
        <f t="shared" si="28"/>
        <v>590.26043319292921</v>
      </c>
      <c r="DA63" s="360">
        <f t="shared" si="28"/>
        <v>602.06564185678792</v>
      </c>
      <c r="DB63" s="360">
        <f t="shared" si="28"/>
        <v>614.10695469392374</v>
      </c>
      <c r="DC63" s="360">
        <f t="shared" si="28"/>
        <v>626.38909378780215</v>
      </c>
      <c r="DD63" s="360">
        <f t="shared" si="28"/>
        <v>638.91687566355813</v>
      </c>
      <c r="DE63" s="360">
        <f t="shared" si="28"/>
        <v>651.69521317682927</v>
      </c>
      <c r="DF63" s="296"/>
      <c r="DG63" s="296"/>
      <c r="DH63" s="296"/>
      <c r="DI63" s="296"/>
      <c r="DJ63" s="296"/>
      <c r="DK63" s="296"/>
      <c r="DL63" s="296"/>
    </row>
    <row r="64" spans="1:116" ht="15.75" hidden="1" customHeight="1" outlineLevel="1" x14ac:dyDescent="0.25">
      <c r="A64" s="752" t="s">
        <v>294</v>
      </c>
      <c r="B64" s="752"/>
      <c r="C64" s="752"/>
      <c r="D64" s="314" t="s">
        <v>247</v>
      </c>
      <c r="E64" s="315"/>
      <c r="F64" s="316" t="s">
        <v>14</v>
      </c>
      <c r="G64" s="317">
        <f t="shared" si="27"/>
        <v>825905.56623803906</v>
      </c>
      <c r="H64" s="318">
        <f t="shared" ref="H64:DE64" si="29">H45+H53+H63</f>
        <v>18137.315253705045</v>
      </c>
      <c r="I64" s="319">
        <f t="shared" si="29"/>
        <v>18137.542165590945</v>
      </c>
      <c r="J64" s="319">
        <f t="shared" si="29"/>
        <v>18504.904881903785</v>
      </c>
      <c r="K64" s="319">
        <f t="shared" si="29"/>
        <v>18880.192924646417</v>
      </c>
      <c r="L64" s="319">
        <f t="shared" si="29"/>
        <v>19263.643205671207</v>
      </c>
      <c r="M64" s="319">
        <f t="shared" si="29"/>
        <v>19655.508154980816</v>
      </c>
      <c r="N64" s="319">
        <f t="shared" si="29"/>
        <v>20056.05751655412</v>
      </c>
      <c r="O64" s="319">
        <f t="shared" si="29"/>
        <v>20465.580384860561</v>
      </c>
      <c r="P64" s="319">
        <f t="shared" si="29"/>
        <v>20884.387515106457</v>
      </c>
      <c r="Q64" s="319">
        <f t="shared" si="29"/>
        <v>21312.813944809335</v>
      </c>
      <c r="R64" s="319">
        <f t="shared" si="29"/>
        <v>21751.221969476661</v>
      </c>
      <c r="S64" s="319">
        <f t="shared" si="29"/>
        <v>22200.004521059531</v>
      </c>
      <c r="T64" s="319">
        <f t="shared" si="29"/>
        <v>22659.589004558857</v>
      </c>
      <c r="U64" s="319">
        <f t="shared" si="29"/>
        <v>23130.44165579286</v>
      </c>
      <c r="V64" s="319">
        <f t="shared" si="29"/>
        <v>23613.072492018102</v>
      </c>
      <c r="W64" s="319">
        <f t="shared" si="29"/>
        <v>24108.040936976849</v>
      </c>
      <c r="X64" s="319">
        <f t="shared" si="29"/>
        <v>24615.962213185921</v>
      </c>
      <c r="Y64" s="319">
        <f t="shared" si="29"/>
        <v>25137.514607074656</v>
      </c>
      <c r="Z64" s="319">
        <f t="shared" si="29"/>
        <v>25673.447727135303</v>
      </c>
      <c r="AA64" s="319">
        <f t="shared" si="29"/>
        <v>26224.591891811851</v>
      </c>
      <c r="AB64" s="319">
        <f t="shared" si="29"/>
        <v>26791.868802698933</v>
      </c>
      <c r="AC64" s="319">
        <f t="shared" si="29"/>
        <v>27376.303680065968</v>
      </c>
      <c r="AD64" s="319">
        <f t="shared" si="29"/>
        <v>27979.03906212205</v>
      </c>
      <c r="AE64" s="319">
        <f t="shared" si="29"/>
        <v>28601.350497200456</v>
      </c>
      <c r="AF64" s="319">
        <f t="shared" si="29"/>
        <v>29244.664389632664</v>
      </c>
      <c r="AG64" s="319">
        <f t="shared" si="29"/>
        <v>29910.57829602843</v>
      </c>
      <c r="AH64" s="319">
        <f t="shared" si="29"/>
        <v>30600.884009579589</v>
      </c>
      <c r="AI64" s="319">
        <f t="shared" si="29"/>
        <v>31213.340112879585</v>
      </c>
      <c r="AJ64" s="319">
        <f t="shared" si="29"/>
        <v>31838.054106707739</v>
      </c>
      <c r="AK64" s="319">
        <f t="shared" si="29"/>
        <v>32475.271324243884</v>
      </c>
      <c r="AL64" s="319">
        <f t="shared" si="29"/>
        <v>33125.242008838773</v>
      </c>
      <c r="AM64" s="319">
        <f t="shared" si="29"/>
        <v>33788.22141228777</v>
      </c>
      <c r="AN64" s="319">
        <f t="shared" si="29"/>
        <v>34464.469895071183</v>
      </c>
      <c r="AO64" s="319">
        <f t="shared" si="29"/>
        <v>35154.253028601037</v>
      </c>
      <c r="AP64" s="319">
        <f t="shared" si="29"/>
        <v>35857.841699514043</v>
      </c>
      <c r="AQ64" s="319">
        <f t="shared" si="29"/>
        <v>36575.512216052128</v>
      </c>
      <c r="AR64" s="319">
        <f t="shared" si="29"/>
        <v>37307.546416571924</v>
      </c>
      <c r="AS64" s="319">
        <f t="shared" si="29"/>
        <v>38054.23178022611</v>
      </c>
      <c r="AT64" s="319">
        <f t="shared" si="29"/>
        <v>38815.861539859819</v>
      </c>
      <c r="AU64" s="319">
        <f t="shared" si="29"/>
        <v>39592.734797166799</v>
      </c>
      <c r="AV64" s="319">
        <f t="shared" si="29"/>
        <v>40385.15664015009</v>
      </c>
      <c r="AW64" s="319">
        <f t="shared" si="29"/>
        <v>41193.43826293388</v>
      </c>
      <c r="AX64" s="319">
        <f t="shared" si="29"/>
        <v>42017.897087972931</v>
      </c>
      <c r="AY64" s="319">
        <f t="shared" si="29"/>
        <v>42858.856890708383</v>
      </c>
      <c r="AZ64" s="319">
        <f t="shared" si="29"/>
        <v>43716.647926718055</v>
      </c>
      <c r="BA64" s="319">
        <f t="shared" si="29"/>
        <v>44591.607061411858</v>
      </c>
      <c r="BB64" s="319">
        <f t="shared" si="29"/>
        <v>45484.077902322693</v>
      </c>
      <c r="BC64" s="319">
        <f t="shared" si="29"/>
        <v>46394.410934045423</v>
      </c>
      <c r="BD64" s="319">
        <f t="shared" si="29"/>
        <v>47322.963655876105</v>
      </c>
      <c r="BE64" s="319">
        <f t="shared" si="29"/>
        <v>48270.100722206422</v>
      </c>
      <c r="BF64" s="319">
        <f t="shared" si="29"/>
        <v>49236.194085727599</v>
      </c>
      <c r="BG64" s="319">
        <f t="shared" si="29"/>
        <v>50221.623143500728</v>
      </c>
      <c r="BH64" s="319">
        <f t="shared" si="29"/>
        <v>51226.774885950486</v>
      </c>
      <c r="BI64" s="319">
        <f t="shared" si="29"/>
        <v>52252.044048840857</v>
      </c>
      <c r="BJ64" s="319">
        <f t="shared" si="29"/>
        <v>53297.833268292445</v>
      </c>
      <c r="BK64" s="319">
        <f t="shared" si="29"/>
        <v>54364.553238902568</v>
      </c>
      <c r="BL64" s="319">
        <f t="shared" si="29"/>
        <v>55452.62287502976</v>
      </c>
      <c r="BM64" s="319">
        <f t="shared" si="29"/>
        <v>56562.469475306498</v>
      </c>
      <c r="BN64" s="319">
        <f t="shared" si="29"/>
        <v>57694.528890444293</v>
      </c>
      <c r="BO64" s="319">
        <f t="shared" si="29"/>
        <v>58849.245694397483</v>
      </c>
      <c r="BP64" s="319">
        <f t="shared" si="29"/>
        <v>60027.073358952606</v>
      </c>
      <c r="BQ64" s="319">
        <f t="shared" si="29"/>
        <v>61228.474431812196</v>
      </c>
      <c r="BR64" s="319">
        <f t="shared" si="29"/>
        <v>62453.920718242567</v>
      </c>
      <c r="BS64" s="319">
        <f t="shared" si="29"/>
        <v>63703.89346635744</v>
      </c>
      <c r="BT64" s="319">
        <f t="shared" si="29"/>
        <v>64978.883556109591</v>
      </c>
      <c r="BU64" s="319">
        <f t="shared" si="29"/>
        <v>66279.391692065328</v>
      </c>
      <c r="BV64" s="319">
        <f t="shared" si="29"/>
        <v>67605.928600036816</v>
      </c>
      <c r="BW64" s="319">
        <f t="shared" si="29"/>
        <v>68959.01522765035</v>
      </c>
      <c r="BX64" s="319">
        <f t="shared" si="29"/>
        <v>70339.182948928399</v>
      </c>
      <c r="BY64" s="319">
        <f t="shared" si="29"/>
        <v>71746.973772966507</v>
      </c>
      <c r="BZ64" s="319">
        <f t="shared" si="29"/>
        <v>73182.940556786591</v>
      </c>
      <c r="CA64" s="319">
        <f t="shared" si="29"/>
        <v>74647.64722245028</v>
      </c>
      <c r="CB64" s="319">
        <f t="shared" si="29"/>
        <v>76141.668978517802</v>
      </c>
      <c r="CC64" s="319">
        <f t="shared" si="29"/>
        <v>77665.592545939056</v>
      </c>
      <c r="CD64" s="319">
        <f t="shared" si="29"/>
        <v>79220.016388465723</v>
      </c>
      <c r="CE64" s="319">
        <f t="shared" si="29"/>
        <v>80805.550947675118</v>
      </c>
      <c r="CF64" s="319">
        <f t="shared" si="29"/>
        <v>82422.818882697466</v>
      </c>
      <c r="CG64" s="319">
        <f t="shared" si="29"/>
        <v>84072.455314741659</v>
      </c>
      <c r="CH64" s="319">
        <f t="shared" si="29"/>
        <v>85755.108076514531</v>
      </c>
      <c r="CI64" s="319">
        <f t="shared" si="29"/>
        <v>87471.437966632438</v>
      </c>
      <c r="CJ64" s="319">
        <f t="shared" si="29"/>
        <v>89222.119009124421</v>
      </c>
      <c r="CK64" s="319">
        <f t="shared" si="29"/>
        <v>91007.838718129467</v>
      </c>
      <c r="CL64" s="319">
        <f t="shared" si="29"/>
        <v>92829.298367891039</v>
      </c>
      <c r="CM64" s="319">
        <f t="shared" si="29"/>
        <v>94687.213268155829</v>
      </c>
      <c r="CN64" s="319">
        <f t="shared" si="29"/>
        <v>96582.313045084069</v>
      </c>
      <c r="CO64" s="319">
        <f t="shared" si="29"/>
        <v>98515.341927782167</v>
      </c>
      <c r="CP64" s="319">
        <f t="shared" si="29"/>
        <v>100487.05904057017</v>
      </c>
      <c r="CQ64" s="319">
        <f t="shared" si="29"/>
        <v>102498.23870109855</v>
      </c>
      <c r="CR64" s="319">
        <f t="shared" si="29"/>
        <v>104549.67072443184</v>
      </c>
      <c r="CS64" s="319">
        <f t="shared" si="29"/>
        <v>106642.16073321804</v>
      </c>
      <c r="CT64" s="319">
        <f t="shared" si="29"/>
        <v>108776.53047406593</v>
      </c>
      <c r="CU64" s="319">
        <f t="shared" si="29"/>
        <v>110953.61814025443</v>
      </c>
      <c r="CV64" s="319">
        <f t="shared" si="29"/>
        <v>113174.27870090082</v>
      </c>
      <c r="CW64" s="319">
        <f t="shared" si="29"/>
        <v>115439.38423671701</v>
      </c>
      <c r="CX64" s="319">
        <f t="shared" si="29"/>
        <v>117749.82428248547</v>
      </c>
      <c r="CY64" s="319">
        <f t="shared" si="29"/>
        <v>120106.50617638997</v>
      </c>
      <c r="CZ64" s="319">
        <f t="shared" si="29"/>
        <v>122510.35541633764</v>
      </c>
      <c r="DA64" s="319">
        <f t="shared" si="29"/>
        <v>124962.3160234127</v>
      </c>
      <c r="DB64" s="319">
        <f t="shared" si="29"/>
        <v>127463.35091260423</v>
      </c>
      <c r="DC64" s="319">
        <f t="shared" si="29"/>
        <v>130014.44227095401</v>
      </c>
      <c r="DD64" s="319">
        <f t="shared" si="29"/>
        <v>132616.5919432728</v>
      </c>
      <c r="DE64" s="319">
        <f t="shared" si="29"/>
        <v>135270.82182557587</v>
      </c>
      <c r="DF64" s="320"/>
      <c r="DG64" s="320"/>
      <c r="DH64" s="320"/>
      <c r="DI64" s="320"/>
      <c r="DJ64" s="320"/>
      <c r="DK64" s="320"/>
      <c r="DL64" s="320"/>
    </row>
    <row r="65" spans="1:116" ht="15.75" customHeight="1" outlineLevel="1" x14ac:dyDescent="0.25">
      <c r="A65" s="760" t="s">
        <v>52</v>
      </c>
      <c r="B65" s="760" t="s">
        <v>295</v>
      </c>
      <c r="C65" s="391" t="s">
        <v>296</v>
      </c>
      <c r="D65" s="279" t="s">
        <v>297</v>
      </c>
      <c r="E65" s="280" t="s">
        <v>298</v>
      </c>
      <c r="F65" s="392"/>
      <c r="G65" s="393" t="s">
        <v>299</v>
      </c>
      <c r="H65" s="394">
        <f>'Unit Costs and Indicators'!D18</f>
        <v>0.28409090909090912</v>
      </c>
      <c r="I65" s="393">
        <f t="shared" ref="I65:DE65" si="30">H65</f>
        <v>0.28409090909090912</v>
      </c>
      <c r="J65" s="393">
        <f t="shared" si="30"/>
        <v>0.28409090909090912</v>
      </c>
      <c r="K65" s="393">
        <f t="shared" si="30"/>
        <v>0.28409090909090912</v>
      </c>
      <c r="L65" s="393">
        <f t="shared" si="30"/>
        <v>0.28409090909090912</v>
      </c>
      <c r="M65" s="393">
        <f t="shared" si="30"/>
        <v>0.28409090909090912</v>
      </c>
      <c r="N65" s="393">
        <f t="shared" si="30"/>
        <v>0.28409090909090912</v>
      </c>
      <c r="O65" s="393">
        <f t="shared" si="30"/>
        <v>0.28409090909090912</v>
      </c>
      <c r="P65" s="393">
        <f t="shared" si="30"/>
        <v>0.28409090909090912</v>
      </c>
      <c r="Q65" s="393">
        <f t="shared" si="30"/>
        <v>0.28409090909090912</v>
      </c>
      <c r="R65" s="393">
        <f t="shared" si="30"/>
        <v>0.28409090909090912</v>
      </c>
      <c r="S65" s="393">
        <f t="shared" si="30"/>
        <v>0.28409090909090912</v>
      </c>
      <c r="T65" s="393">
        <f t="shared" si="30"/>
        <v>0.28409090909090912</v>
      </c>
      <c r="U65" s="393">
        <f t="shared" si="30"/>
        <v>0.28409090909090912</v>
      </c>
      <c r="V65" s="393">
        <f t="shared" si="30"/>
        <v>0.28409090909090912</v>
      </c>
      <c r="W65" s="393">
        <f t="shared" si="30"/>
        <v>0.28409090909090912</v>
      </c>
      <c r="X65" s="393">
        <f t="shared" si="30"/>
        <v>0.28409090909090912</v>
      </c>
      <c r="Y65" s="393">
        <f t="shared" si="30"/>
        <v>0.28409090909090912</v>
      </c>
      <c r="Z65" s="393">
        <f t="shared" si="30"/>
        <v>0.28409090909090912</v>
      </c>
      <c r="AA65" s="393">
        <f t="shared" si="30"/>
        <v>0.28409090909090912</v>
      </c>
      <c r="AB65" s="393">
        <f t="shared" si="30"/>
        <v>0.28409090909090912</v>
      </c>
      <c r="AC65" s="393">
        <f t="shared" si="30"/>
        <v>0.28409090909090912</v>
      </c>
      <c r="AD65" s="393">
        <f t="shared" si="30"/>
        <v>0.28409090909090912</v>
      </c>
      <c r="AE65" s="393">
        <f t="shared" si="30"/>
        <v>0.28409090909090912</v>
      </c>
      <c r="AF65" s="393">
        <f t="shared" si="30"/>
        <v>0.28409090909090912</v>
      </c>
      <c r="AG65" s="393">
        <f t="shared" si="30"/>
        <v>0.28409090909090912</v>
      </c>
      <c r="AH65" s="393">
        <f t="shared" si="30"/>
        <v>0.28409090909090912</v>
      </c>
      <c r="AI65" s="393">
        <f t="shared" si="30"/>
        <v>0.28409090909090912</v>
      </c>
      <c r="AJ65" s="393">
        <f t="shared" si="30"/>
        <v>0.28409090909090912</v>
      </c>
      <c r="AK65" s="393">
        <f t="shared" si="30"/>
        <v>0.28409090909090912</v>
      </c>
      <c r="AL65" s="393">
        <f t="shared" si="30"/>
        <v>0.28409090909090912</v>
      </c>
      <c r="AM65" s="393">
        <f t="shared" si="30"/>
        <v>0.28409090909090912</v>
      </c>
      <c r="AN65" s="393">
        <f t="shared" si="30"/>
        <v>0.28409090909090912</v>
      </c>
      <c r="AO65" s="393">
        <f t="shared" si="30"/>
        <v>0.28409090909090912</v>
      </c>
      <c r="AP65" s="393">
        <f t="shared" si="30"/>
        <v>0.28409090909090912</v>
      </c>
      <c r="AQ65" s="393">
        <f t="shared" si="30"/>
        <v>0.28409090909090912</v>
      </c>
      <c r="AR65" s="393">
        <f t="shared" si="30"/>
        <v>0.28409090909090912</v>
      </c>
      <c r="AS65" s="393">
        <f t="shared" si="30"/>
        <v>0.28409090909090912</v>
      </c>
      <c r="AT65" s="393">
        <f t="shared" si="30"/>
        <v>0.28409090909090912</v>
      </c>
      <c r="AU65" s="393">
        <f t="shared" si="30"/>
        <v>0.28409090909090912</v>
      </c>
      <c r="AV65" s="393">
        <f t="shared" si="30"/>
        <v>0.28409090909090912</v>
      </c>
      <c r="AW65" s="393">
        <f t="shared" si="30"/>
        <v>0.28409090909090912</v>
      </c>
      <c r="AX65" s="393">
        <f t="shared" si="30"/>
        <v>0.28409090909090912</v>
      </c>
      <c r="AY65" s="393">
        <f t="shared" si="30"/>
        <v>0.28409090909090912</v>
      </c>
      <c r="AZ65" s="393">
        <f t="shared" si="30"/>
        <v>0.28409090909090912</v>
      </c>
      <c r="BA65" s="393">
        <f t="shared" si="30"/>
        <v>0.28409090909090912</v>
      </c>
      <c r="BB65" s="393">
        <f t="shared" si="30"/>
        <v>0.28409090909090912</v>
      </c>
      <c r="BC65" s="393">
        <f t="shared" si="30"/>
        <v>0.28409090909090912</v>
      </c>
      <c r="BD65" s="393">
        <f t="shared" si="30"/>
        <v>0.28409090909090912</v>
      </c>
      <c r="BE65" s="393">
        <f t="shared" si="30"/>
        <v>0.28409090909090912</v>
      </c>
      <c r="BF65" s="393">
        <f t="shared" si="30"/>
        <v>0.28409090909090912</v>
      </c>
      <c r="BG65" s="393">
        <f t="shared" si="30"/>
        <v>0.28409090909090912</v>
      </c>
      <c r="BH65" s="393">
        <f t="shared" si="30"/>
        <v>0.28409090909090912</v>
      </c>
      <c r="BI65" s="393">
        <f t="shared" si="30"/>
        <v>0.28409090909090912</v>
      </c>
      <c r="BJ65" s="393">
        <f t="shared" si="30"/>
        <v>0.28409090909090912</v>
      </c>
      <c r="BK65" s="393">
        <f t="shared" si="30"/>
        <v>0.28409090909090912</v>
      </c>
      <c r="BL65" s="393">
        <f t="shared" si="30"/>
        <v>0.28409090909090912</v>
      </c>
      <c r="BM65" s="393">
        <f t="shared" si="30"/>
        <v>0.28409090909090912</v>
      </c>
      <c r="BN65" s="393">
        <f t="shared" si="30"/>
        <v>0.28409090909090912</v>
      </c>
      <c r="BO65" s="393">
        <f t="shared" si="30"/>
        <v>0.28409090909090912</v>
      </c>
      <c r="BP65" s="393">
        <f t="shared" si="30"/>
        <v>0.28409090909090912</v>
      </c>
      <c r="BQ65" s="393">
        <f t="shared" si="30"/>
        <v>0.28409090909090912</v>
      </c>
      <c r="BR65" s="393">
        <f t="shared" si="30"/>
        <v>0.28409090909090912</v>
      </c>
      <c r="BS65" s="393">
        <f t="shared" si="30"/>
        <v>0.28409090909090912</v>
      </c>
      <c r="BT65" s="393">
        <f t="shared" si="30"/>
        <v>0.28409090909090912</v>
      </c>
      <c r="BU65" s="393">
        <f t="shared" si="30"/>
        <v>0.28409090909090912</v>
      </c>
      <c r="BV65" s="393">
        <f t="shared" si="30"/>
        <v>0.28409090909090912</v>
      </c>
      <c r="BW65" s="393">
        <f t="shared" si="30"/>
        <v>0.28409090909090912</v>
      </c>
      <c r="BX65" s="393">
        <f t="shared" si="30"/>
        <v>0.28409090909090912</v>
      </c>
      <c r="BY65" s="393">
        <f t="shared" si="30"/>
        <v>0.28409090909090912</v>
      </c>
      <c r="BZ65" s="393">
        <f t="shared" si="30"/>
        <v>0.28409090909090912</v>
      </c>
      <c r="CA65" s="393">
        <f t="shared" si="30"/>
        <v>0.28409090909090912</v>
      </c>
      <c r="CB65" s="393">
        <f t="shared" si="30"/>
        <v>0.28409090909090912</v>
      </c>
      <c r="CC65" s="393">
        <f t="shared" si="30"/>
        <v>0.28409090909090912</v>
      </c>
      <c r="CD65" s="393">
        <f t="shared" si="30"/>
        <v>0.28409090909090912</v>
      </c>
      <c r="CE65" s="393">
        <f t="shared" si="30"/>
        <v>0.28409090909090912</v>
      </c>
      <c r="CF65" s="393">
        <f t="shared" si="30"/>
        <v>0.28409090909090912</v>
      </c>
      <c r="CG65" s="393">
        <f t="shared" si="30"/>
        <v>0.28409090909090912</v>
      </c>
      <c r="CH65" s="393">
        <f t="shared" si="30"/>
        <v>0.28409090909090912</v>
      </c>
      <c r="CI65" s="393">
        <f t="shared" si="30"/>
        <v>0.28409090909090912</v>
      </c>
      <c r="CJ65" s="393">
        <f t="shared" si="30"/>
        <v>0.28409090909090912</v>
      </c>
      <c r="CK65" s="393">
        <f t="shared" si="30"/>
        <v>0.28409090909090912</v>
      </c>
      <c r="CL65" s="393">
        <f t="shared" si="30"/>
        <v>0.28409090909090912</v>
      </c>
      <c r="CM65" s="393">
        <f t="shared" si="30"/>
        <v>0.28409090909090912</v>
      </c>
      <c r="CN65" s="393">
        <f t="shared" si="30"/>
        <v>0.28409090909090912</v>
      </c>
      <c r="CO65" s="393">
        <f t="shared" si="30"/>
        <v>0.28409090909090912</v>
      </c>
      <c r="CP65" s="393">
        <f t="shared" si="30"/>
        <v>0.28409090909090912</v>
      </c>
      <c r="CQ65" s="393">
        <f t="shared" si="30"/>
        <v>0.28409090909090912</v>
      </c>
      <c r="CR65" s="393">
        <f t="shared" si="30"/>
        <v>0.28409090909090912</v>
      </c>
      <c r="CS65" s="393">
        <f t="shared" si="30"/>
        <v>0.28409090909090912</v>
      </c>
      <c r="CT65" s="393">
        <f t="shared" si="30"/>
        <v>0.28409090909090912</v>
      </c>
      <c r="CU65" s="393">
        <f t="shared" si="30"/>
        <v>0.28409090909090912</v>
      </c>
      <c r="CV65" s="393">
        <f t="shared" si="30"/>
        <v>0.28409090909090912</v>
      </c>
      <c r="CW65" s="393">
        <f t="shared" si="30"/>
        <v>0.28409090909090912</v>
      </c>
      <c r="CX65" s="393">
        <f t="shared" si="30"/>
        <v>0.28409090909090912</v>
      </c>
      <c r="CY65" s="393">
        <f t="shared" si="30"/>
        <v>0.28409090909090912</v>
      </c>
      <c r="CZ65" s="393">
        <f t="shared" si="30"/>
        <v>0.28409090909090912</v>
      </c>
      <c r="DA65" s="393">
        <f t="shared" si="30"/>
        <v>0.28409090909090912</v>
      </c>
      <c r="DB65" s="393">
        <f t="shared" si="30"/>
        <v>0.28409090909090912</v>
      </c>
      <c r="DC65" s="393">
        <f t="shared" si="30"/>
        <v>0.28409090909090912</v>
      </c>
      <c r="DD65" s="393">
        <f t="shared" si="30"/>
        <v>0.28409090909090912</v>
      </c>
      <c r="DE65" s="393">
        <f t="shared" si="30"/>
        <v>0.28409090909090912</v>
      </c>
      <c r="DF65" s="393"/>
      <c r="DG65" s="393"/>
      <c r="DH65" s="393"/>
      <c r="DI65" s="393"/>
      <c r="DJ65" s="393"/>
      <c r="DK65" s="393"/>
      <c r="DL65" s="393"/>
    </row>
    <row r="66" spans="1:116" ht="15.75" customHeight="1" outlineLevel="1" x14ac:dyDescent="0.25">
      <c r="A66" s="751"/>
      <c r="B66" s="751"/>
      <c r="C66" s="391" t="s">
        <v>300</v>
      </c>
      <c r="D66" s="279" t="s">
        <v>297</v>
      </c>
      <c r="E66" s="280" t="s">
        <v>301</v>
      </c>
      <c r="F66" s="395"/>
      <c r="G66" s="396" t="s">
        <v>302</v>
      </c>
      <c r="H66" s="394">
        <f>H65</f>
        <v>0.28409090909090912</v>
      </c>
      <c r="I66" s="397">
        <f>H66*(1+'Unit Costs and Indicators'!$C$128)</f>
        <v>0.28551864679973521</v>
      </c>
      <c r="J66" s="397">
        <f>I66*(1+'Unit Costs and Indicators'!$C$128)</f>
        <v>0.28695355979963882</v>
      </c>
      <c r="K66" s="397">
        <f>J66*(1+'Unit Costs and Indicators'!$C$128)</f>
        <v>0.2883956841510264</v>
      </c>
      <c r="L66" s="397">
        <f>K66*(1+'Unit Costs and Indicators'!$C$128)</f>
        <v>0.2898450560955308</v>
      </c>
      <c r="M66" s="397">
        <f>L66*(1+'Unit Costs and Indicators'!$C$128)</f>
        <v>0.29130171205692229</v>
      </c>
      <c r="N66" s="397">
        <f>M66*(1+'Unit Costs and Indicators'!$C$128)</f>
        <v>0.29276568864202374</v>
      </c>
      <c r="O66" s="397">
        <f>N66*(1+'Unit Costs and Indicators'!$C$128)</f>
        <v>0.29423702264163054</v>
      </c>
      <c r="P66" s="397">
        <f>O66*(1+'Unit Costs and Indicators'!$C$128)</f>
        <v>0.29571575103143533</v>
      </c>
      <c r="Q66" s="397">
        <f>P66*(1+'Unit Costs and Indicators'!$C$128)</f>
        <v>0.29720191097295706</v>
      </c>
      <c r="R66" s="397">
        <f>Q66*(1+'Unit Costs and Indicators'!$C$128)</f>
        <v>0.29869553981447511</v>
      </c>
      <c r="S66" s="397">
        <f>R66*(1+'Unit Costs and Indicators'!$C$128)</f>
        <v>0.30019667509196768</v>
      </c>
      <c r="T66" s="397">
        <f>S66*(1+'Unit Costs and Indicators'!$C$128)</f>
        <v>0.30170535453005509</v>
      </c>
      <c r="U66" s="397">
        <f>T66*(1+'Unit Costs and Indicators'!$C$128)</f>
        <v>0.30322161604294801</v>
      </c>
      <c r="V66" s="397">
        <f>U66*(1+'Unit Costs and Indicators'!$C$128)</f>
        <v>0.30474549773540011</v>
      </c>
      <c r="W66" s="397">
        <f>V66*(1+'Unit Costs and Indicators'!$C$128)</f>
        <v>0.30627703790366567</v>
      </c>
      <c r="X66" s="397">
        <f>W66*(1+'Unit Costs and Indicators'!$C$128)</f>
        <v>0.30781627503646208</v>
      </c>
      <c r="Y66" s="397">
        <f>X66*(1+'Unit Costs and Indicators'!$C$128)</f>
        <v>0.30936324781593705</v>
      </c>
      <c r="Z66" s="397">
        <f>Y66*(1+'Unit Costs and Indicators'!$C$128)</f>
        <v>0.31091799511864071</v>
      </c>
      <c r="AA66" s="397">
        <f>Z66*(1+'Unit Costs and Indicators'!$C$128)</f>
        <v>0.3124805560165026</v>
      </c>
      <c r="AB66" s="397">
        <f>AA66*(1+'Unit Costs and Indicators'!$C$128)</f>
        <v>0.31405096977781355</v>
      </c>
      <c r="AC66" s="397">
        <f>AB66*(1+'Unit Costs and Indicators'!$C$128)</f>
        <v>0.3156292758682126</v>
      </c>
      <c r="AD66" s="397">
        <f>AC66*(1+'Unit Costs and Indicators'!$C$128)</f>
        <v>0.31721551395167874</v>
      </c>
      <c r="AE66" s="397">
        <f>AD66*(1+'Unit Costs and Indicators'!$C$128)</f>
        <v>0.31880972389152773</v>
      </c>
      <c r="AF66" s="397">
        <f>AE66*(1+'Unit Costs and Indicators'!$C$128)</f>
        <v>0.32041194575141385</v>
      </c>
      <c r="AG66" s="397">
        <f>AF66*(1+'Unit Costs and Indicators'!$C$128)</f>
        <v>0.32202221979633672</v>
      </c>
      <c r="AH66" s="397">
        <f>AG66*(1+'Unit Costs and Indicators'!$C$128)</f>
        <v>0.32364058649365329</v>
      </c>
      <c r="AI66" s="397">
        <f t="shared" ref="AI66:DE66" si="31">AH66</f>
        <v>0.32364058649365329</v>
      </c>
      <c r="AJ66" s="397">
        <f t="shared" si="31"/>
        <v>0.32364058649365329</v>
      </c>
      <c r="AK66" s="397">
        <f t="shared" si="31"/>
        <v>0.32364058649365329</v>
      </c>
      <c r="AL66" s="397">
        <f t="shared" si="31"/>
        <v>0.32364058649365329</v>
      </c>
      <c r="AM66" s="397">
        <f t="shared" si="31"/>
        <v>0.32364058649365329</v>
      </c>
      <c r="AN66" s="397">
        <f t="shared" si="31"/>
        <v>0.32364058649365329</v>
      </c>
      <c r="AO66" s="397">
        <f t="shared" si="31"/>
        <v>0.32364058649365329</v>
      </c>
      <c r="AP66" s="397">
        <f t="shared" si="31"/>
        <v>0.32364058649365329</v>
      </c>
      <c r="AQ66" s="397">
        <f t="shared" si="31"/>
        <v>0.32364058649365329</v>
      </c>
      <c r="AR66" s="397">
        <f t="shared" si="31"/>
        <v>0.32364058649365329</v>
      </c>
      <c r="AS66" s="397">
        <f t="shared" si="31"/>
        <v>0.32364058649365329</v>
      </c>
      <c r="AT66" s="397">
        <f t="shared" si="31"/>
        <v>0.32364058649365329</v>
      </c>
      <c r="AU66" s="397">
        <f t="shared" si="31"/>
        <v>0.32364058649365329</v>
      </c>
      <c r="AV66" s="397">
        <f t="shared" si="31"/>
        <v>0.32364058649365329</v>
      </c>
      <c r="AW66" s="397">
        <f t="shared" si="31"/>
        <v>0.32364058649365329</v>
      </c>
      <c r="AX66" s="397">
        <f t="shared" si="31"/>
        <v>0.32364058649365329</v>
      </c>
      <c r="AY66" s="397">
        <f t="shared" si="31"/>
        <v>0.32364058649365329</v>
      </c>
      <c r="AZ66" s="397">
        <f t="shared" si="31"/>
        <v>0.32364058649365329</v>
      </c>
      <c r="BA66" s="397">
        <f t="shared" si="31"/>
        <v>0.32364058649365329</v>
      </c>
      <c r="BB66" s="397">
        <f t="shared" si="31"/>
        <v>0.32364058649365329</v>
      </c>
      <c r="BC66" s="397">
        <f t="shared" si="31"/>
        <v>0.32364058649365329</v>
      </c>
      <c r="BD66" s="397">
        <f t="shared" si="31"/>
        <v>0.32364058649365329</v>
      </c>
      <c r="BE66" s="397">
        <f t="shared" si="31"/>
        <v>0.32364058649365329</v>
      </c>
      <c r="BF66" s="397">
        <f t="shared" si="31"/>
        <v>0.32364058649365329</v>
      </c>
      <c r="BG66" s="397">
        <f t="shared" si="31"/>
        <v>0.32364058649365329</v>
      </c>
      <c r="BH66" s="397">
        <f t="shared" si="31"/>
        <v>0.32364058649365329</v>
      </c>
      <c r="BI66" s="397">
        <f t="shared" si="31"/>
        <v>0.32364058649365329</v>
      </c>
      <c r="BJ66" s="397">
        <f t="shared" si="31"/>
        <v>0.32364058649365329</v>
      </c>
      <c r="BK66" s="397">
        <f t="shared" si="31"/>
        <v>0.32364058649365329</v>
      </c>
      <c r="BL66" s="397">
        <f t="shared" si="31"/>
        <v>0.32364058649365329</v>
      </c>
      <c r="BM66" s="397">
        <f t="shared" si="31"/>
        <v>0.32364058649365329</v>
      </c>
      <c r="BN66" s="397">
        <f t="shared" si="31"/>
        <v>0.32364058649365329</v>
      </c>
      <c r="BO66" s="397">
        <f t="shared" si="31"/>
        <v>0.32364058649365329</v>
      </c>
      <c r="BP66" s="397">
        <f t="shared" si="31"/>
        <v>0.32364058649365329</v>
      </c>
      <c r="BQ66" s="397">
        <f t="shared" si="31"/>
        <v>0.32364058649365329</v>
      </c>
      <c r="BR66" s="397">
        <f t="shared" si="31"/>
        <v>0.32364058649365329</v>
      </c>
      <c r="BS66" s="397">
        <f t="shared" si="31"/>
        <v>0.32364058649365329</v>
      </c>
      <c r="BT66" s="397">
        <f t="shared" si="31"/>
        <v>0.32364058649365329</v>
      </c>
      <c r="BU66" s="397">
        <f t="shared" si="31"/>
        <v>0.32364058649365329</v>
      </c>
      <c r="BV66" s="397">
        <f t="shared" si="31"/>
        <v>0.32364058649365329</v>
      </c>
      <c r="BW66" s="397">
        <f t="shared" si="31"/>
        <v>0.32364058649365329</v>
      </c>
      <c r="BX66" s="397">
        <f t="shared" si="31"/>
        <v>0.32364058649365329</v>
      </c>
      <c r="BY66" s="397">
        <f t="shared" si="31"/>
        <v>0.32364058649365329</v>
      </c>
      <c r="BZ66" s="397">
        <f t="shared" si="31"/>
        <v>0.32364058649365329</v>
      </c>
      <c r="CA66" s="397">
        <f t="shared" si="31"/>
        <v>0.32364058649365329</v>
      </c>
      <c r="CB66" s="397">
        <f t="shared" si="31"/>
        <v>0.32364058649365329</v>
      </c>
      <c r="CC66" s="397">
        <f t="shared" si="31"/>
        <v>0.32364058649365329</v>
      </c>
      <c r="CD66" s="397">
        <f t="shared" si="31"/>
        <v>0.32364058649365329</v>
      </c>
      <c r="CE66" s="397">
        <f t="shared" si="31"/>
        <v>0.32364058649365329</v>
      </c>
      <c r="CF66" s="397">
        <f t="shared" si="31"/>
        <v>0.32364058649365329</v>
      </c>
      <c r="CG66" s="397">
        <f t="shared" si="31"/>
        <v>0.32364058649365329</v>
      </c>
      <c r="CH66" s="397">
        <f t="shared" si="31"/>
        <v>0.32364058649365329</v>
      </c>
      <c r="CI66" s="397">
        <f t="shared" si="31"/>
        <v>0.32364058649365329</v>
      </c>
      <c r="CJ66" s="397">
        <f t="shared" si="31"/>
        <v>0.32364058649365329</v>
      </c>
      <c r="CK66" s="397">
        <f t="shared" si="31"/>
        <v>0.32364058649365329</v>
      </c>
      <c r="CL66" s="397">
        <f t="shared" si="31"/>
        <v>0.32364058649365329</v>
      </c>
      <c r="CM66" s="397">
        <f t="shared" si="31"/>
        <v>0.32364058649365329</v>
      </c>
      <c r="CN66" s="397">
        <f t="shared" si="31"/>
        <v>0.32364058649365329</v>
      </c>
      <c r="CO66" s="397">
        <f t="shared" si="31"/>
        <v>0.32364058649365329</v>
      </c>
      <c r="CP66" s="397">
        <f t="shared" si="31"/>
        <v>0.32364058649365329</v>
      </c>
      <c r="CQ66" s="397">
        <f t="shared" si="31"/>
        <v>0.32364058649365329</v>
      </c>
      <c r="CR66" s="397">
        <f t="shared" si="31"/>
        <v>0.32364058649365329</v>
      </c>
      <c r="CS66" s="397">
        <f t="shared" si="31"/>
        <v>0.32364058649365329</v>
      </c>
      <c r="CT66" s="397">
        <f t="shared" si="31"/>
        <v>0.32364058649365329</v>
      </c>
      <c r="CU66" s="397">
        <f t="shared" si="31"/>
        <v>0.32364058649365329</v>
      </c>
      <c r="CV66" s="397">
        <f t="shared" si="31"/>
        <v>0.32364058649365329</v>
      </c>
      <c r="CW66" s="397">
        <f t="shared" si="31"/>
        <v>0.32364058649365329</v>
      </c>
      <c r="CX66" s="397">
        <f t="shared" si="31"/>
        <v>0.32364058649365329</v>
      </c>
      <c r="CY66" s="397">
        <f t="shared" si="31"/>
        <v>0.32364058649365329</v>
      </c>
      <c r="CZ66" s="397">
        <f t="shared" si="31"/>
        <v>0.32364058649365329</v>
      </c>
      <c r="DA66" s="397">
        <f t="shared" si="31"/>
        <v>0.32364058649365329</v>
      </c>
      <c r="DB66" s="397">
        <f t="shared" si="31"/>
        <v>0.32364058649365329</v>
      </c>
      <c r="DC66" s="397">
        <f t="shared" si="31"/>
        <v>0.32364058649365329</v>
      </c>
      <c r="DD66" s="397">
        <f t="shared" si="31"/>
        <v>0.32364058649365329</v>
      </c>
      <c r="DE66" s="397">
        <f t="shared" si="31"/>
        <v>0.32364058649365329</v>
      </c>
      <c r="DF66" s="397">
        <f>DE66*(1+'Unit Costs and Indicators'!$C$128)</f>
        <v>0.32526708651409469</v>
      </c>
      <c r="DG66" s="397">
        <f>DF66*(1+'Unit Costs and Indicators'!$C$128)</f>
        <v>0.32690176073278843</v>
      </c>
      <c r="DH66" s="397">
        <f>DG66*(1+'Unit Costs and Indicators'!$C$128)</f>
        <v>0.32854465023028551</v>
      </c>
      <c r="DI66" s="397">
        <f>DH66*(1+'Unit Costs and Indicators'!$C$128)</f>
        <v>0.33019579629359286</v>
      </c>
      <c r="DJ66" s="397">
        <f>DI66*(1+'Unit Costs and Indicators'!$C$128)</f>
        <v>0.33185524041721093</v>
      </c>
      <c r="DK66" s="397">
        <f>DJ66*(1+'Unit Costs and Indicators'!$C$128)</f>
        <v>0.33352302430417641</v>
      </c>
      <c r="DL66" s="397">
        <f>DK66*(1+'Unit Costs and Indicators'!$C$128)</f>
        <v>0.33519918986711039</v>
      </c>
    </row>
    <row r="67" spans="1:116" ht="15.75" customHeight="1" outlineLevel="1" x14ac:dyDescent="0.25">
      <c r="A67" s="751"/>
      <c r="B67" s="751"/>
      <c r="C67" s="398" t="s">
        <v>303</v>
      </c>
      <c r="D67" s="399" t="s">
        <v>304</v>
      </c>
      <c r="E67" s="400"/>
      <c r="F67" s="399"/>
      <c r="G67" s="399"/>
      <c r="H67" s="302">
        <f t="shared" ref="H67:DE67" si="32">H66/$G$70*60</f>
        <v>2.2910557184750733</v>
      </c>
      <c r="I67" s="302">
        <f t="shared" si="32"/>
        <v>2.3025697322559289</v>
      </c>
      <c r="J67" s="302">
        <f t="shared" si="32"/>
        <v>2.3141416112874098</v>
      </c>
      <c r="K67" s="302">
        <f t="shared" si="32"/>
        <v>2.3257716463792453</v>
      </c>
      <c r="L67" s="302">
        <f t="shared" si="32"/>
        <v>2.3374601298026674</v>
      </c>
      <c r="M67" s="302">
        <f t="shared" si="32"/>
        <v>2.3492073552977604</v>
      </c>
      <c r="N67" s="302">
        <f t="shared" si="32"/>
        <v>2.3610136180808365</v>
      </c>
      <c r="O67" s="302">
        <f t="shared" si="32"/>
        <v>2.3728792148518587</v>
      </c>
      <c r="P67" s="302">
        <f t="shared" si="32"/>
        <v>2.3848044438018978</v>
      </c>
      <c r="Q67" s="302">
        <f t="shared" si="32"/>
        <v>2.3967896046206212</v>
      </c>
      <c r="R67" s="302">
        <f t="shared" si="32"/>
        <v>2.4088349985038313</v>
      </c>
      <c r="S67" s="302">
        <f t="shared" si="32"/>
        <v>2.4209409281610297</v>
      </c>
      <c r="T67" s="302">
        <f t="shared" si="32"/>
        <v>2.4331076978230248</v>
      </c>
      <c r="U67" s="302">
        <f t="shared" si="32"/>
        <v>2.4453356132495805</v>
      </c>
      <c r="V67" s="302">
        <f t="shared" si="32"/>
        <v>2.4576249817370974</v>
      </c>
      <c r="W67" s="302">
        <f t="shared" si="32"/>
        <v>2.4699761121263362</v>
      </c>
      <c r="X67" s="302">
        <f t="shared" si="32"/>
        <v>2.4823893148101779</v>
      </c>
      <c r="Y67" s="302">
        <f t="shared" si="32"/>
        <v>2.4948649017414279</v>
      </c>
      <c r="Z67" s="302">
        <f t="shared" si="32"/>
        <v>2.507403186440651</v>
      </c>
      <c r="AA67" s="302">
        <f t="shared" si="32"/>
        <v>2.5200044840040534</v>
      </c>
      <c r="AB67" s="302">
        <f t="shared" si="32"/>
        <v>2.5326691111113995</v>
      </c>
      <c r="AC67" s="302">
        <f t="shared" si="32"/>
        <v>2.5453973860339727</v>
      </c>
      <c r="AD67" s="302">
        <f t="shared" si="32"/>
        <v>2.55818962864257</v>
      </c>
      <c r="AE67" s="302">
        <f t="shared" si="32"/>
        <v>2.5710461604155461</v>
      </c>
      <c r="AF67" s="302">
        <f t="shared" si="32"/>
        <v>2.5839673044468858</v>
      </c>
      <c r="AG67" s="302">
        <f t="shared" si="32"/>
        <v>2.5969533854543281</v>
      </c>
      <c r="AH67" s="302">
        <f t="shared" si="32"/>
        <v>2.6100047297875264</v>
      </c>
      <c r="AI67" s="302">
        <f t="shared" si="32"/>
        <v>2.6100047297875264</v>
      </c>
      <c r="AJ67" s="302">
        <f t="shared" si="32"/>
        <v>2.6100047297875264</v>
      </c>
      <c r="AK67" s="302">
        <f t="shared" si="32"/>
        <v>2.6100047297875264</v>
      </c>
      <c r="AL67" s="302">
        <f t="shared" si="32"/>
        <v>2.6100047297875264</v>
      </c>
      <c r="AM67" s="302">
        <f t="shared" si="32"/>
        <v>2.6100047297875264</v>
      </c>
      <c r="AN67" s="302">
        <f t="shared" si="32"/>
        <v>2.6100047297875264</v>
      </c>
      <c r="AO67" s="302">
        <f t="shared" si="32"/>
        <v>2.6100047297875264</v>
      </c>
      <c r="AP67" s="302">
        <f t="shared" si="32"/>
        <v>2.6100047297875264</v>
      </c>
      <c r="AQ67" s="302">
        <f t="shared" si="32"/>
        <v>2.6100047297875264</v>
      </c>
      <c r="AR67" s="302">
        <f t="shared" si="32"/>
        <v>2.6100047297875264</v>
      </c>
      <c r="AS67" s="302">
        <f t="shared" si="32"/>
        <v>2.6100047297875264</v>
      </c>
      <c r="AT67" s="302">
        <f t="shared" si="32"/>
        <v>2.6100047297875264</v>
      </c>
      <c r="AU67" s="302">
        <f t="shared" si="32"/>
        <v>2.6100047297875264</v>
      </c>
      <c r="AV67" s="302">
        <f t="shared" si="32"/>
        <v>2.6100047297875264</v>
      </c>
      <c r="AW67" s="302">
        <f t="shared" si="32"/>
        <v>2.6100047297875264</v>
      </c>
      <c r="AX67" s="302">
        <f t="shared" si="32"/>
        <v>2.6100047297875264</v>
      </c>
      <c r="AY67" s="302">
        <f t="shared" si="32"/>
        <v>2.6100047297875264</v>
      </c>
      <c r="AZ67" s="302">
        <f t="shared" si="32"/>
        <v>2.6100047297875264</v>
      </c>
      <c r="BA67" s="302">
        <f t="shared" si="32"/>
        <v>2.6100047297875264</v>
      </c>
      <c r="BB67" s="302">
        <f t="shared" si="32"/>
        <v>2.6100047297875264</v>
      </c>
      <c r="BC67" s="302">
        <f t="shared" si="32"/>
        <v>2.6100047297875264</v>
      </c>
      <c r="BD67" s="302">
        <f t="shared" si="32"/>
        <v>2.6100047297875264</v>
      </c>
      <c r="BE67" s="302">
        <f t="shared" si="32"/>
        <v>2.6100047297875264</v>
      </c>
      <c r="BF67" s="302">
        <f t="shared" si="32"/>
        <v>2.6100047297875264</v>
      </c>
      <c r="BG67" s="302">
        <f t="shared" si="32"/>
        <v>2.6100047297875264</v>
      </c>
      <c r="BH67" s="302">
        <f t="shared" si="32"/>
        <v>2.6100047297875264</v>
      </c>
      <c r="BI67" s="302">
        <f t="shared" si="32"/>
        <v>2.6100047297875264</v>
      </c>
      <c r="BJ67" s="302">
        <f t="shared" si="32"/>
        <v>2.6100047297875264</v>
      </c>
      <c r="BK67" s="302">
        <f t="shared" si="32"/>
        <v>2.6100047297875264</v>
      </c>
      <c r="BL67" s="302">
        <f t="shared" si="32"/>
        <v>2.6100047297875264</v>
      </c>
      <c r="BM67" s="302">
        <f t="shared" si="32"/>
        <v>2.6100047297875264</v>
      </c>
      <c r="BN67" s="302">
        <f t="shared" si="32"/>
        <v>2.6100047297875264</v>
      </c>
      <c r="BO67" s="302">
        <f t="shared" si="32"/>
        <v>2.6100047297875264</v>
      </c>
      <c r="BP67" s="302">
        <f t="shared" si="32"/>
        <v>2.6100047297875264</v>
      </c>
      <c r="BQ67" s="302">
        <f t="shared" si="32"/>
        <v>2.6100047297875264</v>
      </c>
      <c r="BR67" s="302">
        <f t="shared" si="32"/>
        <v>2.6100047297875264</v>
      </c>
      <c r="BS67" s="302">
        <f t="shared" si="32"/>
        <v>2.6100047297875264</v>
      </c>
      <c r="BT67" s="302">
        <f t="shared" si="32"/>
        <v>2.6100047297875264</v>
      </c>
      <c r="BU67" s="302">
        <f t="shared" si="32"/>
        <v>2.6100047297875264</v>
      </c>
      <c r="BV67" s="302">
        <f t="shared" si="32"/>
        <v>2.6100047297875264</v>
      </c>
      <c r="BW67" s="302">
        <f t="shared" si="32"/>
        <v>2.6100047297875264</v>
      </c>
      <c r="BX67" s="302">
        <f t="shared" si="32"/>
        <v>2.6100047297875264</v>
      </c>
      <c r="BY67" s="302">
        <f t="shared" si="32"/>
        <v>2.6100047297875264</v>
      </c>
      <c r="BZ67" s="302">
        <f t="shared" si="32"/>
        <v>2.6100047297875264</v>
      </c>
      <c r="CA67" s="302">
        <f t="shared" si="32"/>
        <v>2.6100047297875264</v>
      </c>
      <c r="CB67" s="302">
        <f t="shared" si="32"/>
        <v>2.6100047297875264</v>
      </c>
      <c r="CC67" s="302">
        <f t="shared" si="32"/>
        <v>2.6100047297875264</v>
      </c>
      <c r="CD67" s="302">
        <f t="shared" si="32"/>
        <v>2.6100047297875264</v>
      </c>
      <c r="CE67" s="302">
        <f t="shared" si="32"/>
        <v>2.6100047297875264</v>
      </c>
      <c r="CF67" s="302">
        <f t="shared" si="32"/>
        <v>2.6100047297875264</v>
      </c>
      <c r="CG67" s="302">
        <f t="shared" si="32"/>
        <v>2.6100047297875264</v>
      </c>
      <c r="CH67" s="302">
        <f t="shared" si="32"/>
        <v>2.6100047297875264</v>
      </c>
      <c r="CI67" s="302">
        <f t="shared" si="32"/>
        <v>2.6100047297875264</v>
      </c>
      <c r="CJ67" s="302">
        <f t="shared" si="32"/>
        <v>2.6100047297875264</v>
      </c>
      <c r="CK67" s="302">
        <f t="shared" si="32"/>
        <v>2.6100047297875264</v>
      </c>
      <c r="CL67" s="302">
        <f t="shared" si="32"/>
        <v>2.6100047297875264</v>
      </c>
      <c r="CM67" s="302">
        <f t="shared" si="32"/>
        <v>2.6100047297875264</v>
      </c>
      <c r="CN67" s="302">
        <f t="shared" si="32"/>
        <v>2.6100047297875264</v>
      </c>
      <c r="CO67" s="302">
        <f t="shared" si="32"/>
        <v>2.6100047297875264</v>
      </c>
      <c r="CP67" s="302">
        <f t="shared" si="32"/>
        <v>2.6100047297875264</v>
      </c>
      <c r="CQ67" s="302">
        <f t="shared" si="32"/>
        <v>2.6100047297875264</v>
      </c>
      <c r="CR67" s="302">
        <f t="shared" si="32"/>
        <v>2.6100047297875264</v>
      </c>
      <c r="CS67" s="302">
        <f t="shared" si="32"/>
        <v>2.6100047297875264</v>
      </c>
      <c r="CT67" s="302">
        <f t="shared" si="32"/>
        <v>2.6100047297875264</v>
      </c>
      <c r="CU67" s="302">
        <f t="shared" si="32"/>
        <v>2.6100047297875264</v>
      </c>
      <c r="CV67" s="302">
        <f t="shared" si="32"/>
        <v>2.6100047297875264</v>
      </c>
      <c r="CW67" s="302">
        <f t="shared" si="32"/>
        <v>2.6100047297875264</v>
      </c>
      <c r="CX67" s="302">
        <f t="shared" si="32"/>
        <v>2.6100047297875264</v>
      </c>
      <c r="CY67" s="302">
        <f t="shared" si="32"/>
        <v>2.6100047297875264</v>
      </c>
      <c r="CZ67" s="302">
        <f t="shared" si="32"/>
        <v>2.6100047297875264</v>
      </c>
      <c r="DA67" s="302">
        <f t="shared" si="32"/>
        <v>2.6100047297875264</v>
      </c>
      <c r="DB67" s="302">
        <f t="shared" si="32"/>
        <v>2.6100047297875264</v>
      </c>
      <c r="DC67" s="302">
        <f t="shared" si="32"/>
        <v>2.6100047297875264</v>
      </c>
      <c r="DD67" s="302">
        <f t="shared" si="32"/>
        <v>2.6100047297875264</v>
      </c>
      <c r="DE67" s="302">
        <f t="shared" si="32"/>
        <v>2.6100047297875264</v>
      </c>
      <c r="DF67" s="401"/>
      <c r="DG67" s="401"/>
      <c r="DH67" s="401"/>
      <c r="DI67" s="401"/>
      <c r="DJ67" s="401"/>
      <c r="DK67" s="401"/>
      <c r="DL67" s="401"/>
    </row>
    <row r="68" spans="1:116" ht="15.75" customHeight="1" outlineLevel="1" x14ac:dyDescent="0.25">
      <c r="A68" s="751"/>
      <c r="B68" s="751"/>
      <c r="C68" s="398" t="s">
        <v>305</v>
      </c>
      <c r="D68" s="399" t="s">
        <v>304</v>
      </c>
      <c r="E68" s="400"/>
      <c r="F68" s="399"/>
      <c r="G68" s="399">
        <f>G70*(1-'Unit Costs and Indicators'!E75)</f>
        <v>5.1253333333333329</v>
      </c>
      <c r="H68" s="302">
        <f t="shared" ref="H68:DE68" si="33">H66/$G$68*60</f>
        <v>3.3257260429476876</v>
      </c>
      <c r="I68" s="302">
        <f t="shared" si="33"/>
        <v>3.3424399339198971</v>
      </c>
      <c r="J68" s="302">
        <f t="shared" si="33"/>
        <v>3.3592378228365631</v>
      </c>
      <c r="K68" s="302">
        <f t="shared" si="33"/>
        <v>3.3761201318408398</v>
      </c>
      <c r="L68" s="302">
        <f t="shared" si="33"/>
        <v>3.3930872851974212</v>
      </c>
      <c r="M68" s="302">
        <f t="shared" si="33"/>
        <v>3.4101397093032007</v>
      </c>
      <c r="N68" s="302">
        <f t="shared" si="33"/>
        <v>3.4272778326979889</v>
      </c>
      <c r="O68" s="302">
        <f t="shared" si="33"/>
        <v>3.4445020860752797</v>
      </c>
      <c r="P68" s="302">
        <f t="shared" si="33"/>
        <v>3.4618129022930777</v>
      </c>
      <c r="Q68" s="302">
        <f t="shared" si="33"/>
        <v>3.4792107163847734</v>
      </c>
      <c r="R68" s="302">
        <f t="shared" si="33"/>
        <v>3.4966959655700784</v>
      </c>
      <c r="S68" s="302">
        <f t="shared" si="33"/>
        <v>3.5142690892660111</v>
      </c>
      <c r="T68" s="302">
        <f t="shared" si="33"/>
        <v>3.5319305290979397</v>
      </c>
      <c r="U68" s="302">
        <f t="shared" si="33"/>
        <v>3.549680728910682</v>
      </c>
      <c r="V68" s="302">
        <f t="shared" si="33"/>
        <v>3.5675201347796581</v>
      </c>
      <c r="W68" s="302">
        <f t="shared" si="33"/>
        <v>3.5854491950221008</v>
      </c>
      <c r="X68" s="302">
        <f t="shared" si="33"/>
        <v>3.6034683602083231</v>
      </c>
      <c r="Y68" s="302">
        <f t="shared" si="33"/>
        <v>3.6215780831730409</v>
      </c>
      <c r="Z68" s="302">
        <f t="shared" si="33"/>
        <v>3.6397788190267519</v>
      </c>
      <c r="AA68" s="302">
        <f t="shared" si="33"/>
        <v>3.6580710251671746</v>
      </c>
      <c r="AB68" s="302">
        <f t="shared" si="33"/>
        <v>3.6764551612907419</v>
      </c>
      <c r="AC68" s="302">
        <f t="shared" si="33"/>
        <v>3.6949316894041542</v>
      </c>
      <c r="AD68" s="302">
        <f t="shared" si="33"/>
        <v>3.7135010738359897</v>
      </c>
      <c r="AE68" s="302">
        <f t="shared" si="33"/>
        <v>3.7321637812483739</v>
      </c>
      <c r="AF68" s="302">
        <f t="shared" si="33"/>
        <v>3.7509202806487054</v>
      </c>
      <c r="AG68" s="302">
        <f t="shared" si="33"/>
        <v>3.7697710434014451</v>
      </c>
      <c r="AH68" s="302">
        <f t="shared" si="33"/>
        <v>3.7887165432399583</v>
      </c>
      <c r="AI68" s="302">
        <f t="shared" si="33"/>
        <v>3.7887165432399583</v>
      </c>
      <c r="AJ68" s="302">
        <f t="shared" si="33"/>
        <v>3.7887165432399583</v>
      </c>
      <c r="AK68" s="302">
        <f t="shared" si="33"/>
        <v>3.7887165432399583</v>
      </c>
      <c r="AL68" s="302">
        <f t="shared" si="33"/>
        <v>3.7887165432399583</v>
      </c>
      <c r="AM68" s="302">
        <f t="shared" si="33"/>
        <v>3.7887165432399583</v>
      </c>
      <c r="AN68" s="302">
        <f t="shared" si="33"/>
        <v>3.7887165432399583</v>
      </c>
      <c r="AO68" s="302">
        <f t="shared" si="33"/>
        <v>3.7887165432399583</v>
      </c>
      <c r="AP68" s="302">
        <f t="shared" si="33"/>
        <v>3.7887165432399583</v>
      </c>
      <c r="AQ68" s="302">
        <f t="shared" si="33"/>
        <v>3.7887165432399583</v>
      </c>
      <c r="AR68" s="302">
        <f t="shared" si="33"/>
        <v>3.7887165432399583</v>
      </c>
      <c r="AS68" s="302">
        <f t="shared" si="33"/>
        <v>3.7887165432399583</v>
      </c>
      <c r="AT68" s="302">
        <f t="shared" si="33"/>
        <v>3.7887165432399583</v>
      </c>
      <c r="AU68" s="302">
        <f t="shared" si="33"/>
        <v>3.7887165432399583</v>
      </c>
      <c r="AV68" s="302">
        <f t="shared" si="33"/>
        <v>3.7887165432399583</v>
      </c>
      <c r="AW68" s="302">
        <f t="shared" si="33"/>
        <v>3.7887165432399583</v>
      </c>
      <c r="AX68" s="302">
        <f t="shared" si="33"/>
        <v>3.7887165432399583</v>
      </c>
      <c r="AY68" s="302">
        <f t="shared" si="33"/>
        <v>3.7887165432399583</v>
      </c>
      <c r="AZ68" s="302">
        <f t="shared" si="33"/>
        <v>3.7887165432399583</v>
      </c>
      <c r="BA68" s="302">
        <f t="shared" si="33"/>
        <v>3.7887165432399583</v>
      </c>
      <c r="BB68" s="302">
        <f t="shared" si="33"/>
        <v>3.7887165432399583</v>
      </c>
      <c r="BC68" s="302">
        <f t="shared" si="33"/>
        <v>3.7887165432399583</v>
      </c>
      <c r="BD68" s="302">
        <f t="shared" si="33"/>
        <v>3.7887165432399583</v>
      </c>
      <c r="BE68" s="302">
        <f t="shared" si="33"/>
        <v>3.7887165432399583</v>
      </c>
      <c r="BF68" s="302">
        <f t="shared" si="33"/>
        <v>3.7887165432399583</v>
      </c>
      <c r="BG68" s="302">
        <f t="shared" si="33"/>
        <v>3.7887165432399583</v>
      </c>
      <c r="BH68" s="302">
        <f t="shared" si="33"/>
        <v>3.7887165432399583</v>
      </c>
      <c r="BI68" s="302">
        <f t="shared" si="33"/>
        <v>3.7887165432399583</v>
      </c>
      <c r="BJ68" s="302">
        <f t="shared" si="33"/>
        <v>3.7887165432399583</v>
      </c>
      <c r="BK68" s="302">
        <f t="shared" si="33"/>
        <v>3.7887165432399583</v>
      </c>
      <c r="BL68" s="302">
        <f t="shared" si="33"/>
        <v>3.7887165432399583</v>
      </c>
      <c r="BM68" s="302">
        <f t="shared" si="33"/>
        <v>3.7887165432399583</v>
      </c>
      <c r="BN68" s="302">
        <f t="shared" si="33"/>
        <v>3.7887165432399583</v>
      </c>
      <c r="BO68" s="302">
        <f t="shared" si="33"/>
        <v>3.7887165432399583</v>
      </c>
      <c r="BP68" s="302">
        <f t="shared" si="33"/>
        <v>3.7887165432399583</v>
      </c>
      <c r="BQ68" s="302">
        <f t="shared" si="33"/>
        <v>3.7887165432399583</v>
      </c>
      <c r="BR68" s="302">
        <f t="shared" si="33"/>
        <v>3.7887165432399583</v>
      </c>
      <c r="BS68" s="302">
        <f t="shared" si="33"/>
        <v>3.7887165432399583</v>
      </c>
      <c r="BT68" s="302">
        <f t="shared" si="33"/>
        <v>3.7887165432399583</v>
      </c>
      <c r="BU68" s="302">
        <f t="shared" si="33"/>
        <v>3.7887165432399583</v>
      </c>
      <c r="BV68" s="302">
        <f t="shared" si="33"/>
        <v>3.7887165432399583</v>
      </c>
      <c r="BW68" s="302">
        <f t="shared" si="33"/>
        <v>3.7887165432399583</v>
      </c>
      <c r="BX68" s="302">
        <f t="shared" si="33"/>
        <v>3.7887165432399583</v>
      </c>
      <c r="BY68" s="302">
        <f t="shared" si="33"/>
        <v>3.7887165432399583</v>
      </c>
      <c r="BZ68" s="302">
        <f t="shared" si="33"/>
        <v>3.7887165432399583</v>
      </c>
      <c r="CA68" s="302">
        <f t="shared" si="33"/>
        <v>3.7887165432399583</v>
      </c>
      <c r="CB68" s="302">
        <f t="shared" si="33"/>
        <v>3.7887165432399583</v>
      </c>
      <c r="CC68" s="302">
        <f t="shared" si="33"/>
        <v>3.7887165432399583</v>
      </c>
      <c r="CD68" s="302">
        <f t="shared" si="33"/>
        <v>3.7887165432399583</v>
      </c>
      <c r="CE68" s="302">
        <f t="shared" si="33"/>
        <v>3.7887165432399583</v>
      </c>
      <c r="CF68" s="302">
        <f t="shared" si="33"/>
        <v>3.7887165432399583</v>
      </c>
      <c r="CG68" s="302">
        <f t="shared" si="33"/>
        <v>3.7887165432399583</v>
      </c>
      <c r="CH68" s="302">
        <f t="shared" si="33"/>
        <v>3.7887165432399583</v>
      </c>
      <c r="CI68" s="302">
        <f t="shared" si="33"/>
        <v>3.7887165432399583</v>
      </c>
      <c r="CJ68" s="302">
        <f t="shared" si="33"/>
        <v>3.7887165432399583</v>
      </c>
      <c r="CK68" s="302">
        <f t="shared" si="33"/>
        <v>3.7887165432399583</v>
      </c>
      <c r="CL68" s="302">
        <f t="shared" si="33"/>
        <v>3.7887165432399583</v>
      </c>
      <c r="CM68" s="302">
        <f t="shared" si="33"/>
        <v>3.7887165432399583</v>
      </c>
      <c r="CN68" s="302">
        <f t="shared" si="33"/>
        <v>3.7887165432399583</v>
      </c>
      <c r="CO68" s="302">
        <f t="shared" si="33"/>
        <v>3.7887165432399583</v>
      </c>
      <c r="CP68" s="302">
        <f t="shared" si="33"/>
        <v>3.7887165432399583</v>
      </c>
      <c r="CQ68" s="302">
        <f t="shared" si="33"/>
        <v>3.7887165432399583</v>
      </c>
      <c r="CR68" s="302">
        <f t="shared" si="33"/>
        <v>3.7887165432399583</v>
      </c>
      <c r="CS68" s="302">
        <f t="shared" si="33"/>
        <v>3.7887165432399583</v>
      </c>
      <c r="CT68" s="302">
        <f t="shared" si="33"/>
        <v>3.7887165432399583</v>
      </c>
      <c r="CU68" s="302">
        <f t="shared" si="33"/>
        <v>3.7887165432399583</v>
      </c>
      <c r="CV68" s="302">
        <f t="shared" si="33"/>
        <v>3.7887165432399583</v>
      </c>
      <c r="CW68" s="302">
        <f t="shared" si="33"/>
        <v>3.7887165432399583</v>
      </c>
      <c r="CX68" s="302">
        <f t="shared" si="33"/>
        <v>3.7887165432399583</v>
      </c>
      <c r="CY68" s="302">
        <f t="shared" si="33"/>
        <v>3.7887165432399583</v>
      </c>
      <c r="CZ68" s="302">
        <f t="shared" si="33"/>
        <v>3.7887165432399583</v>
      </c>
      <c r="DA68" s="302">
        <f t="shared" si="33"/>
        <v>3.7887165432399583</v>
      </c>
      <c r="DB68" s="302">
        <f t="shared" si="33"/>
        <v>3.7887165432399583</v>
      </c>
      <c r="DC68" s="302">
        <f t="shared" si="33"/>
        <v>3.7887165432399583</v>
      </c>
      <c r="DD68" s="302">
        <f t="shared" si="33"/>
        <v>3.7887165432399583</v>
      </c>
      <c r="DE68" s="302">
        <f t="shared" si="33"/>
        <v>3.7887165432399583</v>
      </c>
      <c r="DF68" s="401"/>
      <c r="DG68" s="401"/>
      <c r="DH68" s="401"/>
      <c r="DI68" s="401"/>
      <c r="DJ68" s="401"/>
      <c r="DK68" s="401"/>
      <c r="DL68" s="401"/>
    </row>
    <row r="69" spans="1:116" ht="15.75" customHeight="1" outlineLevel="1" x14ac:dyDescent="0.25">
      <c r="A69" s="751"/>
      <c r="B69" s="751"/>
      <c r="C69" s="401" t="s">
        <v>306</v>
      </c>
      <c r="D69" s="399" t="s">
        <v>304</v>
      </c>
      <c r="E69" s="400"/>
      <c r="F69" s="399"/>
      <c r="G69" s="399"/>
      <c r="H69" s="302">
        <f t="shared" ref="H69:DE69" si="34">H68-H67</f>
        <v>1.0346703244726143</v>
      </c>
      <c r="I69" s="402">
        <f t="shared" si="34"/>
        <v>1.0398702016639683</v>
      </c>
      <c r="J69" s="402">
        <f t="shared" si="34"/>
        <v>1.0450962115491533</v>
      </c>
      <c r="K69" s="402">
        <f t="shared" si="34"/>
        <v>1.0503484854615945</v>
      </c>
      <c r="L69" s="402">
        <f t="shared" si="34"/>
        <v>1.0556271553947538</v>
      </c>
      <c r="M69" s="402">
        <f t="shared" si="34"/>
        <v>1.0609323540054403</v>
      </c>
      <c r="N69" s="402">
        <f t="shared" si="34"/>
        <v>1.0662642146171524</v>
      </c>
      <c r="O69" s="402">
        <f t="shared" si="34"/>
        <v>1.071622871223421</v>
      </c>
      <c r="P69" s="402">
        <f t="shared" si="34"/>
        <v>1.0770084584911799</v>
      </c>
      <c r="Q69" s="402">
        <f t="shared" si="34"/>
        <v>1.0824211117641522</v>
      </c>
      <c r="R69" s="402">
        <f t="shared" si="34"/>
        <v>1.0878609670662471</v>
      </c>
      <c r="S69" s="402">
        <f t="shared" si="34"/>
        <v>1.0933281611049814</v>
      </c>
      <c r="T69" s="402">
        <f t="shared" si="34"/>
        <v>1.0988228312749149</v>
      </c>
      <c r="U69" s="402">
        <f t="shared" si="34"/>
        <v>1.1043451156611015</v>
      </c>
      <c r="V69" s="402">
        <f t="shared" si="34"/>
        <v>1.1098951530425607</v>
      </c>
      <c r="W69" s="402">
        <f t="shared" si="34"/>
        <v>1.1154730828957646</v>
      </c>
      <c r="X69" s="402">
        <f t="shared" si="34"/>
        <v>1.1210790453981452</v>
      </c>
      <c r="Y69" s="402">
        <f t="shared" si="34"/>
        <v>1.1267131814316129</v>
      </c>
      <c r="Z69" s="402">
        <f t="shared" si="34"/>
        <v>1.132375632586101</v>
      </c>
      <c r="AA69" s="402">
        <f t="shared" si="34"/>
        <v>1.1380665411631212</v>
      </c>
      <c r="AB69" s="402">
        <f t="shared" si="34"/>
        <v>1.1437860501793424</v>
      </c>
      <c r="AC69" s="402">
        <f t="shared" si="34"/>
        <v>1.1495343033701815</v>
      </c>
      <c r="AD69" s="402">
        <f t="shared" si="34"/>
        <v>1.1553114451934197</v>
      </c>
      <c r="AE69" s="402">
        <f t="shared" si="34"/>
        <v>1.1611176208328278</v>
      </c>
      <c r="AF69" s="402">
        <f t="shared" si="34"/>
        <v>1.1669529762018196</v>
      </c>
      <c r="AG69" s="402">
        <f t="shared" si="34"/>
        <v>1.172817657947117</v>
      </c>
      <c r="AH69" s="402">
        <f t="shared" si="34"/>
        <v>1.1787118134524319</v>
      </c>
      <c r="AI69" s="402">
        <f t="shared" si="34"/>
        <v>1.1787118134524319</v>
      </c>
      <c r="AJ69" s="402">
        <f t="shared" si="34"/>
        <v>1.1787118134524319</v>
      </c>
      <c r="AK69" s="402">
        <f t="shared" si="34"/>
        <v>1.1787118134524319</v>
      </c>
      <c r="AL69" s="402">
        <f t="shared" si="34"/>
        <v>1.1787118134524319</v>
      </c>
      <c r="AM69" s="402">
        <f t="shared" si="34"/>
        <v>1.1787118134524319</v>
      </c>
      <c r="AN69" s="402">
        <f t="shared" si="34"/>
        <v>1.1787118134524319</v>
      </c>
      <c r="AO69" s="402">
        <f t="shared" si="34"/>
        <v>1.1787118134524319</v>
      </c>
      <c r="AP69" s="402">
        <f t="shared" si="34"/>
        <v>1.1787118134524319</v>
      </c>
      <c r="AQ69" s="402">
        <f t="shared" si="34"/>
        <v>1.1787118134524319</v>
      </c>
      <c r="AR69" s="402">
        <f t="shared" si="34"/>
        <v>1.1787118134524319</v>
      </c>
      <c r="AS69" s="402">
        <f t="shared" si="34"/>
        <v>1.1787118134524319</v>
      </c>
      <c r="AT69" s="402">
        <f t="shared" si="34"/>
        <v>1.1787118134524319</v>
      </c>
      <c r="AU69" s="402">
        <f t="shared" si="34"/>
        <v>1.1787118134524319</v>
      </c>
      <c r="AV69" s="402">
        <f t="shared" si="34"/>
        <v>1.1787118134524319</v>
      </c>
      <c r="AW69" s="402">
        <f t="shared" si="34"/>
        <v>1.1787118134524319</v>
      </c>
      <c r="AX69" s="402">
        <f t="shared" si="34"/>
        <v>1.1787118134524319</v>
      </c>
      <c r="AY69" s="402">
        <f t="shared" si="34"/>
        <v>1.1787118134524319</v>
      </c>
      <c r="AZ69" s="402">
        <f t="shared" si="34"/>
        <v>1.1787118134524319</v>
      </c>
      <c r="BA69" s="402">
        <f t="shared" si="34"/>
        <v>1.1787118134524319</v>
      </c>
      <c r="BB69" s="402">
        <f t="shared" si="34"/>
        <v>1.1787118134524319</v>
      </c>
      <c r="BC69" s="402">
        <f t="shared" si="34"/>
        <v>1.1787118134524319</v>
      </c>
      <c r="BD69" s="402">
        <f t="shared" si="34"/>
        <v>1.1787118134524319</v>
      </c>
      <c r="BE69" s="402">
        <f t="shared" si="34"/>
        <v>1.1787118134524319</v>
      </c>
      <c r="BF69" s="402">
        <f t="shared" si="34"/>
        <v>1.1787118134524319</v>
      </c>
      <c r="BG69" s="402">
        <f t="shared" si="34"/>
        <v>1.1787118134524319</v>
      </c>
      <c r="BH69" s="402">
        <f t="shared" si="34"/>
        <v>1.1787118134524319</v>
      </c>
      <c r="BI69" s="402">
        <f t="shared" si="34"/>
        <v>1.1787118134524319</v>
      </c>
      <c r="BJ69" s="402">
        <f t="shared" si="34"/>
        <v>1.1787118134524319</v>
      </c>
      <c r="BK69" s="402">
        <f t="shared" si="34"/>
        <v>1.1787118134524319</v>
      </c>
      <c r="BL69" s="402">
        <f t="shared" si="34"/>
        <v>1.1787118134524319</v>
      </c>
      <c r="BM69" s="402">
        <f t="shared" si="34"/>
        <v>1.1787118134524319</v>
      </c>
      <c r="BN69" s="402">
        <f t="shared" si="34"/>
        <v>1.1787118134524319</v>
      </c>
      <c r="BO69" s="402">
        <f t="shared" si="34"/>
        <v>1.1787118134524319</v>
      </c>
      <c r="BP69" s="402">
        <f t="shared" si="34"/>
        <v>1.1787118134524319</v>
      </c>
      <c r="BQ69" s="402">
        <f t="shared" si="34"/>
        <v>1.1787118134524319</v>
      </c>
      <c r="BR69" s="402">
        <f t="shared" si="34"/>
        <v>1.1787118134524319</v>
      </c>
      <c r="BS69" s="402">
        <f t="shared" si="34"/>
        <v>1.1787118134524319</v>
      </c>
      <c r="BT69" s="402">
        <f t="shared" si="34"/>
        <v>1.1787118134524319</v>
      </c>
      <c r="BU69" s="402">
        <f t="shared" si="34"/>
        <v>1.1787118134524319</v>
      </c>
      <c r="BV69" s="402">
        <f t="shared" si="34"/>
        <v>1.1787118134524319</v>
      </c>
      <c r="BW69" s="402">
        <f t="shared" si="34"/>
        <v>1.1787118134524319</v>
      </c>
      <c r="BX69" s="402">
        <f t="shared" si="34"/>
        <v>1.1787118134524319</v>
      </c>
      <c r="BY69" s="402">
        <f t="shared" si="34"/>
        <v>1.1787118134524319</v>
      </c>
      <c r="BZ69" s="402">
        <f t="shared" si="34"/>
        <v>1.1787118134524319</v>
      </c>
      <c r="CA69" s="402">
        <f t="shared" si="34"/>
        <v>1.1787118134524319</v>
      </c>
      <c r="CB69" s="402">
        <f t="shared" si="34"/>
        <v>1.1787118134524319</v>
      </c>
      <c r="CC69" s="402">
        <f t="shared" si="34"/>
        <v>1.1787118134524319</v>
      </c>
      <c r="CD69" s="402">
        <f t="shared" si="34"/>
        <v>1.1787118134524319</v>
      </c>
      <c r="CE69" s="402">
        <f t="shared" si="34"/>
        <v>1.1787118134524319</v>
      </c>
      <c r="CF69" s="402">
        <f t="shared" si="34"/>
        <v>1.1787118134524319</v>
      </c>
      <c r="CG69" s="402">
        <f t="shared" si="34"/>
        <v>1.1787118134524319</v>
      </c>
      <c r="CH69" s="402">
        <f t="shared" si="34"/>
        <v>1.1787118134524319</v>
      </c>
      <c r="CI69" s="402">
        <f t="shared" si="34"/>
        <v>1.1787118134524319</v>
      </c>
      <c r="CJ69" s="402">
        <f t="shared" si="34"/>
        <v>1.1787118134524319</v>
      </c>
      <c r="CK69" s="402">
        <f t="shared" si="34"/>
        <v>1.1787118134524319</v>
      </c>
      <c r="CL69" s="402">
        <f t="shared" si="34"/>
        <v>1.1787118134524319</v>
      </c>
      <c r="CM69" s="402">
        <f t="shared" si="34"/>
        <v>1.1787118134524319</v>
      </c>
      <c r="CN69" s="402">
        <f t="shared" si="34"/>
        <v>1.1787118134524319</v>
      </c>
      <c r="CO69" s="402">
        <f t="shared" si="34"/>
        <v>1.1787118134524319</v>
      </c>
      <c r="CP69" s="402">
        <f t="shared" si="34"/>
        <v>1.1787118134524319</v>
      </c>
      <c r="CQ69" s="402">
        <f t="shared" si="34"/>
        <v>1.1787118134524319</v>
      </c>
      <c r="CR69" s="402">
        <f t="shared" si="34"/>
        <v>1.1787118134524319</v>
      </c>
      <c r="CS69" s="402">
        <f t="shared" si="34"/>
        <v>1.1787118134524319</v>
      </c>
      <c r="CT69" s="402">
        <f t="shared" si="34"/>
        <v>1.1787118134524319</v>
      </c>
      <c r="CU69" s="402">
        <f t="shared" si="34"/>
        <v>1.1787118134524319</v>
      </c>
      <c r="CV69" s="402">
        <f t="shared" si="34"/>
        <v>1.1787118134524319</v>
      </c>
      <c r="CW69" s="402">
        <f t="shared" si="34"/>
        <v>1.1787118134524319</v>
      </c>
      <c r="CX69" s="402">
        <f t="shared" si="34"/>
        <v>1.1787118134524319</v>
      </c>
      <c r="CY69" s="402">
        <f t="shared" si="34"/>
        <v>1.1787118134524319</v>
      </c>
      <c r="CZ69" s="402">
        <f t="shared" si="34"/>
        <v>1.1787118134524319</v>
      </c>
      <c r="DA69" s="402">
        <f t="shared" si="34"/>
        <v>1.1787118134524319</v>
      </c>
      <c r="DB69" s="402">
        <f t="shared" si="34"/>
        <v>1.1787118134524319</v>
      </c>
      <c r="DC69" s="402">
        <f t="shared" si="34"/>
        <v>1.1787118134524319</v>
      </c>
      <c r="DD69" s="402">
        <f t="shared" si="34"/>
        <v>1.1787118134524319</v>
      </c>
      <c r="DE69" s="402">
        <f t="shared" si="34"/>
        <v>1.1787118134524319</v>
      </c>
      <c r="DF69" s="401"/>
      <c r="DG69" s="401"/>
      <c r="DH69" s="401"/>
      <c r="DI69" s="401"/>
      <c r="DJ69" s="401"/>
      <c r="DK69" s="401"/>
      <c r="DL69" s="401"/>
    </row>
    <row r="70" spans="1:116" ht="15.75" customHeight="1" outlineLevel="1" x14ac:dyDescent="0.25">
      <c r="A70" s="751"/>
      <c r="B70" s="751"/>
      <c r="C70" s="403" t="s">
        <v>307</v>
      </c>
      <c r="D70" s="279"/>
      <c r="E70" s="280"/>
      <c r="F70" s="279"/>
      <c r="G70" s="404">
        <v>7.44</v>
      </c>
      <c r="H70" s="405">
        <f>G70</f>
        <v>7.44</v>
      </c>
      <c r="I70" s="406">
        <f t="shared" ref="I70:DE70" si="35">H70*60/(I69+60)</f>
        <v>7.3132527727398582</v>
      </c>
      <c r="J70" s="406">
        <f t="shared" si="35"/>
        <v>7.1880493863711141</v>
      </c>
      <c r="K70" s="406">
        <f t="shared" si="35"/>
        <v>7.0643816764612186</v>
      </c>
      <c r="L70" s="406">
        <f t="shared" si="35"/>
        <v>6.9422413680050363</v>
      </c>
      <c r="M70" s="406">
        <f t="shared" si="35"/>
        <v>6.8216200772273101</v>
      </c>
      <c r="N70" s="406">
        <f t="shared" si="35"/>
        <v>6.7025093134101859</v>
      </c>
      <c r="O70" s="406">
        <f t="shared" si="35"/>
        <v>6.5849004807452411</v>
      </c>
      <c r="P70" s="406">
        <f t="shared" si="35"/>
        <v>6.4687848802094834</v>
      </c>
      <c r="Q70" s="406">
        <f t="shared" si="35"/>
        <v>6.3541537114647495</v>
      </c>
      <c r="R70" s="406">
        <f t="shared" si="35"/>
        <v>6.2409980747799381</v>
      </c>
      <c r="S70" s="406">
        <f t="shared" si="35"/>
        <v>6.1293089729754797</v>
      </c>
      <c r="T70" s="406">
        <f t="shared" si="35"/>
        <v>6.0190773133894595</v>
      </c>
      <c r="U70" s="406">
        <f t="shared" si="35"/>
        <v>5.9102939098647802</v>
      </c>
      <c r="V70" s="406">
        <f t="shared" si="35"/>
        <v>5.8029494847567422</v>
      </c>
      <c r="W70" s="406">
        <f t="shared" si="35"/>
        <v>5.6970346709604049</v>
      </c>
      <c r="X70" s="406">
        <f t="shared" si="35"/>
        <v>5.5925400139571053</v>
      </c>
      <c r="Y70" s="406">
        <f t="shared" si="35"/>
        <v>5.4894559738794637</v>
      </c>
      <c r="Z70" s="406">
        <f t="shared" si="35"/>
        <v>5.3877729275942174</v>
      </c>
      <c r="AA70" s="406">
        <f t="shared" si="35"/>
        <v>5.2874811708022174</v>
      </c>
      <c r="AB70" s="406">
        <f t="shared" si="35"/>
        <v>5.188570920154894</v>
      </c>
      <c r="AC70" s="406">
        <f t="shared" si="35"/>
        <v>5.0910323153865127</v>
      </c>
      <c r="AD70" s="406">
        <f t="shared" si="35"/>
        <v>4.994855421461498</v>
      </c>
      <c r="AE70" s="406">
        <f t="shared" si="35"/>
        <v>4.9000302307361432</v>
      </c>
      <c r="AF70" s="406">
        <f t="shared" si="35"/>
        <v>4.8065466651339595</v>
      </c>
      <c r="AG70" s="406">
        <f t="shared" si="35"/>
        <v>4.7143945783339554</v>
      </c>
      <c r="AH70" s="406">
        <f t="shared" si="35"/>
        <v>4.6235637579711044</v>
      </c>
      <c r="AI70" s="406">
        <f t="shared" si="35"/>
        <v>4.5344829476658983</v>
      </c>
      <c r="AJ70" s="406">
        <f t="shared" si="35"/>
        <v>4.4471184305016598</v>
      </c>
      <c r="AK70" s="406">
        <f t="shared" si="35"/>
        <v>4.3614371391753899</v>
      </c>
      <c r="AL70" s="406">
        <f t="shared" si="35"/>
        <v>4.2774066434818572</v>
      </c>
      <c r="AM70" s="406">
        <f t="shared" si="35"/>
        <v>4.1949951380388262</v>
      </c>
      <c r="AN70" s="406">
        <f t="shared" si="35"/>
        <v>4.1141714302487804</v>
      </c>
      <c r="AO70" s="406">
        <f t="shared" si="35"/>
        <v>4.034904928492586</v>
      </c>
      <c r="AP70" s="406">
        <f t="shared" si="35"/>
        <v>3.95716563055062</v>
      </c>
      <c r="AQ70" s="406">
        <f t="shared" si="35"/>
        <v>3.880924112246988</v>
      </c>
      <c r="AR70" s="406">
        <f t="shared" si="35"/>
        <v>3.8061515163125303</v>
      </c>
      <c r="AS70" s="406">
        <f t="shared" si="35"/>
        <v>3.7328195414623999</v>
      </c>
      <c r="AT70" s="406">
        <f t="shared" si="35"/>
        <v>3.6609004316840812</v>
      </c>
      <c r="AU70" s="406">
        <f t="shared" si="35"/>
        <v>3.5903669657317905</v>
      </c>
      <c r="AV70" s="406">
        <f t="shared" si="35"/>
        <v>3.5211924468232891</v>
      </c>
      <c r="AW70" s="406">
        <f t="shared" si="35"/>
        <v>3.4533506925351993</v>
      </c>
      <c r="AX70" s="406">
        <f t="shared" si="35"/>
        <v>3.3868160248930099</v>
      </c>
      <c r="AY70" s="406">
        <f t="shared" si="35"/>
        <v>3.3215632606520082</v>
      </c>
      <c r="AZ70" s="406">
        <f t="shared" si="35"/>
        <v>3.2575677017654741</v>
      </c>
      <c r="BA70" s="406">
        <f t="shared" si="35"/>
        <v>3.1948051260365138</v>
      </c>
      <c r="BB70" s="406">
        <f t="shared" si="35"/>
        <v>3.1332517779500053</v>
      </c>
      <c r="BC70" s="406">
        <f t="shared" si="35"/>
        <v>3.0728843596811815</v>
      </c>
      <c r="BD70" s="406">
        <f t="shared" si="35"/>
        <v>3.0136800222774478</v>
      </c>
      <c r="BE70" s="406">
        <f t="shared" si="35"/>
        <v>2.9556163570100971</v>
      </c>
      <c r="BF70" s="406">
        <f t="shared" si="35"/>
        <v>2.8986713868926484</v>
      </c>
      <c r="BG70" s="406">
        <f t="shared" si="35"/>
        <v>2.8428235583626003</v>
      </c>
      <c r="BH70" s="406">
        <f t="shared" si="35"/>
        <v>2.788051733123448</v>
      </c>
      <c r="BI70" s="406">
        <f t="shared" si="35"/>
        <v>2.7343351801438787</v>
      </c>
      <c r="BJ70" s="406">
        <f t="shared" si="35"/>
        <v>2.6816535678111149</v>
      </c>
      <c r="BK70" s="406">
        <f t="shared" si="35"/>
        <v>2.6299869562354394</v>
      </c>
      <c r="BL70" s="406">
        <f t="shared" si="35"/>
        <v>2.5793157897029846</v>
      </c>
      <c r="BM70" s="406">
        <f t="shared" si="35"/>
        <v>2.5296208892739309</v>
      </c>
      <c r="BN70" s="406">
        <f t="shared" si="35"/>
        <v>2.480883445523316</v>
      </c>
      <c r="BO70" s="406">
        <f t="shared" si="35"/>
        <v>2.4330850114217024</v>
      </c>
      <c r="BP70" s="406">
        <f t="shared" si="35"/>
        <v>2.3862074953530135</v>
      </c>
      <c r="BQ70" s="406">
        <f t="shared" si="35"/>
        <v>2.3402331542668899</v>
      </c>
      <c r="BR70" s="406">
        <f t="shared" si="35"/>
        <v>2.2951445869629787</v>
      </c>
      <c r="BS70" s="406">
        <f t="shared" si="35"/>
        <v>2.2509247275046143</v>
      </c>
      <c r="BT70" s="406">
        <f t="shared" si="35"/>
        <v>2.2075568387593911</v>
      </c>
      <c r="BU70" s="406">
        <f t="shared" si="35"/>
        <v>2.1650245060641935</v>
      </c>
      <c r="BV70" s="406">
        <f t="shared" si="35"/>
        <v>2.123311631012275</v>
      </c>
      <c r="BW70" s="406">
        <f t="shared" si="35"/>
        <v>2.0824024253600437</v>
      </c>
      <c r="BX70" s="406">
        <f t="shared" si="35"/>
        <v>2.0422814050512414</v>
      </c>
      <c r="BY70" s="406">
        <f t="shared" si="35"/>
        <v>2.0029333843562585</v>
      </c>
      <c r="BZ70" s="406">
        <f t="shared" si="35"/>
        <v>1.9643434701243629</v>
      </c>
      <c r="CA70" s="406">
        <f t="shared" si="35"/>
        <v>1.9264970561466728</v>
      </c>
      <c r="CB70" s="406">
        <f t="shared" si="35"/>
        <v>1.8893798176277328</v>
      </c>
      <c r="CC70" s="406">
        <f t="shared" si="35"/>
        <v>1.852977705763607</v>
      </c>
      <c r="CD70" s="406">
        <f t="shared" si="35"/>
        <v>1.8172769424244337</v>
      </c>
      <c r="CE70" s="406">
        <f t="shared" si="35"/>
        <v>1.7822640149394293</v>
      </c>
      <c r="CF70" s="406">
        <f t="shared" si="35"/>
        <v>1.7479256709823681</v>
      </c>
      <c r="CG70" s="406">
        <f t="shared" si="35"/>
        <v>1.7142489135556016</v>
      </c>
      <c r="CH70" s="406">
        <f t="shared" si="35"/>
        <v>1.6812209960707214</v>
      </c>
      <c r="CI70" s="406">
        <f t="shared" si="35"/>
        <v>1.6488294175239977</v>
      </c>
      <c r="CJ70" s="406">
        <f t="shared" si="35"/>
        <v>1.6170619177647747</v>
      </c>
      <c r="CK70" s="406">
        <f t="shared" si="35"/>
        <v>1.5859064728550263</v>
      </c>
      <c r="CL70" s="406">
        <f t="shared" si="35"/>
        <v>1.5553512905183191</v>
      </c>
      <c r="CM70" s="406">
        <f t="shared" si="35"/>
        <v>1.5253848056764576</v>
      </c>
      <c r="CN70" s="406">
        <f t="shared" si="35"/>
        <v>1.4959956760721249</v>
      </c>
      <c r="CO70" s="406">
        <f t="shared" si="35"/>
        <v>1.467172777975859</v>
      </c>
      <c r="CP70" s="406">
        <f t="shared" si="35"/>
        <v>1.4389052019757431</v>
      </c>
      <c r="CQ70" s="406">
        <f t="shared" si="35"/>
        <v>1.4111822488482137</v>
      </c>
      <c r="CR70" s="406">
        <f t="shared" si="35"/>
        <v>1.3839934255084259</v>
      </c>
      <c r="CS70" s="406">
        <f t="shared" si="35"/>
        <v>1.357328441038639</v>
      </c>
      <c r="CT70" s="406">
        <f t="shared" si="35"/>
        <v>1.3311772027931255</v>
      </c>
      <c r="CU70" s="406">
        <f t="shared" si="35"/>
        <v>1.3055298125781227</v>
      </c>
      <c r="CV70" s="406">
        <f t="shared" si="35"/>
        <v>1.280376562905386</v>
      </c>
      <c r="CW70" s="406">
        <f t="shared" si="35"/>
        <v>1.2557079333179233</v>
      </c>
      <c r="CX70" s="406">
        <f t="shared" si="35"/>
        <v>1.2315145867865191</v>
      </c>
      <c r="CY70" s="406">
        <f t="shared" si="35"/>
        <v>1.2077873661756877</v>
      </c>
      <c r="CZ70" s="406">
        <f t="shared" si="35"/>
        <v>1.1845172907777151</v>
      </c>
      <c r="DA70" s="406">
        <f t="shared" si="35"/>
        <v>1.1616955529134771</v>
      </c>
      <c r="DB70" s="406">
        <f t="shared" si="35"/>
        <v>1.1393135145987512</v>
      </c>
      <c r="DC70" s="406">
        <f t="shared" si="35"/>
        <v>1.1173627042747545</v>
      </c>
      <c r="DD70" s="406">
        <f t="shared" si="35"/>
        <v>1.0958348136016756</v>
      </c>
      <c r="DE70" s="406">
        <f t="shared" si="35"/>
        <v>1.0747216943139837</v>
      </c>
      <c r="DF70" s="406"/>
      <c r="DG70" s="406"/>
      <c r="DH70" s="406"/>
      <c r="DI70" s="406"/>
      <c r="DJ70" s="406"/>
      <c r="DK70" s="406"/>
      <c r="DL70" s="406"/>
    </row>
    <row r="71" spans="1:116" ht="15.75" customHeight="1" outlineLevel="1" x14ac:dyDescent="0.25">
      <c r="A71" s="751"/>
      <c r="B71" s="751"/>
      <c r="C71" s="403" t="s">
        <v>308</v>
      </c>
      <c r="D71" s="279"/>
      <c r="E71" s="280"/>
      <c r="F71" s="279"/>
      <c r="G71" s="279"/>
      <c r="H71" s="407">
        <f t="shared" ref="H71:DE71" si="36">(G70-H70)/G70</f>
        <v>0</v>
      </c>
      <c r="I71" s="408">
        <f t="shared" si="36"/>
        <v>1.7035917642492231E-2</v>
      </c>
      <c r="J71" s="408">
        <f t="shared" si="36"/>
        <v>1.7120068218541489E-2</v>
      </c>
      <c r="K71" s="408">
        <f t="shared" si="36"/>
        <v>1.7204627189175328E-2</v>
      </c>
      <c r="L71" s="408">
        <f t="shared" si="36"/>
        <v>1.7289596464352758E-2</v>
      </c>
      <c r="M71" s="408">
        <f t="shared" si="36"/>
        <v>1.7374977962252652E-2</v>
      </c>
      <c r="N71" s="408">
        <f t="shared" si="36"/>
        <v>1.7460773609300383E-2</v>
      </c>
      <c r="O71" s="408">
        <f t="shared" si="36"/>
        <v>1.7546985340197347E-2</v>
      </c>
      <c r="P71" s="408">
        <f t="shared" si="36"/>
        <v>1.7633615097948519E-2</v>
      </c>
      <c r="Q71" s="408">
        <f t="shared" si="36"/>
        <v>1.7720664833890985E-2</v>
      </c>
      <c r="R71" s="408">
        <f t="shared" si="36"/>
        <v>1.7808136507721808E-2</v>
      </c>
      <c r="S71" s="408">
        <f t="shared" si="36"/>
        <v>1.7896032087527377E-2</v>
      </c>
      <c r="T71" s="408">
        <f t="shared" si="36"/>
        <v>1.7984353549811039E-2</v>
      </c>
      <c r="U71" s="408">
        <f t="shared" si="36"/>
        <v>1.8073102879521123E-2</v>
      </c>
      <c r="V71" s="408">
        <f t="shared" si="36"/>
        <v>1.8162282070079638E-2</v>
      </c>
      <c r="W71" s="408">
        <f t="shared" si="36"/>
        <v>1.8251893123411737E-2</v>
      </c>
      <c r="X71" s="408">
        <f t="shared" si="36"/>
        <v>1.8341938049972223E-2</v>
      </c>
      <c r="Y71" s="408">
        <f t="shared" si="36"/>
        <v>1.8432418868774902E-2</v>
      </c>
      <c r="Z71" s="408">
        <f t="shared" si="36"/>
        <v>1.8523337607421534E-2</v>
      </c>
      <c r="AA71" s="408">
        <f t="shared" si="36"/>
        <v>1.8614696302129235E-2</v>
      </c>
      <c r="AB71" s="408">
        <f t="shared" si="36"/>
        <v>1.8706496997759847E-2</v>
      </c>
      <c r="AC71" s="408">
        <f t="shared" si="36"/>
        <v>1.8798741747847104E-2</v>
      </c>
      <c r="AD71" s="408">
        <f t="shared" si="36"/>
        <v>1.889143261462738E-2</v>
      </c>
      <c r="AE71" s="408">
        <f t="shared" si="36"/>
        <v>1.8984571669065222E-2</v>
      </c>
      <c r="AF71" s="408">
        <f t="shared" si="36"/>
        <v>1.9078160990884229E-2</v>
      </c>
      <c r="AG71" s="408">
        <f t="shared" si="36"/>
        <v>1.9172202668594249E-2</v>
      </c>
      <c r="AH71" s="408">
        <f t="shared" si="36"/>
        <v>1.9266698799520112E-2</v>
      </c>
      <c r="AI71" s="408">
        <f t="shared" si="36"/>
        <v>1.9266698799520008E-2</v>
      </c>
      <c r="AJ71" s="408">
        <f t="shared" si="36"/>
        <v>1.9266698799520015E-2</v>
      </c>
      <c r="AK71" s="408">
        <f t="shared" si="36"/>
        <v>1.9266698799520067E-2</v>
      </c>
      <c r="AL71" s="408">
        <f t="shared" si="36"/>
        <v>1.9266698799520067E-2</v>
      </c>
      <c r="AM71" s="408">
        <f t="shared" si="36"/>
        <v>1.9266698799520053E-2</v>
      </c>
      <c r="AN71" s="408">
        <f t="shared" si="36"/>
        <v>1.9266698799520209E-2</v>
      </c>
      <c r="AO71" s="408">
        <f t="shared" si="36"/>
        <v>1.9266698799520188E-2</v>
      </c>
      <c r="AP71" s="408">
        <f t="shared" si="36"/>
        <v>1.9266698799520136E-2</v>
      </c>
      <c r="AQ71" s="408">
        <f t="shared" si="36"/>
        <v>1.9266698799520147E-2</v>
      </c>
      <c r="AR71" s="408">
        <f t="shared" si="36"/>
        <v>1.9266698799520091E-2</v>
      </c>
      <c r="AS71" s="408">
        <f t="shared" si="36"/>
        <v>1.926669879952015E-2</v>
      </c>
      <c r="AT71" s="408">
        <f t="shared" si="36"/>
        <v>1.9266698799520081E-2</v>
      </c>
      <c r="AU71" s="408">
        <f t="shared" si="36"/>
        <v>1.9266698799520209E-2</v>
      </c>
      <c r="AV71" s="408">
        <f t="shared" si="36"/>
        <v>1.9266698799520109E-2</v>
      </c>
      <c r="AW71" s="408">
        <f t="shared" si="36"/>
        <v>1.9266698799520185E-2</v>
      </c>
      <c r="AX71" s="408">
        <f t="shared" si="36"/>
        <v>1.9266698799519977E-2</v>
      </c>
      <c r="AY71" s="408">
        <f t="shared" si="36"/>
        <v>1.9266698799520126E-2</v>
      </c>
      <c r="AZ71" s="408">
        <f t="shared" si="36"/>
        <v>1.9266698799520122E-2</v>
      </c>
      <c r="BA71" s="408">
        <f t="shared" si="36"/>
        <v>1.9266698799520088E-2</v>
      </c>
      <c r="BB71" s="408">
        <f t="shared" si="36"/>
        <v>1.9266698799520136E-2</v>
      </c>
      <c r="BC71" s="408">
        <f t="shared" si="36"/>
        <v>1.9266698799520188E-2</v>
      </c>
      <c r="BD71" s="408">
        <f t="shared" si="36"/>
        <v>1.9266698799520147E-2</v>
      </c>
      <c r="BE71" s="408">
        <f t="shared" si="36"/>
        <v>1.9266698799520143E-2</v>
      </c>
      <c r="BF71" s="408">
        <f t="shared" si="36"/>
        <v>1.9266698799520199E-2</v>
      </c>
      <c r="BG71" s="408">
        <f t="shared" si="36"/>
        <v>1.9266698799520188E-2</v>
      </c>
      <c r="BH71" s="408">
        <f t="shared" si="36"/>
        <v>1.9266698799520129E-2</v>
      </c>
      <c r="BI71" s="408">
        <f t="shared" si="36"/>
        <v>1.9266698799520053E-2</v>
      </c>
      <c r="BJ71" s="408">
        <f t="shared" si="36"/>
        <v>1.9266698799520161E-2</v>
      </c>
      <c r="BK71" s="408">
        <f t="shared" si="36"/>
        <v>1.9266698799520185E-2</v>
      </c>
      <c r="BL71" s="408">
        <f t="shared" si="36"/>
        <v>1.9266698799520095E-2</v>
      </c>
      <c r="BM71" s="408">
        <f t="shared" si="36"/>
        <v>1.9266698799520074E-2</v>
      </c>
      <c r="BN71" s="408">
        <f t="shared" si="36"/>
        <v>1.9266698799520074E-2</v>
      </c>
      <c r="BO71" s="408">
        <f t="shared" si="36"/>
        <v>1.9266698799520178E-2</v>
      </c>
      <c r="BP71" s="408">
        <f t="shared" si="36"/>
        <v>1.9266698799520136E-2</v>
      </c>
      <c r="BQ71" s="408">
        <f t="shared" si="36"/>
        <v>1.9266698799519998E-2</v>
      </c>
      <c r="BR71" s="408">
        <f t="shared" si="36"/>
        <v>1.9266698799520175E-2</v>
      </c>
      <c r="BS71" s="408">
        <f t="shared" si="36"/>
        <v>1.9266698799520015E-2</v>
      </c>
      <c r="BT71" s="408">
        <f t="shared" si="36"/>
        <v>1.9266698799520039E-2</v>
      </c>
      <c r="BU71" s="408">
        <f t="shared" si="36"/>
        <v>1.9266698799519956E-2</v>
      </c>
      <c r="BV71" s="408">
        <f t="shared" si="36"/>
        <v>1.9266698799520036E-2</v>
      </c>
      <c r="BW71" s="408">
        <f t="shared" si="36"/>
        <v>1.9266698799520129E-2</v>
      </c>
      <c r="BX71" s="408">
        <f t="shared" si="36"/>
        <v>1.9266698799520181E-2</v>
      </c>
      <c r="BY71" s="408">
        <f t="shared" si="36"/>
        <v>1.9266698799520112E-2</v>
      </c>
      <c r="BZ71" s="408">
        <f t="shared" si="36"/>
        <v>1.9266698799520126E-2</v>
      </c>
      <c r="CA71" s="408">
        <f t="shared" si="36"/>
        <v>1.9266698799520081E-2</v>
      </c>
      <c r="CB71" s="408">
        <f t="shared" si="36"/>
        <v>1.9266698799520043E-2</v>
      </c>
      <c r="CC71" s="408">
        <f t="shared" si="36"/>
        <v>1.9266698799520122E-2</v>
      </c>
      <c r="CD71" s="408">
        <f t="shared" si="36"/>
        <v>1.926669879952014E-2</v>
      </c>
      <c r="CE71" s="408">
        <f t="shared" si="36"/>
        <v>1.9266698799520102E-2</v>
      </c>
      <c r="CF71" s="408">
        <f t="shared" si="36"/>
        <v>1.9266698799520032E-2</v>
      </c>
      <c r="CG71" s="408">
        <f t="shared" si="36"/>
        <v>1.9266698799520157E-2</v>
      </c>
      <c r="CH71" s="408">
        <f t="shared" si="36"/>
        <v>1.9266698799520022E-2</v>
      </c>
      <c r="CI71" s="408">
        <f t="shared" si="36"/>
        <v>1.9266698799520067E-2</v>
      </c>
      <c r="CJ71" s="408">
        <f t="shared" si="36"/>
        <v>1.9266698799520077E-2</v>
      </c>
      <c r="CK71" s="408">
        <f t="shared" si="36"/>
        <v>1.9266698799520202E-2</v>
      </c>
      <c r="CL71" s="408">
        <f t="shared" si="36"/>
        <v>1.9266698799520154E-2</v>
      </c>
      <c r="CM71" s="408">
        <f t="shared" si="36"/>
        <v>1.9266698799520195E-2</v>
      </c>
      <c r="CN71" s="408">
        <f t="shared" si="36"/>
        <v>1.9266698799520036E-2</v>
      </c>
      <c r="CO71" s="408">
        <f t="shared" si="36"/>
        <v>1.9266698799520005E-2</v>
      </c>
      <c r="CP71" s="408">
        <f t="shared" si="36"/>
        <v>1.9266698799519973E-2</v>
      </c>
      <c r="CQ71" s="408">
        <f t="shared" si="36"/>
        <v>1.9266698799520164E-2</v>
      </c>
      <c r="CR71" s="408">
        <f t="shared" si="36"/>
        <v>1.9266698799520057E-2</v>
      </c>
      <c r="CS71" s="408">
        <f t="shared" si="36"/>
        <v>1.9266698799520046E-2</v>
      </c>
      <c r="CT71" s="408">
        <f t="shared" si="36"/>
        <v>1.9266698799520057E-2</v>
      </c>
      <c r="CU71" s="408">
        <f t="shared" si="36"/>
        <v>1.9266698799520022E-2</v>
      </c>
      <c r="CV71" s="408">
        <f t="shared" si="36"/>
        <v>1.9266698799520154E-2</v>
      </c>
      <c r="CW71" s="408">
        <f t="shared" si="36"/>
        <v>1.9266698799519998E-2</v>
      </c>
      <c r="CX71" s="408">
        <f t="shared" si="36"/>
        <v>1.926669879951998E-2</v>
      </c>
      <c r="CY71" s="408">
        <f t="shared" si="36"/>
        <v>1.9266698799520192E-2</v>
      </c>
      <c r="CZ71" s="408">
        <f t="shared" si="36"/>
        <v>1.9266698799520091E-2</v>
      </c>
      <c r="DA71" s="408">
        <f t="shared" si="36"/>
        <v>1.9266698799520192E-2</v>
      </c>
      <c r="DB71" s="408">
        <f t="shared" si="36"/>
        <v>1.9266698799520126E-2</v>
      </c>
      <c r="DC71" s="408">
        <f t="shared" si="36"/>
        <v>1.9266698799520029E-2</v>
      </c>
      <c r="DD71" s="408">
        <f t="shared" si="36"/>
        <v>1.9266698799520077E-2</v>
      </c>
      <c r="DE71" s="408">
        <f t="shared" si="36"/>
        <v>1.9266698799520237E-2</v>
      </c>
      <c r="DF71" s="408"/>
      <c r="DG71" s="408"/>
      <c r="DH71" s="408"/>
      <c r="DI71" s="408"/>
      <c r="DJ71" s="408"/>
      <c r="DK71" s="408"/>
      <c r="DL71" s="408"/>
    </row>
    <row r="72" spans="1:116" ht="15.75" customHeight="1" outlineLevel="1" x14ac:dyDescent="0.25">
      <c r="A72" s="751"/>
      <c r="B72" s="751"/>
      <c r="C72" s="403" t="s">
        <v>309</v>
      </c>
      <c r="D72" s="279"/>
      <c r="E72" s="280"/>
      <c r="F72" s="279"/>
      <c r="G72" s="279"/>
      <c r="H72" s="405">
        <f t="shared" ref="H72:DE72" si="37">H71*1.7</f>
        <v>0</v>
      </c>
      <c r="I72" s="406">
        <f t="shared" si="37"/>
        <v>2.896105999223679E-2</v>
      </c>
      <c r="J72" s="406">
        <f t="shared" si="37"/>
        <v>2.9104115971520531E-2</v>
      </c>
      <c r="K72" s="406">
        <f t="shared" si="37"/>
        <v>2.9247866221598057E-2</v>
      </c>
      <c r="L72" s="406">
        <f t="shared" si="37"/>
        <v>2.9392313989399687E-2</v>
      </c>
      <c r="M72" s="406">
        <f t="shared" si="37"/>
        <v>2.953746253582951E-2</v>
      </c>
      <c r="N72" s="406">
        <f t="shared" si="37"/>
        <v>2.9683315135810649E-2</v>
      </c>
      <c r="O72" s="406">
        <f t="shared" si="37"/>
        <v>2.982987507833549E-2</v>
      </c>
      <c r="P72" s="406">
        <f t="shared" si="37"/>
        <v>2.9977145666512481E-2</v>
      </c>
      <c r="Q72" s="406">
        <f t="shared" si="37"/>
        <v>3.0125130217614673E-2</v>
      </c>
      <c r="R72" s="406">
        <f t="shared" si="37"/>
        <v>3.0273832063127074E-2</v>
      </c>
      <c r="S72" s="406">
        <f t="shared" si="37"/>
        <v>3.042325454879654E-2</v>
      </c>
      <c r="T72" s="406">
        <f t="shared" si="37"/>
        <v>3.0573401034678763E-2</v>
      </c>
      <c r="U72" s="406">
        <f t="shared" si="37"/>
        <v>3.0724274895185907E-2</v>
      </c>
      <c r="V72" s="406">
        <f t="shared" si="37"/>
        <v>3.0875879519135386E-2</v>
      </c>
      <c r="W72" s="406">
        <f t="shared" si="37"/>
        <v>3.1028218309799953E-2</v>
      </c>
      <c r="X72" s="406">
        <f t="shared" si="37"/>
        <v>3.1181294684952777E-2</v>
      </c>
      <c r="Y72" s="406">
        <f t="shared" si="37"/>
        <v>3.1335112076917332E-2</v>
      </c>
      <c r="Z72" s="406">
        <f t="shared" si="37"/>
        <v>3.1489673932616605E-2</v>
      </c>
      <c r="AA72" s="406">
        <f t="shared" si="37"/>
        <v>3.16449837136197E-2</v>
      </c>
      <c r="AB72" s="406">
        <f t="shared" si="37"/>
        <v>3.1801044896191739E-2</v>
      </c>
      <c r="AC72" s="406">
        <f t="shared" si="37"/>
        <v>3.1957860971340075E-2</v>
      </c>
      <c r="AD72" s="406">
        <f t="shared" si="37"/>
        <v>3.2115435444866544E-2</v>
      </c>
      <c r="AE72" s="406">
        <f t="shared" si="37"/>
        <v>3.2273771837410876E-2</v>
      </c>
      <c r="AF72" s="406">
        <f t="shared" si="37"/>
        <v>3.2432873684503191E-2</v>
      </c>
      <c r="AG72" s="406">
        <f t="shared" si="37"/>
        <v>3.2592744536610221E-2</v>
      </c>
      <c r="AH72" s="406">
        <f t="shared" si="37"/>
        <v>3.2753387959184192E-2</v>
      </c>
      <c r="AI72" s="406">
        <f t="shared" si="37"/>
        <v>3.2753387959184012E-2</v>
      </c>
      <c r="AJ72" s="406">
        <f t="shared" si="37"/>
        <v>3.2753387959184026E-2</v>
      </c>
      <c r="AK72" s="406">
        <f t="shared" si="37"/>
        <v>3.2753387959184116E-2</v>
      </c>
      <c r="AL72" s="406">
        <f t="shared" si="37"/>
        <v>3.2753387959184116E-2</v>
      </c>
      <c r="AM72" s="406">
        <f t="shared" si="37"/>
        <v>3.2753387959184088E-2</v>
      </c>
      <c r="AN72" s="406">
        <f t="shared" si="37"/>
        <v>3.2753387959184352E-2</v>
      </c>
      <c r="AO72" s="406">
        <f t="shared" si="37"/>
        <v>3.2753387959184317E-2</v>
      </c>
      <c r="AP72" s="406">
        <f t="shared" si="37"/>
        <v>3.2753387959184234E-2</v>
      </c>
      <c r="AQ72" s="406">
        <f t="shared" si="37"/>
        <v>3.2753387959184248E-2</v>
      </c>
      <c r="AR72" s="406">
        <f t="shared" si="37"/>
        <v>3.2753387959184158E-2</v>
      </c>
      <c r="AS72" s="406">
        <f t="shared" si="37"/>
        <v>3.2753387959184255E-2</v>
      </c>
      <c r="AT72" s="406">
        <f t="shared" si="37"/>
        <v>3.2753387959184137E-2</v>
      </c>
      <c r="AU72" s="406">
        <f t="shared" si="37"/>
        <v>3.2753387959184352E-2</v>
      </c>
      <c r="AV72" s="406">
        <f t="shared" si="37"/>
        <v>3.2753387959184185E-2</v>
      </c>
      <c r="AW72" s="406">
        <f t="shared" si="37"/>
        <v>3.275338795918431E-2</v>
      </c>
      <c r="AX72" s="406">
        <f t="shared" si="37"/>
        <v>3.2753387959183956E-2</v>
      </c>
      <c r="AY72" s="406">
        <f t="shared" si="37"/>
        <v>3.2753387959184213E-2</v>
      </c>
      <c r="AZ72" s="406">
        <f t="shared" si="37"/>
        <v>3.2753387959184206E-2</v>
      </c>
      <c r="BA72" s="406">
        <f t="shared" si="37"/>
        <v>3.2753387959184151E-2</v>
      </c>
      <c r="BB72" s="406">
        <f t="shared" si="37"/>
        <v>3.2753387959184234E-2</v>
      </c>
      <c r="BC72" s="406">
        <f t="shared" si="37"/>
        <v>3.2753387959184317E-2</v>
      </c>
      <c r="BD72" s="406">
        <f t="shared" si="37"/>
        <v>3.2753387959184248E-2</v>
      </c>
      <c r="BE72" s="406">
        <f t="shared" si="37"/>
        <v>3.2753387959184241E-2</v>
      </c>
      <c r="BF72" s="406">
        <f t="shared" si="37"/>
        <v>3.2753387959184338E-2</v>
      </c>
      <c r="BG72" s="406">
        <f t="shared" si="37"/>
        <v>3.2753387959184317E-2</v>
      </c>
      <c r="BH72" s="406">
        <f t="shared" si="37"/>
        <v>3.275338795918422E-2</v>
      </c>
      <c r="BI72" s="406">
        <f t="shared" si="37"/>
        <v>3.2753387959184088E-2</v>
      </c>
      <c r="BJ72" s="406">
        <f t="shared" si="37"/>
        <v>3.2753387959184276E-2</v>
      </c>
      <c r="BK72" s="406">
        <f t="shared" si="37"/>
        <v>3.275338795918431E-2</v>
      </c>
      <c r="BL72" s="406">
        <f t="shared" si="37"/>
        <v>3.2753387959184158E-2</v>
      </c>
      <c r="BM72" s="406">
        <f t="shared" si="37"/>
        <v>3.2753387959184123E-2</v>
      </c>
      <c r="BN72" s="406">
        <f t="shared" si="37"/>
        <v>3.2753387959184123E-2</v>
      </c>
      <c r="BO72" s="406">
        <f t="shared" si="37"/>
        <v>3.2753387959184303E-2</v>
      </c>
      <c r="BP72" s="406">
        <f t="shared" si="37"/>
        <v>3.2753387959184234E-2</v>
      </c>
      <c r="BQ72" s="406">
        <f t="shared" si="37"/>
        <v>3.2753387959183998E-2</v>
      </c>
      <c r="BR72" s="406">
        <f t="shared" si="37"/>
        <v>3.2753387959184296E-2</v>
      </c>
      <c r="BS72" s="406">
        <f t="shared" si="37"/>
        <v>3.2753387959184026E-2</v>
      </c>
      <c r="BT72" s="406">
        <f t="shared" si="37"/>
        <v>3.2753387959184067E-2</v>
      </c>
      <c r="BU72" s="406">
        <f t="shared" si="37"/>
        <v>3.2753387959183922E-2</v>
      </c>
      <c r="BV72" s="406">
        <f t="shared" si="37"/>
        <v>3.275338795918406E-2</v>
      </c>
      <c r="BW72" s="406">
        <f t="shared" si="37"/>
        <v>3.275338795918422E-2</v>
      </c>
      <c r="BX72" s="406">
        <f t="shared" si="37"/>
        <v>3.275338795918431E-2</v>
      </c>
      <c r="BY72" s="406">
        <f t="shared" si="37"/>
        <v>3.2753387959184192E-2</v>
      </c>
      <c r="BZ72" s="406">
        <f t="shared" si="37"/>
        <v>3.2753387959184213E-2</v>
      </c>
      <c r="CA72" s="406">
        <f t="shared" si="37"/>
        <v>3.2753387959184137E-2</v>
      </c>
      <c r="CB72" s="406">
        <f t="shared" si="37"/>
        <v>3.2753387959184074E-2</v>
      </c>
      <c r="CC72" s="406">
        <f t="shared" si="37"/>
        <v>3.2753387959184206E-2</v>
      </c>
      <c r="CD72" s="406">
        <f t="shared" si="37"/>
        <v>3.2753387959184234E-2</v>
      </c>
      <c r="CE72" s="406">
        <f t="shared" si="37"/>
        <v>3.2753387959184171E-2</v>
      </c>
      <c r="CF72" s="406">
        <f t="shared" si="37"/>
        <v>3.2753387959184053E-2</v>
      </c>
      <c r="CG72" s="406">
        <f t="shared" si="37"/>
        <v>3.2753387959184269E-2</v>
      </c>
      <c r="CH72" s="406">
        <f t="shared" si="37"/>
        <v>3.275338795918404E-2</v>
      </c>
      <c r="CI72" s="406">
        <f t="shared" si="37"/>
        <v>3.2753387959184116E-2</v>
      </c>
      <c r="CJ72" s="406">
        <f t="shared" si="37"/>
        <v>3.275338795918413E-2</v>
      </c>
      <c r="CK72" s="406">
        <f t="shared" si="37"/>
        <v>3.2753387959184345E-2</v>
      </c>
      <c r="CL72" s="406">
        <f t="shared" si="37"/>
        <v>3.2753387959184262E-2</v>
      </c>
      <c r="CM72" s="406">
        <f t="shared" si="37"/>
        <v>3.2753387959184331E-2</v>
      </c>
      <c r="CN72" s="406">
        <f t="shared" si="37"/>
        <v>3.275338795918406E-2</v>
      </c>
      <c r="CO72" s="406">
        <f t="shared" si="37"/>
        <v>3.2753387959184005E-2</v>
      </c>
      <c r="CP72" s="406">
        <f t="shared" si="37"/>
        <v>3.2753387959183956E-2</v>
      </c>
      <c r="CQ72" s="406">
        <f t="shared" si="37"/>
        <v>3.2753387959184276E-2</v>
      </c>
      <c r="CR72" s="406">
        <f t="shared" si="37"/>
        <v>3.2753387959184095E-2</v>
      </c>
      <c r="CS72" s="406">
        <f t="shared" si="37"/>
        <v>3.2753387959184074E-2</v>
      </c>
      <c r="CT72" s="406">
        <f t="shared" si="37"/>
        <v>3.2753387959184095E-2</v>
      </c>
      <c r="CU72" s="406">
        <f t="shared" si="37"/>
        <v>3.275338795918404E-2</v>
      </c>
      <c r="CV72" s="406">
        <f t="shared" si="37"/>
        <v>3.2753387959184262E-2</v>
      </c>
      <c r="CW72" s="406">
        <f t="shared" si="37"/>
        <v>3.2753387959183998E-2</v>
      </c>
      <c r="CX72" s="406">
        <f t="shared" si="37"/>
        <v>3.2753387959183963E-2</v>
      </c>
      <c r="CY72" s="406">
        <f t="shared" si="37"/>
        <v>3.2753387959184324E-2</v>
      </c>
      <c r="CZ72" s="406">
        <f t="shared" si="37"/>
        <v>3.2753387959184158E-2</v>
      </c>
      <c r="DA72" s="406">
        <f t="shared" si="37"/>
        <v>3.2753387959184324E-2</v>
      </c>
      <c r="DB72" s="406">
        <f t="shared" si="37"/>
        <v>3.2753387959184213E-2</v>
      </c>
      <c r="DC72" s="406">
        <f t="shared" si="37"/>
        <v>3.2753387959184047E-2</v>
      </c>
      <c r="DD72" s="406">
        <f t="shared" si="37"/>
        <v>3.275338795918413E-2</v>
      </c>
      <c r="DE72" s="406">
        <f t="shared" si="37"/>
        <v>3.27533879591844E-2</v>
      </c>
      <c r="DF72" s="406"/>
      <c r="DG72" s="406"/>
      <c r="DH72" s="406"/>
      <c r="DI72" s="406"/>
      <c r="DJ72" s="406"/>
      <c r="DK72" s="406"/>
      <c r="DL72" s="406"/>
    </row>
    <row r="73" spans="1:116" ht="15.75" customHeight="1" outlineLevel="1" x14ac:dyDescent="0.25">
      <c r="A73" s="751"/>
      <c r="B73" s="751"/>
      <c r="C73" s="403" t="s">
        <v>310</v>
      </c>
      <c r="D73" s="279" t="s">
        <v>311</v>
      </c>
      <c r="E73" s="280"/>
      <c r="F73" s="279"/>
      <c r="G73" s="279">
        <f>2201+4779+8934</f>
        <v>15914</v>
      </c>
      <c r="H73" s="409">
        <f t="shared" ref="H73:DE73" si="38">G73*(1-H72)</f>
        <v>15914</v>
      </c>
      <c r="I73" s="282">
        <f t="shared" si="38"/>
        <v>15453.113691283545</v>
      </c>
      <c r="J73" s="282">
        <f t="shared" si="38"/>
        <v>15003.364478291336</v>
      </c>
      <c r="K73" s="282">
        <f t="shared" si="38"/>
        <v>14564.548081156396</v>
      </c>
      <c r="L73" s="282">
        <f t="shared" si="38"/>
        <v>14136.462310841338</v>
      </c>
      <c r="M73" s="282">
        <f t="shared" si="38"/>
        <v>13718.907084945695</v>
      </c>
      <c r="N73" s="282">
        <f t="shared" si="38"/>
        <v>13311.684442624346</v>
      </c>
      <c r="O73" s="282">
        <f t="shared" si="38"/>
        <v>12914.59855861864</v>
      </c>
      <c r="P73" s="282">
        <f t="shared" si="38"/>
        <v>12527.455756402398</v>
      </c>
      <c r="Q73" s="282">
        <f t="shared" si="38"/>
        <v>12150.06452044537</v>
      </c>
      <c r="R73" s="282">
        <f t="shared" si="38"/>
        <v>11782.235507597248</v>
      </c>
      <c r="S73" s="282">
        <f t="shared" si="38"/>
        <v>11423.781557595748</v>
      </c>
      <c r="T73" s="282">
        <f t="shared" si="38"/>
        <v>11074.517702702806</v>
      </c>
      <c r="U73" s="282">
        <f t="shared" si="38"/>
        <v>10734.261176473361</v>
      </c>
      <c r="V73" s="282">
        <f t="shared" si="38"/>
        <v>10402.831421661636</v>
      </c>
      <c r="W73" s="282">
        <f t="shared" si="38"/>
        <v>10080.050097270272</v>
      </c>
      <c r="X73" s="282">
        <f t="shared" si="38"/>
        <v>9765.7410847482006</v>
      </c>
      <c r="Y73" s="282">
        <f t="shared" si="38"/>
        <v>9459.7304933434589</v>
      </c>
      <c r="Z73" s="282">
        <f t="shared" si="38"/>
        <v>9161.8466646176439</v>
      </c>
      <c r="AA73" s="282">
        <f t="shared" si="38"/>
        <v>8871.920176129137</v>
      </c>
      <c r="AB73" s="282">
        <f t="shared" si="38"/>
        <v>8589.7838442926259</v>
      </c>
      <c r="AC73" s="282">
        <f t="shared" si="38"/>
        <v>8315.2727264228579</v>
      </c>
      <c r="AD73" s="282">
        <f t="shared" si="38"/>
        <v>8048.2241219709658</v>
      </c>
      <c r="AE73" s="282">
        <f t="shared" si="38"/>
        <v>7788.4775729621288</v>
      </c>
      <c r="AF73" s="282">
        <f t="shared" si="38"/>
        <v>7535.8748636436621</v>
      </c>
      <c r="AG73" s="282">
        <f t="shared" si="38"/>
        <v>7290.2600193530616</v>
      </c>
      <c r="AH73" s="282">
        <f t="shared" si="38"/>
        <v>7051.4793046158611</v>
      </c>
      <c r="AI73" s="282">
        <f t="shared" si="38"/>
        <v>6820.5194672656207</v>
      </c>
      <c r="AJ73" s="282">
        <f t="shared" si="38"/>
        <v>6597.1243470711024</v>
      </c>
      <c r="AK73" s="282">
        <f t="shared" si="38"/>
        <v>6381.046173916503</v>
      </c>
      <c r="AL73" s="282">
        <f t="shared" si="38"/>
        <v>6172.0452929967478</v>
      </c>
      <c r="AM73" s="282">
        <f t="shared" si="38"/>
        <v>5969.8898990135685</v>
      </c>
      <c r="AN73" s="282">
        <f t="shared" si="38"/>
        <v>5774.3557790775612</v>
      </c>
      <c r="AO73" s="282">
        <f t="shared" si="38"/>
        <v>5585.226064031076</v>
      </c>
      <c r="AP73" s="282">
        <f t="shared" si="38"/>
        <v>5402.2909879161189</v>
      </c>
      <c r="AQ73" s="282">
        <f t="shared" si="38"/>
        <v>5225.3476553204973</v>
      </c>
      <c r="AR73" s="282">
        <f t="shared" si="38"/>
        <v>5054.1998163441722</v>
      </c>
      <c r="AS73" s="282">
        <f t="shared" si="38"/>
        <v>4888.6576489362133</v>
      </c>
      <c r="AT73" s="282">
        <f t="shared" si="38"/>
        <v>4728.5375483609723</v>
      </c>
      <c r="AU73" s="282">
        <f t="shared" si="38"/>
        <v>4573.6619235599346</v>
      </c>
      <c r="AV73" s="282">
        <f t="shared" si="38"/>
        <v>4423.8590001834273</v>
      </c>
      <c r="AW73" s="282">
        <f t="shared" si="38"/>
        <v>4278.96263007369</v>
      </c>
      <c r="AX73" s="282">
        <f t="shared" si="38"/>
        <v>4138.8121069880362</v>
      </c>
      <c r="AY73" s="282">
        <f t="shared" si="38"/>
        <v>4003.2519883576883</v>
      </c>
      <c r="AZ73" s="282">
        <f t="shared" si="38"/>
        <v>3872.1319228846332</v>
      </c>
      <c r="BA73" s="282">
        <f t="shared" si="38"/>
        <v>3745.3064837852512</v>
      </c>
      <c r="BB73" s="282">
        <f t="shared" si="38"/>
        <v>3622.6350074957845</v>
      </c>
      <c r="BC73" s="282">
        <f t="shared" si="38"/>
        <v>3503.9814376607524</v>
      </c>
      <c r="BD73" s="282">
        <f t="shared" si="38"/>
        <v>3389.2141742312697</v>
      </c>
      <c r="BE73" s="282">
        <f t="shared" si="38"/>
        <v>3278.2059275059064</v>
      </c>
      <c r="BF73" s="282">
        <f t="shared" si="38"/>
        <v>3170.8335769522077</v>
      </c>
      <c r="BG73" s="282">
        <f t="shared" si="38"/>
        <v>3066.9780346522839</v>
      </c>
      <c r="BH73" s="282">
        <f t="shared" si="38"/>
        <v>2966.5241132210213</v>
      </c>
      <c r="BI73" s="282">
        <f t="shared" si="38"/>
        <v>2869.3603980504186</v>
      </c>
      <c r="BJ73" s="282">
        <f t="shared" si="38"/>
        <v>2775.3791237383539</v>
      </c>
      <c r="BK73" s="282">
        <f t="shared" si="38"/>
        <v>2684.4760545647305</v>
      </c>
      <c r="BL73" s="282">
        <f t="shared" si="38"/>
        <v>2596.5503688824319</v>
      </c>
      <c r="BM73" s="282">
        <f t="shared" si="38"/>
        <v>2511.5045472948627</v>
      </c>
      <c r="BN73" s="282">
        <f t="shared" si="38"/>
        <v>2429.2442644960588</v>
      </c>
      <c r="BO73" s="282">
        <f t="shared" si="38"/>
        <v>2349.6782846533961</v>
      </c>
      <c r="BP73" s="282">
        <f t="shared" si="38"/>
        <v>2272.718360216873</v>
      </c>
      <c r="BQ73" s="282">
        <f t="shared" si="38"/>
        <v>2198.2791340427293</v>
      </c>
      <c r="BR73" s="282">
        <f t="shared" si="38"/>
        <v>2126.2780447228483</v>
      </c>
      <c r="BS73" s="282">
        <f t="shared" si="38"/>
        <v>2056.6352350149455</v>
      </c>
      <c r="BT73" s="282">
        <f t="shared" si="38"/>
        <v>1989.2734632719732</v>
      </c>
      <c r="BU73" s="282">
        <f t="shared" si="38"/>
        <v>1924.1180177725169</v>
      </c>
      <c r="BV73" s="282">
        <f t="shared" si="38"/>
        <v>1861.0966338571575</v>
      </c>
      <c r="BW73" s="282">
        <f t="shared" si="38"/>
        <v>1800.1394137789021</v>
      </c>
      <c r="BX73" s="282">
        <f t="shared" si="38"/>
        <v>1741.1787491787829</v>
      </c>
      <c r="BY73" s="282">
        <f t="shared" si="38"/>
        <v>1684.1492461006433</v>
      </c>
      <c r="BZ73" s="282">
        <f t="shared" si="38"/>
        <v>1628.9876524619413</v>
      </c>
      <c r="CA73" s="282">
        <f t="shared" si="38"/>
        <v>1575.6327879001346</v>
      </c>
      <c r="CB73" s="282">
        <f t="shared" si="38"/>
        <v>1524.0254759168308</v>
      </c>
      <c r="CC73" s="282">
        <f t="shared" si="38"/>
        <v>1474.1084782444464</v>
      </c>
      <c r="CD73" s="282">
        <f t="shared" si="38"/>
        <v>1425.8264313625832</v>
      </c>
      <c r="CE73" s="282">
        <f t="shared" si="38"/>
        <v>1379.1257850937054</v>
      </c>
      <c r="CF73" s="282">
        <f t="shared" si="38"/>
        <v>1333.9547432100171</v>
      </c>
      <c r="CG73" s="282">
        <f t="shared" si="38"/>
        <v>1290.2632059856653</v>
      </c>
      <c r="CH73" s="282">
        <f t="shared" si="38"/>
        <v>1248.0027146305563</v>
      </c>
      <c r="CI73" s="282">
        <f t="shared" si="38"/>
        <v>1207.1263975441466</v>
      </c>
      <c r="CJ73" s="282">
        <f t="shared" si="38"/>
        <v>1167.5889183296108</v>
      </c>
      <c r="CK73" s="282">
        <f t="shared" si="38"/>
        <v>1129.3464255107167</v>
      </c>
      <c r="CL73" s="282">
        <f t="shared" si="38"/>
        <v>1092.3565038956463</v>
      </c>
      <c r="CM73" s="282">
        <f t="shared" si="38"/>
        <v>1056.5781275338138</v>
      </c>
      <c r="CN73" s="282">
        <f t="shared" si="38"/>
        <v>1021.9716142135106</v>
      </c>
      <c r="CO73" s="282">
        <f t="shared" si="38"/>
        <v>988.49858144990196</v>
      </c>
      <c r="CP73" s="282">
        <f t="shared" si="38"/>
        <v>956.12190391457034</v>
      </c>
      <c r="CQ73" s="282">
        <f t="shared" si="38"/>
        <v>924.8056722593825</v>
      </c>
      <c r="CR73" s="282">
        <f t="shared" si="38"/>
        <v>894.51515328901689</v>
      </c>
      <c r="CS73" s="282">
        <f t="shared" si="38"/>
        <v>865.21675143797279</v>
      </c>
      <c r="CT73" s="282">
        <f t="shared" si="38"/>
        <v>836.87797150933989</v>
      </c>
      <c r="CU73" s="282">
        <f t="shared" si="38"/>
        <v>809.46738263399948</v>
      </c>
      <c r="CV73" s="282">
        <f t="shared" si="38"/>
        <v>782.95458341028268</v>
      </c>
      <c r="CW73" s="282">
        <f t="shared" si="38"/>
        <v>757.31016818542435</v>
      </c>
      <c r="CX73" s="282">
        <f t="shared" si="38"/>
        <v>732.50569444141229</v>
      </c>
      <c r="CY73" s="282">
        <f t="shared" si="38"/>
        <v>708.5136512490609</v>
      </c>
      <c r="CZ73" s="282">
        <f t="shared" si="38"/>
        <v>685.30742875532235</v>
      </c>
      <c r="DA73" s="282">
        <f t="shared" si="38"/>
        <v>662.8612886699882</v>
      </c>
      <c r="DB73" s="282">
        <f t="shared" si="38"/>
        <v>641.15033571905519</v>
      </c>
      <c r="DC73" s="282">
        <f t="shared" si="38"/>
        <v>620.15049003308786</v>
      </c>
      <c r="DD73" s="282">
        <f t="shared" si="38"/>
        <v>599.83846043995595</v>
      </c>
      <c r="DE73" s="282">
        <f t="shared" si="38"/>
        <v>580.19171863232623</v>
      </c>
      <c r="DF73" s="282"/>
      <c r="DG73" s="282"/>
      <c r="DH73" s="282"/>
      <c r="DI73" s="282"/>
      <c r="DJ73" s="282"/>
      <c r="DK73" s="282"/>
      <c r="DL73" s="282"/>
    </row>
    <row r="74" spans="1:116" ht="15.75" customHeight="1" outlineLevel="1" x14ac:dyDescent="0.25">
      <c r="A74" s="751"/>
      <c r="B74" s="751"/>
      <c r="C74" s="391" t="s">
        <v>312</v>
      </c>
      <c r="D74" s="279" t="s">
        <v>204</v>
      </c>
      <c r="E74" s="280"/>
      <c r="F74" s="279"/>
      <c r="G74" s="279"/>
      <c r="H74" s="409">
        <f t="shared" ref="H74:DE74" si="39">G73-H73</f>
        <v>0</v>
      </c>
      <c r="I74" s="282">
        <f t="shared" si="39"/>
        <v>460.88630871645546</v>
      </c>
      <c r="J74" s="282">
        <f t="shared" si="39"/>
        <v>449.74921299220841</v>
      </c>
      <c r="K74" s="282">
        <f t="shared" si="39"/>
        <v>438.81639713494042</v>
      </c>
      <c r="L74" s="282">
        <f t="shared" si="39"/>
        <v>428.08577031505774</v>
      </c>
      <c r="M74" s="282">
        <f t="shared" si="39"/>
        <v>417.55522589564316</v>
      </c>
      <c r="N74" s="282">
        <f t="shared" si="39"/>
        <v>407.22264232134876</v>
      </c>
      <c r="O74" s="282">
        <f t="shared" si="39"/>
        <v>397.08588400570625</v>
      </c>
      <c r="P74" s="282">
        <f t="shared" si="39"/>
        <v>387.14280221624176</v>
      </c>
      <c r="Q74" s="282">
        <f t="shared" si="39"/>
        <v>377.39123595702767</v>
      </c>
      <c r="R74" s="282">
        <f t="shared" si="39"/>
        <v>367.82901284812215</v>
      </c>
      <c r="S74" s="282">
        <f t="shared" si="39"/>
        <v>358.45395000149983</v>
      </c>
      <c r="T74" s="282">
        <f t="shared" si="39"/>
        <v>349.26385489294262</v>
      </c>
      <c r="U74" s="282">
        <f t="shared" si="39"/>
        <v>340.25652622944472</v>
      </c>
      <c r="V74" s="282">
        <f t="shared" si="39"/>
        <v>331.42975481172471</v>
      </c>
      <c r="W74" s="282">
        <f t="shared" si="39"/>
        <v>322.78132439136425</v>
      </c>
      <c r="X74" s="282">
        <f t="shared" si="39"/>
        <v>314.3090125220715</v>
      </c>
      <c r="Y74" s="282">
        <f t="shared" si="39"/>
        <v>306.01059140474172</v>
      </c>
      <c r="Z74" s="282">
        <f t="shared" si="39"/>
        <v>297.88382872581496</v>
      </c>
      <c r="AA74" s="282">
        <f t="shared" si="39"/>
        <v>289.92648848850695</v>
      </c>
      <c r="AB74" s="282">
        <f t="shared" si="39"/>
        <v>282.13633183651109</v>
      </c>
      <c r="AC74" s="282">
        <f t="shared" si="39"/>
        <v>274.51111786976799</v>
      </c>
      <c r="AD74" s="282">
        <f t="shared" si="39"/>
        <v>267.04860445189206</v>
      </c>
      <c r="AE74" s="282">
        <f t="shared" si="39"/>
        <v>259.74654900883706</v>
      </c>
      <c r="AF74" s="282">
        <f t="shared" si="39"/>
        <v>252.60270931846662</v>
      </c>
      <c r="AG74" s="282">
        <f t="shared" si="39"/>
        <v>245.61484429060056</v>
      </c>
      <c r="AH74" s="282">
        <f t="shared" si="39"/>
        <v>238.78071473720047</v>
      </c>
      <c r="AI74" s="282">
        <f t="shared" si="39"/>
        <v>230.95983735024038</v>
      </c>
      <c r="AJ74" s="282">
        <f t="shared" si="39"/>
        <v>223.39512019451831</v>
      </c>
      <c r="AK74" s="282">
        <f t="shared" si="39"/>
        <v>216.07817315459943</v>
      </c>
      <c r="AL74" s="282">
        <f t="shared" si="39"/>
        <v>209.00088091975522</v>
      </c>
      <c r="AM74" s="282">
        <f t="shared" si="39"/>
        <v>202.15539398317924</v>
      </c>
      <c r="AN74" s="282">
        <f t="shared" si="39"/>
        <v>195.5341199360073</v>
      </c>
      <c r="AO74" s="282">
        <f t="shared" si="39"/>
        <v>189.12971504648522</v>
      </c>
      <c r="AP74" s="282">
        <f t="shared" si="39"/>
        <v>182.93507611495716</v>
      </c>
      <c r="AQ74" s="282">
        <f t="shared" si="39"/>
        <v>176.94333259562154</v>
      </c>
      <c r="AR74" s="282">
        <f t="shared" si="39"/>
        <v>171.14783897632515</v>
      </c>
      <c r="AS74" s="282">
        <f t="shared" si="39"/>
        <v>165.54216740795891</v>
      </c>
      <c r="AT74" s="282">
        <f t="shared" si="39"/>
        <v>160.12010057524094</v>
      </c>
      <c r="AU74" s="282">
        <f t="shared" si="39"/>
        <v>154.8756248010377</v>
      </c>
      <c r="AV74" s="282">
        <f t="shared" si="39"/>
        <v>149.80292337650735</v>
      </c>
      <c r="AW74" s="282">
        <f t="shared" si="39"/>
        <v>144.89637010973729</v>
      </c>
      <c r="AX74" s="282">
        <f t="shared" si="39"/>
        <v>140.15052308565373</v>
      </c>
      <c r="AY74" s="282">
        <f t="shared" si="39"/>
        <v>135.56011863034792</v>
      </c>
      <c r="AZ74" s="282">
        <f t="shared" si="39"/>
        <v>131.12006547305509</v>
      </c>
      <c r="BA74" s="282">
        <f t="shared" si="39"/>
        <v>126.82543909938204</v>
      </c>
      <c r="BB74" s="282">
        <f t="shared" si="39"/>
        <v>122.67147628946668</v>
      </c>
      <c r="BC74" s="282">
        <f t="shared" si="39"/>
        <v>118.65356983503216</v>
      </c>
      <c r="BD74" s="282">
        <f t="shared" si="39"/>
        <v>114.76726342948268</v>
      </c>
      <c r="BE74" s="282">
        <f t="shared" si="39"/>
        <v>111.00824672536328</v>
      </c>
      <c r="BF74" s="282">
        <f t="shared" si="39"/>
        <v>107.37235055369865</v>
      </c>
      <c r="BG74" s="282">
        <f t="shared" si="39"/>
        <v>103.85554229992385</v>
      </c>
      <c r="BH74" s="282">
        <f t="shared" si="39"/>
        <v>100.45392143126264</v>
      </c>
      <c r="BI74" s="282">
        <f t="shared" si="39"/>
        <v>97.1637151706027</v>
      </c>
      <c r="BJ74" s="282">
        <f t="shared" si="39"/>
        <v>93.98127431206467</v>
      </c>
      <c r="BK74" s="282">
        <f t="shared" si="39"/>
        <v>90.903069173623408</v>
      </c>
      <c r="BL74" s="282">
        <f t="shared" si="39"/>
        <v>87.925685682298536</v>
      </c>
      <c r="BM74" s="282">
        <f t="shared" si="39"/>
        <v>85.045821587569208</v>
      </c>
      <c r="BN74" s="282">
        <f t="shared" si="39"/>
        <v>82.260282798803928</v>
      </c>
      <c r="BO74" s="282">
        <f t="shared" si="39"/>
        <v>79.565979842662728</v>
      </c>
      <c r="BP74" s="282">
        <f t="shared" si="39"/>
        <v>76.959924436523124</v>
      </c>
      <c r="BQ74" s="282">
        <f t="shared" si="39"/>
        <v>74.439226174143641</v>
      </c>
      <c r="BR74" s="282">
        <f t="shared" si="39"/>
        <v>72.001089319880975</v>
      </c>
      <c r="BS74" s="282">
        <f t="shared" si="39"/>
        <v>69.64280970790287</v>
      </c>
      <c r="BT74" s="282">
        <f t="shared" si="39"/>
        <v>67.361771742972223</v>
      </c>
      <c r="BU74" s="282">
        <f t="shared" si="39"/>
        <v>65.155445499456391</v>
      </c>
      <c r="BV74" s="282">
        <f t="shared" si="39"/>
        <v>63.021383915359365</v>
      </c>
      <c r="BW74" s="282">
        <f t="shared" si="39"/>
        <v>60.957220078255432</v>
      </c>
      <c r="BX74" s="282">
        <f t="shared" si="39"/>
        <v>58.960664600119117</v>
      </c>
      <c r="BY74" s="282">
        <f t="shared" si="39"/>
        <v>57.029503078139669</v>
      </c>
      <c r="BZ74" s="282">
        <f t="shared" si="39"/>
        <v>55.161593638702016</v>
      </c>
      <c r="CA74" s="282">
        <f t="shared" si="39"/>
        <v>53.354864561806608</v>
      </c>
      <c r="CB74" s="282">
        <f t="shared" si="39"/>
        <v>51.607311983303816</v>
      </c>
      <c r="CC74" s="282">
        <f t="shared" si="39"/>
        <v>49.916997672384468</v>
      </c>
      <c r="CD74" s="282">
        <f t="shared" si="39"/>
        <v>48.282046881863153</v>
      </c>
      <c r="CE74" s="282">
        <f t="shared" si="39"/>
        <v>46.70064626887779</v>
      </c>
      <c r="CF74" s="282">
        <f t="shared" si="39"/>
        <v>45.171041883688304</v>
      </c>
      <c r="CG74" s="282">
        <f t="shared" si="39"/>
        <v>43.691537224351805</v>
      </c>
      <c r="CH74" s="282">
        <f t="shared" si="39"/>
        <v>42.260491355109025</v>
      </c>
      <c r="CI74" s="282">
        <f t="shared" si="39"/>
        <v>40.876317086409699</v>
      </c>
      <c r="CJ74" s="282">
        <f t="shared" si="39"/>
        <v>39.537479214535779</v>
      </c>
      <c r="CK74" s="282">
        <f t="shared" si="39"/>
        <v>38.242492818894107</v>
      </c>
      <c r="CL74" s="282">
        <f t="shared" si="39"/>
        <v>36.989921615070443</v>
      </c>
      <c r="CM74" s="282">
        <f t="shared" si="39"/>
        <v>35.778376361832443</v>
      </c>
      <c r="CN74" s="282">
        <f t="shared" si="39"/>
        <v>34.606513320303179</v>
      </c>
      <c r="CO74" s="282">
        <f t="shared" si="39"/>
        <v>33.473032763608671</v>
      </c>
      <c r="CP74" s="282">
        <f t="shared" si="39"/>
        <v>32.376677535331623</v>
      </c>
      <c r="CQ74" s="282">
        <f t="shared" si="39"/>
        <v>31.316231655187835</v>
      </c>
      <c r="CR74" s="282">
        <f t="shared" si="39"/>
        <v>30.290518970365611</v>
      </c>
      <c r="CS74" s="282">
        <f t="shared" si="39"/>
        <v>29.298401851044105</v>
      </c>
      <c r="CT74" s="282">
        <f t="shared" si="39"/>
        <v>28.338779928632903</v>
      </c>
      <c r="CU74" s="282">
        <f t="shared" si="39"/>
        <v>27.410588875340409</v>
      </c>
      <c r="CV74" s="282">
        <f t="shared" si="39"/>
        <v>26.512799223716797</v>
      </c>
      <c r="CW74" s="282">
        <f t="shared" si="39"/>
        <v>25.644415224858335</v>
      </c>
      <c r="CX74" s="282">
        <f t="shared" si="39"/>
        <v>24.804473744012057</v>
      </c>
      <c r="CY74" s="282">
        <f t="shared" si="39"/>
        <v>23.992043192351389</v>
      </c>
      <c r="CZ74" s="282">
        <f t="shared" si="39"/>
        <v>23.206222493738551</v>
      </c>
      <c r="DA74" s="282">
        <f t="shared" si="39"/>
        <v>22.44614008533415</v>
      </c>
      <c r="DB74" s="282">
        <f t="shared" si="39"/>
        <v>21.710952950933006</v>
      </c>
      <c r="DC74" s="282">
        <f t="shared" si="39"/>
        <v>20.99984568596733</v>
      </c>
      <c r="DD74" s="282">
        <f t="shared" si="39"/>
        <v>20.312029593131911</v>
      </c>
      <c r="DE74" s="282">
        <f t="shared" si="39"/>
        <v>19.646741807629724</v>
      </c>
      <c r="DF74" s="282"/>
      <c r="DG74" s="282"/>
      <c r="DH74" s="282"/>
      <c r="DI74" s="282"/>
      <c r="DJ74" s="282"/>
      <c r="DK74" s="282"/>
      <c r="DL74" s="282"/>
    </row>
    <row r="75" spans="1:116" ht="15.75" customHeight="1" outlineLevel="1" x14ac:dyDescent="0.25">
      <c r="A75" s="751"/>
      <c r="B75" s="751"/>
      <c r="C75" s="410" t="s">
        <v>313</v>
      </c>
      <c r="D75" s="310" t="s">
        <v>314</v>
      </c>
      <c r="E75" s="411"/>
      <c r="F75" s="310"/>
      <c r="G75" s="310"/>
      <c r="H75" s="300">
        <f t="shared" ref="H75:DE75" si="40">2.75*H74</f>
        <v>0</v>
      </c>
      <c r="I75" s="301">
        <f t="shared" si="40"/>
        <v>1267.4373489702525</v>
      </c>
      <c r="J75" s="301">
        <f t="shared" si="40"/>
        <v>1236.8103357285731</v>
      </c>
      <c r="K75" s="301">
        <f t="shared" si="40"/>
        <v>1206.7450921210861</v>
      </c>
      <c r="L75" s="301">
        <f t="shared" si="40"/>
        <v>1177.2358683664088</v>
      </c>
      <c r="M75" s="301">
        <f t="shared" si="40"/>
        <v>1148.2768712130187</v>
      </c>
      <c r="N75" s="301">
        <f t="shared" si="40"/>
        <v>1119.8622663837091</v>
      </c>
      <c r="O75" s="301">
        <f t="shared" si="40"/>
        <v>1091.9861810156922</v>
      </c>
      <c r="P75" s="301">
        <f t="shared" si="40"/>
        <v>1064.6427060946648</v>
      </c>
      <c r="Q75" s="301">
        <f t="shared" si="40"/>
        <v>1037.8258988818261</v>
      </c>
      <c r="R75" s="301">
        <f t="shared" si="40"/>
        <v>1011.5297853323359</v>
      </c>
      <c r="S75" s="301">
        <f t="shared" si="40"/>
        <v>985.74836250412454</v>
      </c>
      <c r="T75" s="301">
        <f t="shared" si="40"/>
        <v>960.4756009555922</v>
      </c>
      <c r="U75" s="301">
        <f t="shared" si="40"/>
        <v>935.70544713097297</v>
      </c>
      <c r="V75" s="301">
        <f t="shared" si="40"/>
        <v>911.43182573224294</v>
      </c>
      <c r="W75" s="301">
        <f t="shared" si="40"/>
        <v>887.64864207625169</v>
      </c>
      <c r="X75" s="301">
        <f t="shared" si="40"/>
        <v>864.34978443569662</v>
      </c>
      <c r="Y75" s="301">
        <f t="shared" si="40"/>
        <v>841.52912636303972</v>
      </c>
      <c r="Z75" s="301">
        <f t="shared" si="40"/>
        <v>819.18052899599115</v>
      </c>
      <c r="AA75" s="301">
        <f t="shared" si="40"/>
        <v>797.29784334339411</v>
      </c>
      <c r="AB75" s="301">
        <f t="shared" si="40"/>
        <v>775.8749125504055</v>
      </c>
      <c r="AC75" s="301">
        <f t="shared" si="40"/>
        <v>754.90557414186196</v>
      </c>
      <c r="AD75" s="301">
        <f t="shared" si="40"/>
        <v>734.38366224270317</v>
      </c>
      <c r="AE75" s="301">
        <f t="shared" si="40"/>
        <v>714.30300977430193</v>
      </c>
      <c r="AF75" s="301">
        <f t="shared" si="40"/>
        <v>694.65745062578321</v>
      </c>
      <c r="AG75" s="301">
        <f t="shared" si="40"/>
        <v>675.44082179915154</v>
      </c>
      <c r="AH75" s="301">
        <f t="shared" si="40"/>
        <v>656.64696552730129</v>
      </c>
      <c r="AI75" s="301">
        <f t="shared" si="40"/>
        <v>635.13955271316104</v>
      </c>
      <c r="AJ75" s="301">
        <f t="shared" si="40"/>
        <v>614.33658053492536</v>
      </c>
      <c r="AK75" s="301">
        <f t="shared" si="40"/>
        <v>594.21497617514842</v>
      </c>
      <c r="AL75" s="301">
        <f t="shared" si="40"/>
        <v>574.75242252932685</v>
      </c>
      <c r="AM75" s="301">
        <f t="shared" si="40"/>
        <v>555.9273334537429</v>
      </c>
      <c r="AN75" s="301">
        <f t="shared" si="40"/>
        <v>537.71882982402008</v>
      </c>
      <c r="AO75" s="301">
        <f t="shared" si="40"/>
        <v>520.10671637783435</v>
      </c>
      <c r="AP75" s="301">
        <f t="shared" si="40"/>
        <v>503.07145931613218</v>
      </c>
      <c r="AQ75" s="301">
        <f t="shared" si="40"/>
        <v>486.59416463795924</v>
      </c>
      <c r="AR75" s="301">
        <f t="shared" si="40"/>
        <v>470.65655718489415</v>
      </c>
      <c r="AS75" s="301">
        <f t="shared" si="40"/>
        <v>455.24096037188701</v>
      </c>
      <c r="AT75" s="301">
        <f t="shared" si="40"/>
        <v>440.33027658191259</v>
      </c>
      <c r="AU75" s="301">
        <f t="shared" si="40"/>
        <v>425.90796820285368</v>
      </c>
      <c r="AV75" s="301">
        <f t="shared" si="40"/>
        <v>411.95803928539522</v>
      </c>
      <c r="AW75" s="301">
        <f t="shared" si="40"/>
        <v>398.46501780177755</v>
      </c>
      <c r="AX75" s="301">
        <f t="shared" si="40"/>
        <v>385.41393848554776</v>
      </c>
      <c r="AY75" s="301">
        <f t="shared" si="40"/>
        <v>372.79032623345677</v>
      </c>
      <c r="AZ75" s="301">
        <f t="shared" si="40"/>
        <v>360.5801800509015</v>
      </c>
      <c r="BA75" s="301">
        <f t="shared" si="40"/>
        <v>348.7699575233006</v>
      </c>
      <c r="BB75" s="301">
        <f t="shared" si="40"/>
        <v>337.34655979603338</v>
      </c>
      <c r="BC75" s="301">
        <f t="shared" si="40"/>
        <v>326.29731704633843</v>
      </c>
      <c r="BD75" s="301">
        <f t="shared" si="40"/>
        <v>315.60997443107738</v>
      </c>
      <c r="BE75" s="301">
        <f t="shared" si="40"/>
        <v>305.27267849474902</v>
      </c>
      <c r="BF75" s="301">
        <f t="shared" si="40"/>
        <v>295.27396402267129</v>
      </c>
      <c r="BG75" s="301">
        <f t="shared" si="40"/>
        <v>285.6027413247906</v>
      </c>
      <c r="BH75" s="301">
        <f t="shared" si="40"/>
        <v>276.24828393597227</v>
      </c>
      <c r="BI75" s="301">
        <f t="shared" si="40"/>
        <v>267.20021671915742</v>
      </c>
      <c r="BJ75" s="301">
        <f t="shared" si="40"/>
        <v>258.44850435817784</v>
      </c>
      <c r="BK75" s="301">
        <f t="shared" si="40"/>
        <v>249.98344022746437</v>
      </c>
      <c r="BL75" s="301">
        <f t="shared" si="40"/>
        <v>241.79563562632097</v>
      </c>
      <c r="BM75" s="301">
        <f t="shared" si="40"/>
        <v>233.87600936581532</v>
      </c>
      <c r="BN75" s="301">
        <f t="shared" si="40"/>
        <v>226.2157776967108</v>
      </c>
      <c r="BO75" s="301">
        <f t="shared" si="40"/>
        <v>218.8064445673225</v>
      </c>
      <c r="BP75" s="301">
        <f t="shared" si="40"/>
        <v>211.63979220043859</v>
      </c>
      <c r="BQ75" s="301">
        <f t="shared" si="40"/>
        <v>204.70787197889501</v>
      </c>
      <c r="BR75" s="301">
        <f t="shared" si="40"/>
        <v>198.00299562967268</v>
      </c>
      <c r="BS75" s="301">
        <f t="shared" si="40"/>
        <v>191.51772669673289</v>
      </c>
      <c r="BT75" s="301">
        <f t="shared" si="40"/>
        <v>185.24487229317361</v>
      </c>
      <c r="BU75" s="301">
        <f t="shared" si="40"/>
        <v>179.17747512350508</v>
      </c>
      <c r="BV75" s="301">
        <f t="shared" si="40"/>
        <v>173.30880576723825</v>
      </c>
      <c r="BW75" s="301">
        <f t="shared" si="40"/>
        <v>167.63235521520244</v>
      </c>
      <c r="BX75" s="301">
        <f t="shared" si="40"/>
        <v>162.14182765032757</v>
      </c>
      <c r="BY75" s="301">
        <f t="shared" si="40"/>
        <v>156.83113346488409</v>
      </c>
      <c r="BZ75" s="301">
        <f t="shared" si="40"/>
        <v>151.69438250643054</v>
      </c>
      <c r="CA75" s="301">
        <f t="shared" si="40"/>
        <v>146.72587754496817</v>
      </c>
      <c r="CB75" s="301">
        <f t="shared" si="40"/>
        <v>141.92010795408549</v>
      </c>
      <c r="CC75" s="301">
        <f t="shared" si="40"/>
        <v>137.27174359905729</v>
      </c>
      <c r="CD75" s="301">
        <f t="shared" si="40"/>
        <v>132.77562892512367</v>
      </c>
      <c r="CE75" s="301">
        <f t="shared" si="40"/>
        <v>128.42677723941392</v>
      </c>
      <c r="CF75" s="301">
        <f t="shared" si="40"/>
        <v>124.22036518014284</v>
      </c>
      <c r="CG75" s="301">
        <f t="shared" si="40"/>
        <v>120.15172736696746</v>
      </c>
      <c r="CH75" s="301">
        <f t="shared" si="40"/>
        <v>116.21635122654982</v>
      </c>
      <c r="CI75" s="301">
        <f t="shared" si="40"/>
        <v>112.40987198762667</v>
      </c>
      <c r="CJ75" s="301">
        <f t="shared" si="40"/>
        <v>108.72806783997339</v>
      </c>
      <c r="CK75" s="301">
        <f t="shared" si="40"/>
        <v>105.16685525195879</v>
      </c>
      <c r="CL75" s="301">
        <f t="shared" si="40"/>
        <v>101.72228444144372</v>
      </c>
      <c r="CM75" s="301">
        <f t="shared" si="40"/>
        <v>98.390534995039218</v>
      </c>
      <c r="CN75" s="301">
        <f t="shared" si="40"/>
        <v>95.167911630833743</v>
      </c>
      <c r="CO75" s="301">
        <f t="shared" si="40"/>
        <v>92.050840099923846</v>
      </c>
      <c r="CP75" s="301">
        <f t="shared" si="40"/>
        <v>89.035863222161964</v>
      </c>
      <c r="CQ75" s="301">
        <f t="shared" si="40"/>
        <v>86.119637051766546</v>
      </c>
      <c r="CR75" s="301">
        <f t="shared" si="40"/>
        <v>83.298927168505429</v>
      </c>
      <c r="CS75" s="301">
        <f t="shared" si="40"/>
        <v>80.570605090371288</v>
      </c>
      <c r="CT75" s="301">
        <f t="shared" si="40"/>
        <v>77.931644803740483</v>
      </c>
      <c r="CU75" s="301">
        <f t="shared" si="40"/>
        <v>75.379119407186124</v>
      </c>
      <c r="CV75" s="301">
        <f t="shared" si="40"/>
        <v>72.910197865221193</v>
      </c>
      <c r="CW75" s="301">
        <f t="shared" si="40"/>
        <v>70.522141868360421</v>
      </c>
      <c r="CX75" s="301">
        <f t="shared" si="40"/>
        <v>68.212302796033157</v>
      </c>
      <c r="CY75" s="301">
        <f t="shared" si="40"/>
        <v>65.978118778966319</v>
      </c>
      <c r="CZ75" s="301">
        <f t="shared" si="40"/>
        <v>63.817111857781015</v>
      </c>
      <c r="DA75" s="301">
        <f t="shared" si="40"/>
        <v>61.726885234668913</v>
      </c>
      <c r="DB75" s="301">
        <f t="shared" si="40"/>
        <v>59.705120615065766</v>
      </c>
      <c r="DC75" s="301">
        <f t="shared" si="40"/>
        <v>57.749575636410157</v>
      </c>
      <c r="DD75" s="301">
        <f t="shared" si="40"/>
        <v>55.858081381112754</v>
      </c>
      <c r="DE75" s="301">
        <f t="shared" si="40"/>
        <v>54.02853997098174</v>
      </c>
      <c r="DF75" s="412"/>
      <c r="DG75" s="412"/>
      <c r="DH75" s="412"/>
      <c r="DI75" s="412"/>
      <c r="DJ75" s="412"/>
      <c r="DK75" s="412"/>
      <c r="DL75" s="412"/>
    </row>
    <row r="76" spans="1:116" ht="15.75" customHeight="1" outlineLevel="1" x14ac:dyDescent="0.25">
      <c r="A76" s="752" t="s">
        <v>315</v>
      </c>
      <c r="B76" s="756"/>
      <c r="C76" s="757"/>
      <c r="D76" s="314" t="s">
        <v>247</v>
      </c>
      <c r="E76" s="315"/>
      <c r="F76" s="316" t="s">
        <v>14</v>
      </c>
      <c r="G76" s="317">
        <f t="shared" ref="G76" si="41">NPV($D$6, J76:DE76)+I76</f>
        <v>27193.611895578535</v>
      </c>
      <c r="H76" s="318"/>
      <c r="I76" s="319">
        <f>I75</f>
        <v>1267.4373489702525</v>
      </c>
      <c r="J76" s="319">
        <f t="shared" ref="J76:AO76" si="42">J75*(1 + $D$5)^(J2 - $I$2)</f>
        <v>1261.5465424431445</v>
      </c>
      <c r="K76" s="319">
        <f t="shared" si="42"/>
        <v>1255.4975938427781</v>
      </c>
      <c r="L76" s="319">
        <f t="shared" si="42"/>
        <v>1249.2921213973798</v>
      </c>
      <c r="M76" s="319">
        <f t="shared" si="42"/>
        <v>1242.9318139851496</v>
      </c>
      <c r="N76" s="319">
        <f t="shared" si="42"/>
        <v>1236.418430542298</v>
      </c>
      <c r="O76" s="319">
        <f t="shared" si="42"/>
        <v>1229.7537994154882</v>
      </c>
      <c r="P76" s="319">
        <f t="shared" si="42"/>
        <v>1222.9398176582861</v>
      </c>
      <c r="Q76" s="319">
        <f t="shared" si="42"/>
        <v>1215.9784502720001</v>
      </c>
      <c r="R76" s="319">
        <f t="shared" si="42"/>
        <v>1208.871729390796</v>
      </c>
      <c r="S76" s="319">
        <f t="shared" si="42"/>
        <v>1201.6217534114969</v>
      </c>
      <c r="T76" s="319">
        <f t="shared" si="42"/>
        <v>1194.2306860680972</v>
      </c>
      <c r="U76" s="319">
        <f t="shared" si="42"/>
        <v>1186.7007554513341</v>
      </c>
      <c r="V76" s="319">
        <f t="shared" si="42"/>
        <v>1179.0342529738382</v>
      </c>
      <c r="W76" s="319">
        <f t="shared" si="42"/>
        <v>1171.2335322812107</v>
      </c>
      <c r="X76" s="319">
        <f t="shared" si="42"/>
        <v>1163.3010081092903</v>
      </c>
      <c r="Y76" s="319">
        <f t="shared" si="42"/>
        <v>1155.2391550885723</v>
      </c>
      <c r="Z76" s="319">
        <f t="shared" si="42"/>
        <v>1147.0505064961476</v>
      </c>
      <c r="AA76" s="319">
        <f t="shared" si="42"/>
        <v>1138.7376529558576</v>
      </c>
      <c r="AB76" s="319">
        <f t="shared" si="42"/>
        <v>1130.3032410874591</v>
      </c>
      <c r="AC76" s="319">
        <f t="shared" si="42"/>
        <v>1121.7499721056442</v>
      </c>
      <c r="AD76" s="319">
        <f t="shared" si="42"/>
        <v>1113.0806003697637</v>
      </c>
      <c r="AE76" s="319">
        <f t="shared" si="42"/>
        <v>1104.2979318850953</v>
      </c>
      <c r="AF76" s="319">
        <f t="shared" si="42"/>
        <v>1095.4048227568692</v>
      </c>
      <c r="AG76" s="319">
        <f t="shared" si="42"/>
        <v>1086.4041775979128</v>
      </c>
      <c r="AH76" s="319">
        <f t="shared" si="42"/>
        <v>1077.2989478911652</v>
      </c>
      <c r="AI76" s="319">
        <f t="shared" si="42"/>
        <v>1062.8540326529164</v>
      </c>
      <c r="AJ76" s="319">
        <f t="shared" si="42"/>
        <v>1048.6028014210028</v>
      </c>
      <c r="AK76" s="319">
        <f t="shared" si="42"/>
        <v>1034.5426571919968</v>
      </c>
      <c r="AL76" s="319">
        <f t="shared" si="42"/>
        <v>1020.6710377842758</v>
      </c>
      <c r="AM76" s="319">
        <f t="shared" si="42"/>
        <v>1006.985415371125</v>
      </c>
      <c r="AN76" s="319">
        <f t="shared" si="42"/>
        <v>993.48329602008312</v>
      </c>
      <c r="AO76" s="319">
        <f t="shared" si="42"/>
        <v>980.16221923845785</v>
      </c>
      <c r="AP76" s="319">
        <f t="shared" ref="AP76:BU76" si="43">AP75*(1 + $D$5)^(AP2 - $I$2)</f>
        <v>967.01975752497879</v>
      </c>
      <c r="AQ76" s="319">
        <f t="shared" si="43"/>
        <v>954.05351592742079</v>
      </c>
      <c r="AR76" s="319">
        <f t="shared" si="43"/>
        <v>941.26113160614898</v>
      </c>
      <c r="AS76" s="319">
        <f t="shared" si="43"/>
        <v>928.64027340359451</v>
      </c>
      <c r="AT76" s="319">
        <f t="shared" si="43"/>
        <v>916.18864141936444</v>
      </c>
      <c r="AU76" s="319">
        <f t="shared" si="43"/>
        <v>903.90396659122848</v>
      </c>
      <c r="AV76" s="319">
        <f t="shared" si="43"/>
        <v>891.78401028152723</v>
      </c>
      <c r="AW76" s="319">
        <f t="shared" si="43"/>
        <v>879.82656386932285</v>
      </c>
      <c r="AX76" s="319">
        <f t="shared" si="43"/>
        <v>868.02944834782613</v>
      </c>
      <c r="AY76" s="319">
        <f t="shared" si="43"/>
        <v>856.39051392742249</v>
      </c>
      <c r="AZ76" s="319">
        <f t="shared" si="43"/>
        <v>844.9076396437963</v>
      </c>
      <c r="BA76" s="319">
        <f t="shared" si="43"/>
        <v>833.57873297151889</v>
      </c>
      <c r="BB76" s="319">
        <f t="shared" si="43"/>
        <v>822.40172944270103</v>
      </c>
      <c r="BC76" s="319">
        <f t="shared" si="43"/>
        <v>811.37459227076113</v>
      </c>
      <c r="BD76" s="319">
        <f t="shared" si="43"/>
        <v>800.49531197928604</v>
      </c>
      <c r="BE76" s="319">
        <f t="shared" si="43"/>
        <v>789.76190603585314</v>
      </c>
      <c r="BF76" s="319">
        <f t="shared" si="43"/>
        <v>779.17241849071797</v>
      </c>
      <c r="BG76" s="319">
        <f t="shared" si="43"/>
        <v>768.7249196204117</v>
      </c>
      <c r="BH76" s="319">
        <f t="shared" si="43"/>
        <v>758.41750557607281</v>
      </c>
      <c r="BI76" s="319">
        <f t="shared" si="43"/>
        <v>748.24829803651812</v>
      </c>
      <c r="BJ76" s="319">
        <f t="shared" si="43"/>
        <v>738.21544386595428</v>
      </c>
      <c r="BK76" s="319">
        <f t="shared" si="43"/>
        <v>728.31711477626493</v>
      </c>
      <c r="BL76" s="319">
        <f t="shared" si="43"/>
        <v>718.55150699385263</v>
      </c>
      <c r="BM76" s="319">
        <f t="shared" si="43"/>
        <v>708.91684093096137</v>
      </c>
      <c r="BN76" s="319">
        <f t="shared" si="43"/>
        <v>699.41136086133281</v>
      </c>
      <c r="BO76" s="319">
        <f t="shared" si="43"/>
        <v>690.03333460030228</v>
      </c>
      <c r="BP76" s="319">
        <f t="shared" si="43"/>
        <v>680.78105318911423</v>
      </c>
      <c r="BQ76" s="319">
        <f t="shared" si="43"/>
        <v>671.6528305835194</v>
      </c>
      <c r="BR76" s="319">
        <f t="shared" si="43"/>
        <v>662.64700334652855</v>
      </c>
      <c r="BS76" s="319">
        <f t="shared" si="43"/>
        <v>653.7619303452459</v>
      </c>
      <c r="BT76" s="319">
        <f t="shared" si="43"/>
        <v>644.99599245185618</v>
      </c>
      <c r="BU76" s="319">
        <f t="shared" si="43"/>
        <v>636.34759224853838</v>
      </c>
      <c r="BV76" s="319">
        <f t="shared" ref="BV76:DA76" si="44">BV75*(1 + $D$5)^(BV2 - $I$2)</f>
        <v>627.81515373638535</v>
      </c>
      <c r="BW76" s="319">
        <f t="shared" si="44"/>
        <v>619.39712204819602</v>
      </c>
      <c r="BX76" s="319">
        <f t="shared" si="44"/>
        <v>611.09196316512987</v>
      </c>
      <c r="BY76" s="319">
        <f t="shared" si="44"/>
        <v>602.89816363717534</v>
      </c>
      <c r="BZ76" s="319">
        <f t="shared" si="44"/>
        <v>594.81423030736255</v>
      </c>
      <c r="CA76" s="319">
        <f t="shared" si="44"/>
        <v>586.8386900396298</v>
      </c>
      <c r="CB76" s="319">
        <f t="shared" si="44"/>
        <v>578.97008945040602</v>
      </c>
      <c r="CC76" s="319">
        <f t="shared" si="44"/>
        <v>571.20699464375605</v>
      </c>
      <c r="CD76" s="319">
        <f t="shared" si="44"/>
        <v>563.54799095005296</v>
      </c>
      <c r="CE76" s="319">
        <f t="shared" si="44"/>
        <v>555.99168266822198</v>
      </c>
      <c r="CF76" s="319">
        <f t="shared" si="44"/>
        <v>548.53669281138048</v>
      </c>
      <c r="CG76" s="319">
        <f t="shared" si="44"/>
        <v>541.18166285592542</v>
      </c>
      <c r="CH76" s="319">
        <f t="shared" si="44"/>
        <v>533.92525249392338</v>
      </c>
      <c r="CI76" s="319">
        <f t="shared" si="44"/>
        <v>526.76613938894423</v>
      </c>
      <c r="CJ76" s="319">
        <f t="shared" si="44"/>
        <v>519.70301893501039</v>
      </c>
      <c r="CK76" s="319">
        <f t="shared" si="44"/>
        <v>512.73460401892089</v>
      </c>
      <c r="CL76" s="319">
        <f t="shared" si="44"/>
        <v>505.85962478565682</v>
      </c>
      <c r="CM76" s="319">
        <f t="shared" si="44"/>
        <v>499.07682840701113</v>
      </c>
      <c r="CN76" s="319">
        <f t="shared" si="44"/>
        <v>492.38497885324568</v>
      </c>
      <c r="CO76" s="319">
        <f t="shared" si="44"/>
        <v>485.78285666790327</v>
      </c>
      <c r="CP76" s="319">
        <f t="shared" si="44"/>
        <v>479.26925874552813</v>
      </c>
      <c r="CQ76" s="319">
        <f t="shared" si="44"/>
        <v>472.84299811246876</v>
      </c>
      <c r="CR76" s="319">
        <f t="shared" si="44"/>
        <v>466.50290371053461</v>
      </c>
      <c r="CS76" s="319">
        <f t="shared" si="44"/>
        <v>460.2478201836405</v>
      </c>
      <c r="CT76" s="319">
        <f t="shared" si="44"/>
        <v>454.07660766723484</v>
      </c>
      <c r="CU76" s="319">
        <f t="shared" si="44"/>
        <v>447.98814158058144</v>
      </c>
      <c r="CV76" s="319">
        <f t="shared" si="44"/>
        <v>441.98131242184604</v>
      </c>
      <c r="CW76" s="319">
        <f t="shared" si="44"/>
        <v>436.05502556588988</v>
      </c>
      <c r="CX76" s="319">
        <f t="shared" si="44"/>
        <v>430.20820106481636</v>
      </c>
      <c r="CY76" s="319">
        <f t="shared" si="44"/>
        <v>424.43977345116639</v>
      </c>
      <c r="CZ76" s="319">
        <f t="shared" si="44"/>
        <v>418.74869154372777</v>
      </c>
      <c r="DA76" s="319">
        <f t="shared" si="44"/>
        <v>413.13391825604231</v>
      </c>
      <c r="DB76" s="319">
        <f t="shared" ref="DB76:DE76" si="45">DB75*(1 + $D$5)^(DB2 - $I$2)</f>
        <v>407.59443040735039</v>
      </c>
      <c r="DC76" s="319">
        <f t="shared" si="45"/>
        <v>402.12921853617672</v>
      </c>
      <c r="DD76" s="319">
        <f t="shared" si="45"/>
        <v>396.73728671637389</v>
      </c>
      <c r="DE76" s="319">
        <f t="shared" si="45"/>
        <v>391.41765237561378</v>
      </c>
      <c r="DF76" s="413"/>
      <c r="DG76" s="413"/>
      <c r="DH76" s="413"/>
      <c r="DI76" s="413"/>
      <c r="DJ76" s="413"/>
      <c r="DK76" s="413"/>
      <c r="DL76" s="413"/>
    </row>
    <row r="77" spans="1:116" ht="15.75" customHeight="1" outlineLevel="1" x14ac:dyDescent="0.25">
      <c r="A77" s="761" t="s">
        <v>316</v>
      </c>
      <c r="B77" s="756"/>
      <c r="C77" s="757"/>
      <c r="D77" s="414" t="s">
        <v>247</v>
      </c>
      <c r="E77" s="415"/>
      <c r="F77" s="316" t="s">
        <v>14</v>
      </c>
      <c r="G77" s="317">
        <f>NPV($D$6, J77:DE77)+I77</f>
        <v>530866.72886234534</v>
      </c>
      <c r="H77" s="416"/>
      <c r="I77" s="417">
        <f>(I76+I32)</f>
        <v>53657.398398389858</v>
      </c>
      <c r="J77" s="417">
        <f>(J76+J32)</f>
        <v>8736.7915458011248</v>
      </c>
      <c r="K77" s="417">
        <f t="shared" ref="K77:BV77" si="46">(K76+K32)</f>
        <v>8881.5132220149626</v>
      </c>
      <c r="L77" s="417">
        <f t="shared" si="46"/>
        <v>9029.1255565712036</v>
      </c>
      <c r="M77" s="417">
        <f t="shared" si="46"/>
        <v>9179.6919794110454</v>
      </c>
      <c r="N77" s="417">
        <f t="shared" si="46"/>
        <v>9333.2772453701746</v>
      </c>
      <c r="O77" s="417">
        <f t="shared" si="46"/>
        <v>9489.9474591303333</v>
      </c>
      <c r="P77" s="417">
        <f t="shared" si="46"/>
        <v>9649.7701006394564</v>
      </c>
      <c r="Q77" s="417">
        <f t="shared" si="46"/>
        <v>9812.81405101163</v>
      </c>
      <c r="R77" s="417">
        <f t="shared" si="46"/>
        <v>9979.1496189177378</v>
      </c>
      <c r="S77" s="417">
        <f t="shared" si="46"/>
        <v>10148.848567478488</v>
      </c>
      <c r="T77" s="417">
        <f t="shared" si="46"/>
        <v>10321.984141671346</v>
      </c>
      <c r="U77" s="417">
        <f t="shared" si="46"/>
        <v>10498.631096263471</v>
      </c>
      <c r="V77" s="417">
        <f t="shared" si="46"/>
        <v>68972.014509107277</v>
      </c>
      <c r="W77" s="417">
        <f t="shared" si="46"/>
        <v>10862.765886041863</v>
      </c>
      <c r="X77" s="417">
        <f t="shared" si="46"/>
        <v>11050.411038721328</v>
      </c>
      <c r="Y77" s="417">
        <f t="shared" si="46"/>
        <v>11241.882266536406</v>
      </c>
      <c r="Z77" s="417">
        <f t="shared" si="46"/>
        <v>11437.262311490102</v>
      </c>
      <c r="AA77" s="417">
        <f t="shared" si="46"/>
        <v>11636.635604732917</v>
      </c>
      <c r="AB77" s="417">
        <f t="shared" si="46"/>
        <v>11840.088298541436</v>
      </c>
      <c r="AC77" s="417">
        <f t="shared" si="46"/>
        <v>12047.708298930776</v>
      </c>
      <c r="AD77" s="417">
        <f t="shared" si="46"/>
        <v>12259.585298915845</v>
      </c>
      <c r="AE77" s="417">
        <f t="shared" si="46"/>
        <v>12475.810812436679</v>
      </c>
      <c r="AF77" s="417">
        <f t="shared" si="46"/>
        <v>12696.478208963727</v>
      </c>
      <c r="AG77" s="417">
        <f t="shared" si="46"/>
        <v>12921.682748799063</v>
      </c>
      <c r="AH77" s="417">
        <f t="shared" si="46"/>
        <v>13151.521619089977</v>
      </c>
      <c r="AI77" s="417">
        <f t="shared" si="46"/>
        <v>88786.964935353943</v>
      </c>
      <c r="AJ77" s="417">
        <f t="shared" si="46"/>
        <v>13610.624068536246</v>
      </c>
      <c r="AK77" s="417">
        <f t="shared" si="46"/>
        <v>13847.804349649547</v>
      </c>
      <c r="AL77" s="417">
        <f t="shared" si="46"/>
        <v>14090.197964090976</v>
      </c>
      <c r="AM77" s="417">
        <f t="shared" si="46"/>
        <v>14337.902880203961</v>
      </c>
      <c r="AN77" s="417">
        <f t="shared" si="46"/>
        <v>14591.019110149573</v>
      </c>
      <c r="AO77" s="417">
        <f t="shared" si="46"/>
        <v>14849.64874965054</v>
      </c>
      <c r="AP77" s="417">
        <f t="shared" si="46"/>
        <v>15113.896018545302</v>
      </c>
      <c r="AQ77" s="417">
        <f t="shared" si="46"/>
        <v>15383.86730216815</v>
      </c>
      <c r="AR77" s="417">
        <f t="shared" si="46"/>
        <v>15659.671193571692</v>
      </c>
      <c r="AS77" s="417">
        <f t="shared" si="46"/>
        <v>15941.418536608448</v>
      </c>
      <c r="AT77" s="417">
        <f t="shared" si="46"/>
        <v>16229.222469888316</v>
      </c>
      <c r="AU77" s="417">
        <f t="shared" si="46"/>
        <v>16523.198471629563</v>
      </c>
      <c r="AV77" s="417">
        <f t="shared" si="46"/>
        <v>114372.27552467969</v>
      </c>
      <c r="AW77" s="417">
        <f t="shared" si="46"/>
        <v>17130.140566911203</v>
      </c>
      <c r="AX77" s="417">
        <f t="shared" si="46"/>
        <v>17443.34973145054</v>
      </c>
      <c r="AY77" s="417">
        <f t="shared" si="46"/>
        <v>17763.217202692191</v>
      </c>
      <c r="AZ77" s="417">
        <f t="shared" si="46"/>
        <v>18089.87086218386</v>
      </c>
      <c r="BA77" s="417">
        <f t="shared" si="46"/>
        <v>18423.441219962388</v>
      </c>
      <c r="BB77" s="417">
        <f t="shared" si="46"/>
        <v>18764.061466173385</v>
      </c>
      <c r="BC77" s="417">
        <f t="shared" si="46"/>
        <v>19111.867523736062</v>
      </c>
      <c r="BD77" s="417">
        <f t="shared" si="46"/>
        <v>19466.998102073885</v>
      </c>
      <c r="BE77" s="417">
        <f t="shared" si="46"/>
        <v>19829.594751932345</v>
      </c>
      <c r="BF77" s="417">
        <f t="shared" si="46"/>
        <v>20199.801921305145</v>
      </c>
      <c r="BG77" s="417">
        <f t="shared" si="46"/>
        <v>20577.767012491124</v>
      </c>
      <c r="BH77" s="417">
        <f t="shared" si="46"/>
        <v>20963.640440304196</v>
      </c>
      <c r="BI77" s="417">
        <f t="shared" si="46"/>
        <v>147547.36454821777</v>
      </c>
      <c r="BJ77" s="417">
        <f t="shared" si="46"/>
        <v>21759.729385157094</v>
      </c>
      <c r="BK77" s="417">
        <f t="shared" si="46"/>
        <v>22170.261334893235</v>
      </c>
      <c r="BL77" s="417">
        <f t="shared" si="46"/>
        <v>22589.334611513154</v>
      </c>
      <c r="BM77" s="417">
        <f t="shared" si="46"/>
        <v>23017.115607540651</v>
      </c>
      <c r="BN77" s="417">
        <f t="shared" si="46"/>
        <v>23453.774102803214</v>
      </c>
      <c r="BO77" s="417">
        <f t="shared" si="46"/>
        <v>23899.483331381027</v>
      </c>
      <c r="BP77" s="417">
        <f t="shared" si="46"/>
        <v>24354.42004990545</v>
      </c>
      <c r="BQ77" s="417">
        <f t="shared" si="46"/>
        <v>24818.764607234185</v>
      </c>
      <c r="BR77" s="417">
        <f t="shared" si="46"/>
        <v>25292.701015530205</v>
      </c>
      <c r="BS77" s="417">
        <f t="shared" si="46"/>
        <v>25776.417022772595</v>
      </c>
      <c r="BT77" s="417">
        <f t="shared" si="46"/>
        <v>26270.104186727749</v>
      </c>
      <c r="BU77" s="417">
        <f t="shared" si="46"/>
        <v>26773.957950409953</v>
      </c>
      <c r="BV77" s="417">
        <f t="shared" si="46"/>
        <v>190528.12527972847</v>
      </c>
      <c r="BW77" s="417">
        <f t="shared" ref="BW77:DE77" si="47">(BW76+BW32)</f>
        <v>27812.966938679328</v>
      </c>
      <c r="BX77" s="417">
        <f t="shared" si="47"/>
        <v>28348.533176128887</v>
      </c>
      <c r="BY77" s="417">
        <f t="shared" si="47"/>
        <v>28895.088200860209</v>
      </c>
      <c r="BZ77" s="417">
        <f t="shared" si="47"/>
        <v>29452.848068274856</v>
      </c>
      <c r="CA77" s="417">
        <f t="shared" si="47"/>
        <v>30022.033204766478</v>
      </c>
      <c r="CB77" s="417">
        <f t="shared" si="47"/>
        <v>30602.868494471786</v>
      </c>
      <c r="CC77" s="417">
        <f t="shared" si="47"/>
        <v>31195.583367765565</v>
      </c>
      <c r="CD77" s="417">
        <f t="shared" si="47"/>
        <v>31800.411891534295</v>
      </c>
      <c r="CE77" s="417">
        <f t="shared" si="47"/>
        <v>32417.592861264151</v>
      </c>
      <c r="CF77" s="417">
        <f t="shared" si="47"/>
        <v>33047.369894979223</v>
      </c>
      <c r="CG77" s="417">
        <f t="shared" si="47"/>
        <v>33689.991529067134</v>
      </c>
      <c r="CH77" s="417">
        <f t="shared" si="47"/>
        <v>34345.711316029352</v>
      </c>
      <c r="CI77" s="417">
        <f t="shared" si="47"/>
        <v>246183.06644360448</v>
      </c>
      <c r="CJ77" s="417">
        <f t="shared" si="47"/>
        <v>35697.485239437265</v>
      </c>
      <c r="CK77" s="417">
        <f t="shared" si="47"/>
        <v>36394.072468931226</v>
      </c>
      <c r="CL77" s="417">
        <f t="shared" si="47"/>
        <v>37104.824246996206</v>
      </c>
      <c r="CM77" s="417">
        <f t="shared" si="47"/>
        <v>37830.020743061774</v>
      </c>
      <c r="CN77" s="417">
        <f t="shared" si="47"/>
        <v>38569.947771801097</v>
      </c>
      <c r="CO77" s="417">
        <f t="shared" si="47"/>
        <v>39324.896905474714</v>
      </c>
      <c r="CP77" s="417">
        <f t="shared" si="47"/>
        <v>40095.165588528478</v>
      </c>
      <c r="CQ77" s="417">
        <f t="shared" si="47"/>
        <v>40881.057254491083</v>
      </c>
      <c r="CR77" s="417">
        <f t="shared" si="47"/>
        <v>41682.881445216706</v>
      </c>
      <c r="CS77" s="417">
        <f t="shared" si="47"/>
        <v>42500.953932519937</v>
      </c>
      <c r="CT77" s="417">
        <f t="shared" si="47"/>
        <v>43335.596842250263</v>
      </c>
      <c r="CU77" s="417">
        <f t="shared" si="47"/>
        <v>44187.138780855268</v>
      </c>
      <c r="CV77" s="417">
        <f t="shared" si="47"/>
        <v>318224.60019870388</v>
      </c>
      <c r="CW77" s="417">
        <f t="shared" si="47"/>
        <v>45942.26735066728</v>
      </c>
      <c r="CX77" s="417">
        <f t="shared" si="47"/>
        <v>46846.544772668225</v>
      </c>
      <c r="CY77" s="417">
        <f t="shared" si="47"/>
        <v>47769.103076486652</v>
      </c>
      <c r="CZ77" s="417">
        <f t="shared" si="47"/>
        <v>48710.305260639907</v>
      </c>
      <c r="DA77" s="417">
        <f t="shared" si="47"/>
        <v>49670.52161873415</v>
      </c>
      <c r="DB77" s="417">
        <f t="shared" si="47"/>
        <v>50650.129884895032</v>
      </c>
      <c r="DC77" s="417">
        <f t="shared" si="47"/>
        <v>51649.515382113597</v>
      </c>
      <c r="DD77" s="417">
        <f t="shared" si="47"/>
        <v>52669.071173565353</v>
      </c>
      <c r="DE77" s="417">
        <f t="shared" si="47"/>
        <v>53709.198216961566</v>
      </c>
      <c r="DF77" s="418"/>
      <c r="DG77" s="418"/>
      <c r="DH77" s="418"/>
      <c r="DI77" s="418"/>
      <c r="DJ77" s="418"/>
      <c r="DK77" s="418"/>
      <c r="DL77" s="418"/>
    </row>
    <row r="78" spans="1:116" ht="15.75" customHeight="1" x14ac:dyDescent="0.25">
      <c r="A78" s="255"/>
      <c r="B78" s="277"/>
      <c r="C78" s="391"/>
      <c r="D78" s="279"/>
      <c r="E78" s="280"/>
      <c r="F78" s="279"/>
      <c r="G78" s="279"/>
      <c r="H78" s="409"/>
      <c r="I78" s="282"/>
      <c r="J78" s="282"/>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c r="AH78" s="282"/>
      <c r="AI78" s="282"/>
      <c r="AJ78" s="282"/>
      <c r="AK78" s="282"/>
      <c r="AL78" s="282"/>
      <c r="AM78" s="282"/>
      <c r="AN78" s="282"/>
      <c r="AO78" s="282"/>
      <c r="AP78" s="282"/>
      <c r="AQ78" s="282"/>
      <c r="AR78" s="282"/>
      <c r="AS78" s="282"/>
      <c r="AT78" s="282"/>
      <c r="AU78" s="282"/>
      <c r="AV78" s="282"/>
      <c r="AW78" s="282"/>
      <c r="AX78" s="282"/>
      <c r="AY78" s="282"/>
      <c r="AZ78" s="282"/>
      <c r="BA78" s="282"/>
      <c r="BB78" s="282"/>
      <c r="BC78" s="282"/>
      <c r="BD78" s="282"/>
      <c r="BE78" s="282"/>
      <c r="BF78" s="282"/>
      <c r="BG78" s="282"/>
      <c r="BH78" s="282"/>
      <c r="BI78" s="282"/>
      <c r="BJ78" s="278"/>
      <c r="BK78" s="278"/>
      <c r="BL78" s="278"/>
      <c r="BM78" s="278"/>
      <c r="BN78" s="278"/>
      <c r="BO78" s="278"/>
      <c r="BP78" s="278"/>
      <c r="BQ78" s="278"/>
      <c r="BR78" s="278"/>
      <c r="BS78" s="278"/>
      <c r="BT78" s="278"/>
      <c r="BU78" s="278"/>
      <c r="BV78" s="278"/>
      <c r="BW78" s="278"/>
      <c r="BX78" s="278"/>
      <c r="BY78" s="278"/>
      <c r="BZ78" s="278"/>
      <c r="CA78" s="278"/>
      <c r="CB78" s="278"/>
      <c r="CC78" s="278"/>
      <c r="CD78" s="278"/>
      <c r="CE78" s="278"/>
      <c r="CF78" s="278"/>
      <c r="CG78" s="278"/>
      <c r="CH78" s="278"/>
      <c r="CI78" s="278"/>
      <c r="CJ78" s="278"/>
      <c r="CK78" s="278"/>
      <c r="CL78" s="278"/>
      <c r="CM78" s="278"/>
      <c r="CN78" s="278"/>
      <c r="CO78" s="278"/>
      <c r="CP78" s="278"/>
      <c r="CQ78" s="278"/>
      <c r="CR78" s="278"/>
      <c r="CS78" s="278"/>
      <c r="CT78" s="278"/>
      <c r="CU78" s="278"/>
      <c r="CV78" s="278"/>
      <c r="CW78" s="278"/>
      <c r="CX78" s="278"/>
      <c r="CY78" s="278"/>
      <c r="CZ78" s="278"/>
      <c r="DA78" s="278"/>
      <c r="DB78" s="278"/>
      <c r="DC78" s="278"/>
      <c r="DD78" s="278"/>
      <c r="DE78" s="278"/>
      <c r="DF78" s="278"/>
      <c r="DG78" s="278"/>
      <c r="DH78" s="278"/>
      <c r="DI78" s="278"/>
      <c r="DJ78" s="278"/>
      <c r="DK78" s="278"/>
      <c r="DL78" s="278"/>
    </row>
    <row r="79" spans="1:116" ht="15.75" customHeight="1" x14ac:dyDescent="0.25">
      <c r="A79" s="419" t="s">
        <v>317</v>
      </c>
      <c r="B79" s="420"/>
      <c r="C79" s="272"/>
      <c r="D79" s="421"/>
      <c r="E79" s="422"/>
      <c r="F79" s="421"/>
      <c r="G79" s="421"/>
      <c r="H79" s="423"/>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c r="AF79" s="272"/>
      <c r="AG79" s="272"/>
      <c r="AH79" s="272"/>
      <c r="AI79" s="272"/>
      <c r="AJ79" s="272"/>
      <c r="AK79" s="272"/>
      <c r="AL79" s="272"/>
      <c r="AM79" s="272"/>
      <c r="AN79" s="272"/>
      <c r="AO79" s="272"/>
      <c r="AP79" s="272"/>
      <c r="AQ79" s="272"/>
      <c r="AR79" s="272"/>
      <c r="AS79" s="272"/>
      <c r="AT79" s="272"/>
      <c r="AU79" s="272"/>
      <c r="AV79" s="272"/>
      <c r="AW79" s="272"/>
      <c r="AX79" s="272"/>
      <c r="AY79" s="272"/>
      <c r="AZ79" s="272"/>
      <c r="BA79" s="272"/>
      <c r="BB79" s="272"/>
      <c r="BC79" s="272"/>
      <c r="BD79" s="272"/>
      <c r="BE79" s="272"/>
      <c r="BF79" s="272"/>
      <c r="BG79" s="272"/>
      <c r="BH79" s="272"/>
      <c r="BI79" s="272"/>
      <c r="BJ79" s="272"/>
      <c r="BK79" s="272"/>
      <c r="BL79" s="272"/>
      <c r="BM79" s="272"/>
      <c r="BN79" s="272"/>
      <c r="BO79" s="272"/>
      <c r="BP79" s="272"/>
      <c r="BQ79" s="272"/>
      <c r="BR79" s="272"/>
      <c r="BS79" s="272"/>
      <c r="BT79" s="272"/>
      <c r="BU79" s="272"/>
      <c r="BV79" s="272"/>
      <c r="BW79" s="272"/>
      <c r="BX79" s="272"/>
      <c r="BY79" s="272"/>
      <c r="BZ79" s="272"/>
      <c r="CA79" s="272"/>
      <c r="CB79" s="272"/>
      <c r="CC79" s="272"/>
      <c r="CD79" s="272"/>
      <c r="CE79" s="272"/>
      <c r="CF79" s="272"/>
      <c r="CG79" s="272"/>
      <c r="CH79" s="272"/>
      <c r="CI79" s="272"/>
      <c r="CJ79" s="272"/>
      <c r="CK79" s="272"/>
      <c r="CL79" s="272"/>
      <c r="CM79" s="272"/>
      <c r="CN79" s="272"/>
      <c r="CO79" s="272"/>
      <c r="CP79" s="272"/>
      <c r="CQ79" s="272"/>
      <c r="CR79" s="272"/>
      <c r="CS79" s="272"/>
      <c r="CT79" s="272"/>
      <c r="CU79" s="272"/>
      <c r="CV79" s="272"/>
      <c r="CW79" s="272"/>
      <c r="CX79" s="272"/>
      <c r="CY79" s="272"/>
      <c r="CZ79" s="272"/>
      <c r="DA79" s="272"/>
      <c r="DB79" s="272"/>
      <c r="DC79" s="272"/>
      <c r="DD79" s="272"/>
      <c r="DE79" s="272"/>
      <c r="DF79" s="272"/>
      <c r="DG79" s="272"/>
      <c r="DH79" s="272"/>
      <c r="DI79" s="272"/>
      <c r="DJ79" s="272"/>
      <c r="DK79" s="272"/>
      <c r="DL79" s="272"/>
    </row>
    <row r="80" spans="1:116" ht="15.75" customHeight="1" outlineLevel="1" x14ac:dyDescent="0.25">
      <c r="A80" s="762" t="s">
        <v>318</v>
      </c>
      <c r="B80" s="758" t="s">
        <v>319</v>
      </c>
      <c r="C80" s="321" t="s">
        <v>320</v>
      </c>
      <c r="D80" s="280" t="s">
        <v>239</v>
      </c>
      <c r="E80" s="367" t="s">
        <v>321</v>
      </c>
      <c r="F80" s="280" t="s">
        <v>322</v>
      </c>
      <c r="G80" s="400">
        <f>D5</f>
        <v>0.02</v>
      </c>
      <c r="H80" s="300">
        <f>1.9*10^9</f>
        <v>1900000000</v>
      </c>
      <c r="I80" s="301">
        <f t="shared" ref="I80:DE80" si="48">H80</f>
        <v>1900000000</v>
      </c>
      <c r="J80" s="301">
        <f t="shared" si="48"/>
        <v>1900000000</v>
      </c>
      <c r="K80" s="301">
        <f t="shared" si="48"/>
        <v>1900000000</v>
      </c>
      <c r="L80" s="301">
        <f t="shared" si="48"/>
        <v>1900000000</v>
      </c>
      <c r="M80" s="301">
        <f t="shared" si="48"/>
        <v>1900000000</v>
      </c>
      <c r="N80" s="301">
        <f t="shared" si="48"/>
        <v>1900000000</v>
      </c>
      <c r="O80" s="301">
        <f t="shared" si="48"/>
        <v>1900000000</v>
      </c>
      <c r="P80" s="301">
        <f t="shared" si="48"/>
        <v>1900000000</v>
      </c>
      <c r="Q80" s="301">
        <f t="shared" si="48"/>
        <v>1900000000</v>
      </c>
      <c r="R80" s="301">
        <f t="shared" si="48"/>
        <v>1900000000</v>
      </c>
      <c r="S80" s="301">
        <f t="shared" si="48"/>
        <v>1900000000</v>
      </c>
      <c r="T80" s="301">
        <f t="shared" si="48"/>
        <v>1900000000</v>
      </c>
      <c r="U80" s="301">
        <f t="shared" si="48"/>
        <v>1900000000</v>
      </c>
      <c r="V80" s="301">
        <f t="shared" si="48"/>
        <v>1900000000</v>
      </c>
      <c r="W80" s="301">
        <f t="shared" si="48"/>
        <v>1900000000</v>
      </c>
      <c r="X80" s="301">
        <f t="shared" si="48"/>
        <v>1900000000</v>
      </c>
      <c r="Y80" s="301">
        <f t="shared" si="48"/>
        <v>1900000000</v>
      </c>
      <c r="Z80" s="301">
        <f t="shared" si="48"/>
        <v>1900000000</v>
      </c>
      <c r="AA80" s="301">
        <f t="shared" si="48"/>
        <v>1900000000</v>
      </c>
      <c r="AB80" s="301">
        <f t="shared" si="48"/>
        <v>1900000000</v>
      </c>
      <c r="AC80" s="301">
        <f t="shared" si="48"/>
        <v>1900000000</v>
      </c>
      <c r="AD80" s="301">
        <f t="shared" si="48"/>
        <v>1900000000</v>
      </c>
      <c r="AE80" s="301">
        <f t="shared" si="48"/>
        <v>1900000000</v>
      </c>
      <c r="AF80" s="301">
        <f t="shared" si="48"/>
        <v>1900000000</v>
      </c>
      <c r="AG80" s="301">
        <f t="shared" si="48"/>
        <v>1900000000</v>
      </c>
      <c r="AH80" s="301">
        <f t="shared" si="48"/>
        <v>1900000000</v>
      </c>
      <c r="AI80" s="301">
        <f t="shared" si="48"/>
        <v>1900000000</v>
      </c>
      <c r="AJ80" s="301">
        <f t="shared" si="48"/>
        <v>1900000000</v>
      </c>
      <c r="AK80" s="301">
        <f t="shared" si="48"/>
        <v>1900000000</v>
      </c>
      <c r="AL80" s="301">
        <f t="shared" si="48"/>
        <v>1900000000</v>
      </c>
      <c r="AM80" s="301">
        <f t="shared" si="48"/>
        <v>1900000000</v>
      </c>
      <c r="AN80" s="301">
        <f t="shared" si="48"/>
        <v>1900000000</v>
      </c>
      <c r="AO80" s="301">
        <f t="shared" si="48"/>
        <v>1900000000</v>
      </c>
      <c r="AP80" s="301">
        <f t="shared" si="48"/>
        <v>1900000000</v>
      </c>
      <c r="AQ80" s="301">
        <f t="shared" si="48"/>
        <v>1900000000</v>
      </c>
      <c r="AR80" s="301">
        <f t="shared" si="48"/>
        <v>1900000000</v>
      </c>
      <c r="AS80" s="301">
        <f t="shared" si="48"/>
        <v>1900000000</v>
      </c>
      <c r="AT80" s="301">
        <f t="shared" si="48"/>
        <v>1900000000</v>
      </c>
      <c r="AU80" s="301">
        <f t="shared" si="48"/>
        <v>1900000000</v>
      </c>
      <c r="AV80" s="301">
        <f t="shared" si="48"/>
        <v>1900000000</v>
      </c>
      <c r="AW80" s="301">
        <f t="shared" si="48"/>
        <v>1900000000</v>
      </c>
      <c r="AX80" s="301">
        <f t="shared" si="48"/>
        <v>1900000000</v>
      </c>
      <c r="AY80" s="301">
        <f t="shared" si="48"/>
        <v>1900000000</v>
      </c>
      <c r="AZ80" s="301">
        <f t="shared" si="48"/>
        <v>1900000000</v>
      </c>
      <c r="BA80" s="301">
        <f t="shared" si="48"/>
        <v>1900000000</v>
      </c>
      <c r="BB80" s="301">
        <f t="shared" si="48"/>
        <v>1900000000</v>
      </c>
      <c r="BC80" s="301">
        <f t="shared" si="48"/>
        <v>1900000000</v>
      </c>
      <c r="BD80" s="301">
        <f t="shared" si="48"/>
        <v>1900000000</v>
      </c>
      <c r="BE80" s="301">
        <f t="shared" si="48"/>
        <v>1900000000</v>
      </c>
      <c r="BF80" s="301">
        <f t="shared" si="48"/>
        <v>1900000000</v>
      </c>
      <c r="BG80" s="301">
        <f t="shared" si="48"/>
        <v>1900000000</v>
      </c>
      <c r="BH80" s="301">
        <f t="shared" si="48"/>
        <v>1900000000</v>
      </c>
      <c r="BI80" s="301">
        <f t="shared" si="48"/>
        <v>1900000000</v>
      </c>
      <c r="BJ80" s="301">
        <f t="shared" si="48"/>
        <v>1900000000</v>
      </c>
      <c r="BK80" s="301">
        <f t="shared" si="48"/>
        <v>1900000000</v>
      </c>
      <c r="BL80" s="301">
        <f t="shared" si="48"/>
        <v>1900000000</v>
      </c>
      <c r="BM80" s="301">
        <f t="shared" si="48"/>
        <v>1900000000</v>
      </c>
      <c r="BN80" s="301">
        <f t="shared" si="48"/>
        <v>1900000000</v>
      </c>
      <c r="BO80" s="301">
        <f t="shared" si="48"/>
        <v>1900000000</v>
      </c>
      <c r="BP80" s="301">
        <f t="shared" si="48"/>
        <v>1900000000</v>
      </c>
      <c r="BQ80" s="301">
        <f t="shared" si="48"/>
        <v>1900000000</v>
      </c>
      <c r="BR80" s="301">
        <f t="shared" si="48"/>
        <v>1900000000</v>
      </c>
      <c r="BS80" s="301">
        <f t="shared" si="48"/>
        <v>1900000000</v>
      </c>
      <c r="BT80" s="301">
        <f t="shared" si="48"/>
        <v>1900000000</v>
      </c>
      <c r="BU80" s="301">
        <f t="shared" si="48"/>
        <v>1900000000</v>
      </c>
      <c r="BV80" s="301">
        <f t="shared" si="48"/>
        <v>1900000000</v>
      </c>
      <c r="BW80" s="301">
        <f t="shared" si="48"/>
        <v>1900000000</v>
      </c>
      <c r="BX80" s="301">
        <f t="shared" si="48"/>
        <v>1900000000</v>
      </c>
      <c r="BY80" s="301">
        <f t="shared" si="48"/>
        <v>1900000000</v>
      </c>
      <c r="BZ80" s="301">
        <f t="shared" si="48"/>
        <v>1900000000</v>
      </c>
      <c r="CA80" s="301">
        <f t="shared" si="48"/>
        <v>1900000000</v>
      </c>
      <c r="CB80" s="301">
        <f t="shared" si="48"/>
        <v>1900000000</v>
      </c>
      <c r="CC80" s="301">
        <f t="shared" si="48"/>
        <v>1900000000</v>
      </c>
      <c r="CD80" s="301">
        <f t="shared" si="48"/>
        <v>1900000000</v>
      </c>
      <c r="CE80" s="301">
        <f t="shared" si="48"/>
        <v>1900000000</v>
      </c>
      <c r="CF80" s="301">
        <f t="shared" si="48"/>
        <v>1900000000</v>
      </c>
      <c r="CG80" s="301">
        <f t="shared" si="48"/>
        <v>1900000000</v>
      </c>
      <c r="CH80" s="301">
        <f t="shared" si="48"/>
        <v>1900000000</v>
      </c>
      <c r="CI80" s="301">
        <f t="shared" si="48"/>
        <v>1900000000</v>
      </c>
      <c r="CJ80" s="301">
        <f t="shared" si="48"/>
        <v>1900000000</v>
      </c>
      <c r="CK80" s="301">
        <f t="shared" si="48"/>
        <v>1900000000</v>
      </c>
      <c r="CL80" s="301">
        <f t="shared" si="48"/>
        <v>1900000000</v>
      </c>
      <c r="CM80" s="301">
        <f t="shared" si="48"/>
        <v>1900000000</v>
      </c>
      <c r="CN80" s="301">
        <f t="shared" si="48"/>
        <v>1900000000</v>
      </c>
      <c r="CO80" s="301">
        <f t="shared" si="48"/>
        <v>1900000000</v>
      </c>
      <c r="CP80" s="301">
        <f t="shared" si="48"/>
        <v>1900000000</v>
      </c>
      <c r="CQ80" s="301">
        <f t="shared" si="48"/>
        <v>1900000000</v>
      </c>
      <c r="CR80" s="301">
        <f t="shared" si="48"/>
        <v>1900000000</v>
      </c>
      <c r="CS80" s="301">
        <f t="shared" si="48"/>
        <v>1900000000</v>
      </c>
      <c r="CT80" s="301">
        <f t="shared" si="48"/>
        <v>1900000000</v>
      </c>
      <c r="CU80" s="301">
        <f t="shared" si="48"/>
        <v>1900000000</v>
      </c>
      <c r="CV80" s="301">
        <f t="shared" si="48"/>
        <v>1900000000</v>
      </c>
      <c r="CW80" s="301">
        <f t="shared" si="48"/>
        <v>1900000000</v>
      </c>
      <c r="CX80" s="301">
        <f t="shared" si="48"/>
        <v>1900000000</v>
      </c>
      <c r="CY80" s="301">
        <f t="shared" si="48"/>
        <v>1900000000</v>
      </c>
      <c r="CZ80" s="301">
        <f t="shared" si="48"/>
        <v>1900000000</v>
      </c>
      <c r="DA80" s="301">
        <f t="shared" si="48"/>
        <v>1900000000</v>
      </c>
      <c r="DB80" s="301">
        <f t="shared" si="48"/>
        <v>1900000000</v>
      </c>
      <c r="DC80" s="301">
        <f t="shared" si="48"/>
        <v>1900000000</v>
      </c>
      <c r="DD80" s="301">
        <f t="shared" si="48"/>
        <v>1900000000</v>
      </c>
      <c r="DE80" s="301">
        <f t="shared" si="48"/>
        <v>1900000000</v>
      </c>
      <c r="DF80" s="282"/>
      <c r="DG80" s="282"/>
      <c r="DH80" s="282"/>
      <c r="DI80" s="282"/>
      <c r="DJ80" s="282"/>
      <c r="DK80" s="282"/>
      <c r="DL80" s="282"/>
    </row>
    <row r="81" spans="1:116" ht="15.75" customHeight="1" outlineLevel="1" x14ac:dyDescent="0.25">
      <c r="A81" s="751"/>
      <c r="B81" s="751"/>
      <c r="C81" s="321" t="s">
        <v>323</v>
      </c>
      <c r="D81" s="280" t="s">
        <v>221</v>
      </c>
      <c r="E81" s="299" t="s">
        <v>324</v>
      </c>
      <c r="F81" s="280"/>
      <c r="G81" s="280"/>
      <c r="H81" s="281">
        <v>6300</v>
      </c>
      <c r="I81" s="284">
        <v>6300</v>
      </c>
      <c r="J81" s="284">
        <v>6300</v>
      </c>
      <c r="K81" s="284">
        <v>6300</v>
      </c>
      <c r="L81" s="284">
        <v>6300</v>
      </c>
      <c r="M81" s="284">
        <v>6300</v>
      </c>
      <c r="N81" s="284">
        <v>6300</v>
      </c>
      <c r="O81" s="284">
        <v>6300</v>
      </c>
      <c r="P81" s="284">
        <v>6300</v>
      </c>
      <c r="Q81" s="284">
        <v>6300</v>
      </c>
      <c r="R81" s="284">
        <v>6300</v>
      </c>
      <c r="S81" s="284">
        <v>6300</v>
      </c>
      <c r="T81" s="284">
        <v>6300</v>
      </c>
      <c r="U81" s="284">
        <v>6300</v>
      </c>
      <c r="V81" s="284">
        <v>6300</v>
      </c>
      <c r="W81" s="284">
        <v>6300</v>
      </c>
      <c r="X81" s="284">
        <v>6300</v>
      </c>
      <c r="Y81" s="284">
        <v>6300</v>
      </c>
      <c r="Z81" s="284">
        <v>6300</v>
      </c>
      <c r="AA81" s="284">
        <v>6300</v>
      </c>
      <c r="AB81" s="284">
        <v>6300</v>
      </c>
      <c r="AC81" s="284">
        <v>6300</v>
      </c>
      <c r="AD81" s="284">
        <v>6300</v>
      </c>
      <c r="AE81" s="284">
        <v>6300</v>
      </c>
      <c r="AF81" s="284">
        <v>6300</v>
      </c>
      <c r="AG81" s="284">
        <v>6300</v>
      </c>
      <c r="AH81" s="284">
        <v>6300</v>
      </c>
      <c r="AI81" s="284">
        <v>6300</v>
      </c>
      <c r="AJ81" s="284">
        <v>6300</v>
      </c>
      <c r="AK81" s="284">
        <v>6300</v>
      </c>
      <c r="AL81" s="284">
        <v>6300</v>
      </c>
      <c r="AM81" s="284">
        <v>6300</v>
      </c>
      <c r="AN81" s="284">
        <v>6300</v>
      </c>
      <c r="AO81" s="284">
        <v>6300</v>
      </c>
      <c r="AP81" s="284">
        <v>6300</v>
      </c>
      <c r="AQ81" s="284">
        <v>6300</v>
      </c>
      <c r="AR81" s="284">
        <v>6300</v>
      </c>
      <c r="AS81" s="284">
        <v>6300</v>
      </c>
      <c r="AT81" s="284">
        <v>6300</v>
      </c>
      <c r="AU81" s="284">
        <v>6300</v>
      </c>
      <c r="AV81" s="284">
        <v>6300</v>
      </c>
      <c r="AW81" s="284">
        <v>6300</v>
      </c>
      <c r="AX81" s="284">
        <v>6300</v>
      </c>
      <c r="AY81" s="284">
        <v>6300</v>
      </c>
      <c r="AZ81" s="284">
        <v>6300</v>
      </c>
      <c r="BA81" s="284">
        <v>6300</v>
      </c>
      <c r="BB81" s="284">
        <v>6300</v>
      </c>
      <c r="BC81" s="284">
        <v>6300</v>
      </c>
      <c r="BD81" s="284">
        <v>6300</v>
      </c>
      <c r="BE81" s="284">
        <v>6300</v>
      </c>
      <c r="BF81" s="284">
        <v>6300</v>
      </c>
      <c r="BG81" s="284">
        <v>6300</v>
      </c>
      <c r="BH81" s="284">
        <v>6300</v>
      </c>
      <c r="BI81" s="284">
        <v>6300</v>
      </c>
      <c r="BJ81" s="284">
        <v>6300</v>
      </c>
      <c r="BK81" s="284">
        <v>6300</v>
      </c>
      <c r="BL81" s="284">
        <v>6300</v>
      </c>
      <c r="BM81" s="284">
        <v>6300</v>
      </c>
      <c r="BN81" s="284">
        <v>6300</v>
      </c>
      <c r="BO81" s="284">
        <v>6300</v>
      </c>
      <c r="BP81" s="284">
        <v>6300</v>
      </c>
      <c r="BQ81" s="284">
        <v>6300</v>
      </c>
      <c r="BR81" s="284">
        <v>6300</v>
      </c>
      <c r="BS81" s="284">
        <v>6300</v>
      </c>
      <c r="BT81" s="284">
        <v>6300</v>
      </c>
      <c r="BU81" s="284">
        <v>6300</v>
      </c>
      <c r="BV81" s="284">
        <v>6300</v>
      </c>
      <c r="BW81" s="284">
        <v>6300</v>
      </c>
      <c r="BX81" s="284">
        <v>6300</v>
      </c>
      <c r="BY81" s="284">
        <v>6300</v>
      </c>
      <c r="BZ81" s="284">
        <v>6300</v>
      </c>
      <c r="CA81" s="284">
        <v>6300</v>
      </c>
      <c r="CB81" s="284">
        <v>6300</v>
      </c>
      <c r="CC81" s="284">
        <v>6300</v>
      </c>
      <c r="CD81" s="284">
        <v>6300</v>
      </c>
      <c r="CE81" s="284">
        <v>6300</v>
      </c>
      <c r="CF81" s="284">
        <v>6300</v>
      </c>
      <c r="CG81" s="284">
        <v>6300</v>
      </c>
      <c r="CH81" s="284">
        <v>6300</v>
      </c>
      <c r="CI81" s="284">
        <v>6300</v>
      </c>
      <c r="CJ81" s="284">
        <v>6300</v>
      </c>
      <c r="CK81" s="284">
        <v>6300</v>
      </c>
      <c r="CL81" s="284">
        <v>6300</v>
      </c>
      <c r="CM81" s="284">
        <v>6300</v>
      </c>
      <c r="CN81" s="284">
        <v>6300</v>
      </c>
      <c r="CO81" s="284">
        <v>6300</v>
      </c>
      <c r="CP81" s="284">
        <v>6300</v>
      </c>
      <c r="CQ81" s="284">
        <v>6300</v>
      </c>
      <c r="CR81" s="284">
        <v>6300</v>
      </c>
      <c r="CS81" s="284">
        <v>6300</v>
      </c>
      <c r="CT81" s="284">
        <v>6300</v>
      </c>
      <c r="CU81" s="284">
        <v>6300</v>
      </c>
      <c r="CV81" s="284">
        <v>6300</v>
      </c>
      <c r="CW81" s="284">
        <v>6300</v>
      </c>
      <c r="CX81" s="284">
        <v>6300</v>
      </c>
      <c r="CY81" s="284">
        <v>6300</v>
      </c>
      <c r="CZ81" s="284">
        <v>6300</v>
      </c>
      <c r="DA81" s="284">
        <v>6300</v>
      </c>
      <c r="DB81" s="284">
        <v>6300</v>
      </c>
      <c r="DC81" s="284">
        <v>6300</v>
      </c>
      <c r="DD81" s="284">
        <v>6300</v>
      </c>
      <c r="DE81" s="284">
        <v>6300</v>
      </c>
      <c r="DF81" s="284"/>
      <c r="DG81" s="284"/>
      <c r="DH81" s="284"/>
      <c r="DI81" s="284"/>
      <c r="DJ81" s="284"/>
      <c r="DK81" s="284"/>
      <c r="DL81" s="284"/>
    </row>
    <row r="82" spans="1:116" ht="15.75" customHeight="1" outlineLevel="1" x14ac:dyDescent="0.25">
      <c r="A82" s="751"/>
      <c r="B82" s="751"/>
      <c r="C82" s="347" t="s">
        <v>325</v>
      </c>
      <c r="D82" s="293" t="s">
        <v>326</v>
      </c>
      <c r="E82" s="293" t="e">
        <f ca="1">_xludf.FORMULATEXT(H82)</f>
        <v>#NAME?</v>
      </c>
      <c r="F82" s="349"/>
      <c r="G82" s="349"/>
      <c r="H82" s="425">
        <f t="shared" ref="H82:DE82" si="49">H80/H81</f>
        <v>301587.3015873016</v>
      </c>
      <c r="I82" s="426">
        <f t="shared" si="49"/>
        <v>301587.3015873016</v>
      </c>
      <c r="J82" s="426">
        <f t="shared" si="49"/>
        <v>301587.3015873016</v>
      </c>
      <c r="K82" s="426">
        <f t="shared" si="49"/>
        <v>301587.3015873016</v>
      </c>
      <c r="L82" s="426">
        <f t="shared" si="49"/>
        <v>301587.3015873016</v>
      </c>
      <c r="M82" s="426">
        <f t="shared" si="49"/>
        <v>301587.3015873016</v>
      </c>
      <c r="N82" s="426">
        <f t="shared" si="49"/>
        <v>301587.3015873016</v>
      </c>
      <c r="O82" s="426">
        <f t="shared" si="49"/>
        <v>301587.3015873016</v>
      </c>
      <c r="P82" s="426">
        <f t="shared" si="49"/>
        <v>301587.3015873016</v>
      </c>
      <c r="Q82" s="426">
        <f t="shared" si="49"/>
        <v>301587.3015873016</v>
      </c>
      <c r="R82" s="426">
        <f t="shared" si="49"/>
        <v>301587.3015873016</v>
      </c>
      <c r="S82" s="426">
        <f t="shared" si="49"/>
        <v>301587.3015873016</v>
      </c>
      <c r="T82" s="426">
        <f t="shared" si="49"/>
        <v>301587.3015873016</v>
      </c>
      <c r="U82" s="426">
        <f t="shared" si="49"/>
        <v>301587.3015873016</v>
      </c>
      <c r="V82" s="426">
        <f t="shared" si="49"/>
        <v>301587.3015873016</v>
      </c>
      <c r="W82" s="426">
        <f t="shared" si="49"/>
        <v>301587.3015873016</v>
      </c>
      <c r="X82" s="426">
        <f t="shared" si="49"/>
        <v>301587.3015873016</v>
      </c>
      <c r="Y82" s="426">
        <f t="shared" si="49"/>
        <v>301587.3015873016</v>
      </c>
      <c r="Z82" s="426">
        <f t="shared" si="49"/>
        <v>301587.3015873016</v>
      </c>
      <c r="AA82" s="426">
        <f t="shared" si="49"/>
        <v>301587.3015873016</v>
      </c>
      <c r="AB82" s="426">
        <f t="shared" si="49"/>
        <v>301587.3015873016</v>
      </c>
      <c r="AC82" s="426">
        <f t="shared" si="49"/>
        <v>301587.3015873016</v>
      </c>
      <c r="AD82" s="426">
        <f t="shared" si="49"/>
        <v>301587.3015873016</v>
      </c>
      <c r="AE82" s="426">
        <f t="shared" si="49"/>
        <v>301587.3015873016</v>
      </c>
      <c r="AF82" s="426">
        <f t="shared" si="49"/>
        <v>301587.3015873016</v>
      </c>
      <c r="AG82" s="426">
        <f t="shared" si="49"/>
        <v>301587.3015873016</v>
      </c>
      <c r="AH82" s="426">
        <f t="shared" si="49"/>
        <v>301587.3015873016</v>
      </c>
      <c r="AI82" s="426">
        <f t="shared" si="49"/>
        <v>301587.3015873016</v>
      </c>
      <c r="AJ82" s="426">
        <f t="shared" si="49"/>
        <v>301587.3015873016</v>
      </c>
      <c r="AK82" s="426">
        <f t="shared" si="49"/>
        <v>301587.3015873016</v>
      </c>
      <c r="AL82" s="426">
        <f t="shared" si="49"/>
        <v>301587.3015873016</v>
      </c>
      <c r="AM82" s="426">
        <f t="shared" si="49"/>
        <v>301587.3015873016</v>
      </c>
      <c r="AN82" s="426">
        <f t="shared" si="49"/>
        <v>301587.3015873016</v>
      </c>
      <c r="AO82" s="426">
        <f t="shared" si="49"/>
        <v>301587.3015873016</v>
      </c>
      <c r="AP82" s="426">
        <f t="shared" si="49"/>
        <v>301587.3015873016</v>
      </c>
      <c r="AQ82" s="426">
        <f t="shared" si="49"/>
        <v>301587.3015873016</v>
      </c>
      <c r="AR82" s="426">
        <f t="shared" si="49"/>
        <v>301587.3015873016</v>
      </c>
      <c r="AS82" s="426">
        <f t="shared" si="49"/>
        <v>301587.3015873016</v>
      </c>
      <c r="AT82" s="426">
        <f t="shared" si="49"/>
        <v>301587.3015873016</v>
      </c>
      <c r="AU82" s="426">
        <f t="shared" si="49"/>
        <v>301587.3015873016</v>
      </c>
      <c r="AV82" s="426">
        <f t="shared" si="49"/>
        <v>301587.3015873016</v>
      </c>
      <c r="AW82" s="426">
        <f t="shared" si="49"/>
        <v>301587.3015873016</v>
      </c>
      <c r="AX82" s="426">
        <f t="shared" si="49"/>
        <v>301587.3015873016</v>
      </c>
      <c r="AY82" s="426">
        <f t="shared" si="49"/>
        <v>301587.3015873016</v>
      </c>
      <c r="AZ82" s="426">
        <f t="shared" si="49"/>
        <v>301587.3015873016</v>
      </c>
      <c r="BA82" s="426">
        <f t="shared" si="49"/>
        <v>301587.3015873016</v>
      </c>
      <c r="BB82" s="426">
        <f t="shared" si="49"/>
        <v>301587.3015873016</v>
      </c>
      <c r="BC82" s="426">
        <f t="shared" si="49"/>
        <v>301587.3015873016</v>
      </c>
      <c r="BD82" s="426">
        <f t="shared" si="49"/>
        <v>301587.3015873016</v>
      </c>
      <c r="BE82" s="426">
        <f t="shared" si="49"/>
        <v>301587.3015873016</v>
      </c>
      <c r="BF82" s="426">
        <f t="shared" si="49"/>
        <v>301587.3015873016</v>
      </c>
      <c r="BG82" s="426">
        <f t="shared" si="49"/>
        <v>301587.3015873016</v>
      </c>
      <c r="BH82" s="426">
        <f t="shared" si="49"/>
        <v>301587.3015873016</v>
      </c>
      <c r="BI82" s="426">
        <f t="shared" si="49"/>
        <v>301587.3015873016</v>
      </c>
      <c r="BJ82" s="426">
        <f t="shared" si="49"/>
        <v>301587.3015873016</v>
      </c>
      <c r="BK82" s="426">
        <f t="shared" si="49"/>
        <v>301587.3015873016</v>
      </c>
      <c r="BL82" s="426">
        <f t="shared" si="49"/>
        <v>301587.3015873016</v>
      </c>
      <c r="BM82" s="426">
        <f t="shared" si="49"/>
        <v>301587.3015873016</v>
      </c>
      <c r="BN82" s="426">
        <f t="shared" si="49"/>
        <v>301587.3015873016</v>
      </c>
      <c r="BO82" s="426">
        <f t="shared" si="49"/>
        <v>301587.3015873016</v>
      </c>
      <c r="BP82" s="426">
        <f t="shared" si="49"/>
        <v>301587.3015873016</v>
      </c>
      <c r="BQ82" s="426">
        <f t="shared" si="49"/>
        <v>301587.3015873016</v>
      </c>
      <c r="BR82" s="426">
        <f t="shared" si="49"/>
        <v>301587.3015873016</v>
      </c>
      <c r="BS82" s="426">
        <f t="shared" si="49"/>
        <v>301587.3015873016</v>
      </c>
      <c r="BT82" s="426">
        <f t="shared" si="49"/>
        <v>301587.3015873016</v>
      </c>
      <c r="BU82" s="426">
        <f t="shared" si="49"/>
        <v>301587.3015873016</v>
      </c>
      <c r="BV82" s="426">
        <f t="shared" si="49"/>
        <v>301587.3015873016</v>
      </c>
      <c r="BW82" s="426">
        <f t="shared" si="49"/>
        <v>301587.3015873016</v>
      </c>
      <c r="BX82" s="426">
        <f t="shared" si="49"/>
        <v>301587.3015873016</v>
      </c>
      <c r="BY82" s="426">
        <f t="shared" si="49"/>
        <v>301587.3015873016</v>
      </c>
      <c r="BZ82" s="426">
        <f t="shared" si="49"/>
        <v>301587.3015873016</v>
      </c>
      <c r="CA82" s="426">
        <f t="shared" si="49"/>
        <v>301587.3015873016</v>
      </c>
      <c r="CB82" s="426">
        <f t="shared" si="49"/>
        <v>301587.3015873016</v>
      </c>
      <c r="CC82" s="426">
        <f t="shared" si="49"/>
        <v>301587.3015873016</v>
      </c>
      <c r="CD82" s="426">
        <f t="shared" si="49"/>
        <v>301587.3015873016</v>
      </c>
      <c r="CE82" s="426">
        <f t="shared" si="49"/>
        <v>301587.3015873016</v>
      </c>
      <c r="CF82" s="426">
        <f t="shared" si="49"/>
        <v>301587.3015873016</v>
      </c>
      <c r="CG82" s="426">
        <f t="shared" si="49"/>
        <v>301587.3015873016</v>
      </c>
      <c r="CH82" s="426">
        <f t="shared" si="49"/>
        <v>301587.3015873016</v>
      </c>
      <c r="CI82" s="426">
        <f t="shared" si="49"/>
        <v>301587.3015873016</v>
      </c>
      <c r="CJ82" s="426">
        <f t="shared" si="49"/>
        <v>301587.3015873016</v>
      </c>
      <c r="CK82" s="426">
        <f t="shared" si="49"/>
        <v>301587.3015873016</v>
      </c>
      <c r="CL82" s="426">
        <f t="shared" si="49"/>
        <v>301587.3015873016</v>
      </c>
      <c r="CM82" s="426">
        <f t="shared" si="49"/>
        <v>301587.3015873016</v>
      </c>
      <c r="CN82" s="426">
        <f t="shared" si="49"/>
        <v>301587.3015873016</v>
      </c>
      <c r="CO82" s="426">
        <f t="shared" si="49"/>
        <v>301587.3015873016</v>
      </c>
      <c r="CP82" s="426">
        <f t="shared" si="49"/>
        <v>301587.3015873016</v>
      </c>
      <c r="CQ82" s="426">
        <f t="shared" si="49"/>
        <v>301587.3015873016</v>
      </c>
      <c r="CR82" s="426">
        <f t="shared" si="49"/>
        <v>301587.3015873016</v>
      </c>
      <c r="CS82" s="426">
        <f t="shared" si="49"/>
        <v>301587.3015873016</v>
      </c>
      <c r="CT82" s="426">
        <f t="shared" si="49"/>
        <v>301587.3015873016</v>
      </c>
      <c r="CU82" s="426">
        <f t="shared" si="49"/>
        <v>301587.3015873016</v>
      </c>
      <c r="CV82" s="426">
        <f t="shared" si="49"/>
        <v>301587.3015873016</v>
      </c>
      <c r="CW82" s="426">
        <f t="shared" si="49"/>
        <v>301587.3015873016</v>
      </c>
      <c r="CX82" s="426">
        <f t="shared" si="49"/>
        <v>301587.3015873016</v>
      </c>
      <c r="CY82" s="426">
        <f t="shared" si="49"/>
        <v>301587.3015873016</v>
      </c>
      <c r="CZ82" s="426">
        <f t="shared" si="49"/>
        <v>301587.3015873016</v>
      </c>
      <c r="DA82" s="426">
        <f t="shared" si="49"/>
        <v>301587.3015873016</v>
      </c>
      <c r="DB82" s="426">
        <f t="shared" si="49"/>
        <v>301587.3015873016</v>
      </c>
      <c r="DC82" s="426">
        <f t="shared" si="49"/>
        <v>301587.3015873016</v>
      </c>
      <c r="DD82" s="426">
        <f t="shared" si="49"/>
        <v>301587.3015873016</v>
      </c>
      <c r="DE82" s="426">
        <f t="shared" si="49"/>
        <v>301587.3015873016</v>
      </c>
      <c r="DF82" s="427"/>
      <c r="DG82" s="427"/>
      <c r="DH82" s="427"/>
      <c r="DI82" s="427"/>
      <c r="DJ82" s="427"/>
      <c r="DK82" s="427"/>
      <c r="DL82" s="427"/>
    </row>
    <row r="83" spans="1:116" ht="15.75" customHeight="1" outlineLevel="1" x14ac:dyDescent="0.25">
      <c r="A83" s="751"/>
      <c r="B83" s="751"/>
      <c r="C83" s="321" t="s">
        <v>327</v>
      </c>
      <c r="D83" s="280" t="s">
        <v>221</v>
      </c>
      <c r="E83" s="280" t="s">
        <v>328</v>
      </c>
      <c r="F83" s="280"/>
      <c r="G83" s="280"/>
      <c r="H83" s="297">
        <f>'Unit Costs and Indicators'!$D$18</f>
        <v>0.28409090909090912</v>
      </c>
      <c r="I83" s="298">
        <f>'Unit Costs and Indicators'!$D$18</f>
        <v>0.28409090909090912</v>
      </c>
      <c r="J83" s="298">
        <f>'Unit Costs and Indicators'!$D$18</f>
        <v>0.28409090909090912</v>
      </c>
      <c r="K83" s="298">
        <f>'Unit Costs and Indicators'!$D$18</f>
        <v>0.28409090909090912</v>
      </c>
      <c r="L83" s="298">
        <f>'Unit Costs and Indicators'!$D$18</f>
        <v>0.28409090909090912</v>
      </c>
      <c r="M83" s="298">
        <f>'Unit Costs and Indicators'!$D$18</f>
        <v>0.28409090909090912</v>
      </c>
      <c r="N83" s="298">
        <f>'Unit Costs and Indicators'!$D$18</f>
        <v>0.28409090909090912</v>
      </c>
      <c r="O83" s="298">
        <f>'Unit Costs and Indicators'!$D$18</f>
        <v>0.28409090909090912</v>
      </c>
      <c r="P83" s="298">
        <f>'Unit Costs and Indicators'!$D$18</f>
        <v>0.28409090909090912</v>
      </c>
      <c r="Q83" s="298">
        <f>'Unit Costs and Indicators'!$D$18</f>
        <v>0.28409090909090912</v>
      </c>
      <c r="R83" s="298">
        <f>'Unit Costs and Indicators'!$D$18</f>
        <v>0.28409090909090912</v>
      </c>
      <c r="S83" s="298">
        <f>'Unit Costs and Indicators'!$D$18</f>
        <v>0.28409090909090912</v>
      </c>
      <c r="T83" s="298">
        <f>'Unit Costs and Indicators'!$D$18</f>
        <v>0.28409090909090912</v>
      </c>
      <c r="U83" s="298">
        <f>'Unit Costs and Indicators'!$D$18</f>
        <v>0.28409090909090912</v>
      </c>
      <c r="V83" s="298">
        <f>'Unit Costs and Indicators'!$D$18</f>
        <v>0.28409090909090912</v>
      </c>
      <c r="W83" s="298">
        <f>'Unit Costs and Indicators'!$D$18</f>
        <v>0.28409090909090912</v>
      </c>
      <c r="X83" s="298">
        <f>'Unit Costs and Indicators'!$D$18</f>
        <v>0.28409090909090912</v>
      </c>
      <c r="Y83" s="298">
        <f>'Unit Costs and Indicators'!$D$18</f>
        <v>0.28409090909090912</v>
      </c>
      <c r="Z83" s="298">
        <f>'Unit Costs and Indicators'!$D$18</f>
        <v>0.28409090909090912</v>
      </c>
      <c r="AA83" s="298">
        <f>'Unit Costs and Indicators'!$D$18</f>
        <v>0.28409090909090912</v>
      </c>
      <c r="AB83" s="298">
        <f>'Unit Costs and Indicators'!$D$18</f>
        <v>0.28409090909090912</v>
      </c>
      <c r="AC83" s="298">
        <f>'Unit Costs and Indicators'!$D$18</f>
        <v>0.28409090909090912</v>
      </c>
      <c r="AD83" s="298">
        <f>'Unit Costs and Indicators'!$D$18</f>
        <v>0.28409090909090912</v>
      </c>
      <c r="AE83" s="298">
        <f>'Unit Costs and Indicators'!$D$18</f>
        <v>0.28409090909090912</v>
      </c>
      <c r="AF83" s="298">
        <f>'Unit Costs and Indicators'!$D$18</f>
        <v>0.28409090909090912</v>
      </c>
      <c r="AG83" s="298">
        <f>'Unit Costs and Indicators'!$D$18</f>
        <v>0.28409090909090912</v>
      </c>
      <c r="AH83" s="298">
        <f>'Unit Costs and Indicators'!$D$18</f>
        <v>0.28409090909090912</v>
      </c>
      <c r="AI83" s="298">
        <f>'Unit Costs and Indicators'!$D$18</f>
        <v>0.28409090909090912</v>
      </c>
      <c r="AJ83" s="298">
        <f>'Unit Costs and Indicators'!$D$18</f>
        <v>0.28409090909090912</v>
      </c>
      <c r="AK83" s="298">
        <f>'Unit Costs and Indicators'!$D$18</f>
        <v>0.28409090909090912</v>
      </c>
      <c r="AL83" s="298">
        <f>'Unit Costs and Indicators'!$D$18</f>
        <v>0.28409090909090912</v>
      </c>
      <c r="AM83" s="298">
        <f>'Unit Costs and Indicators'!$D$18</f>
        <v>0.28409090909090912</v>
      </c>
      <c r="AN83" s="298">
        <f>'Unit Costs and Indicators'!$D$18</f>
        <v>0.28409090909090912</v>
      </c>
      <c r="AO83" s="298">
        <f>'Unit Costs and Indicators'!$D$18</f>
        <v>0.28409090909090912</v>
      </c>
      <c r="AP83" s="298">
        <f>'Unit Costs and Indicators'!$D$18</f>
        <v>0.28409090909090912</v>
      </c>
      <c r="AQ83" s="298">
        <f>'Unit Costs and Indicators'!$D$18</f>
        <v>0.28409090909090912</v>
      </c>
      <c r="AR83" s="298">
        <f>'Unit Costs and Indicators'!$D$18</f>
        <v>0.28409090909090912</v>
      </c>
      <c r="AS83" s="298">
        <f>'Unit Costs and Indicators'!$D$18</f>
        <v>0.28409090909090912</v>
      </c>
      <c r="AT83" s="298">
        <f>'Unit Costs and Indicators'!$D$18</f>
        <v>0.28409090909090912</v>
      </c>
      <c r="AU83" s="298">
        <f>'Unit Costs and Indicators'!$D$18</f>
        <v>0.28409090909090912</v>
      </c>
      <c r="AV83" s="298">
        <f>'Unit Costs and Indicators'!$D$18</f>
        <v>0.28409090909090912</v>
      </c>
      <c r="AW83" s="298">
        <f>'Unit Costs and Indicators'!$D$18</f>
        <v>0.28409090909090912</v>
      </c>
      <c r="AX83" s="298">
        <f>'Unit Costs and Indicators'!$D$18</f>
        <v>0.28409090909090912</v>
      </c>
      <c r="AY83" s="298">
        <f>'Unit Costs and Indicators'!$D$18</f>
        <v>0.28409090909090912</v>
      </c>
      <c r="AZ83" s="298">
        <f>'Unit Costs and Indicators'!$D$18</f>
        <v>0.28409090909090912</v>
      </c>
      <c r="BA83" s="298">
        <f>'Unit Costs and Indicators'!$D$18</f>
        <v>0.28409090909090912</v>
      </c>
      <c r="BB83" s="298">
        <f>'Unit Costs and Indicators'!$D$18</f>
        <v>0.28409090909090912</v>
      </c>
      <c r="BC83" s="298">
        <f>'Unit Costs and Indicators'!$D$18</f>
        <v>0.28409090909090912</v>
      </c>
      <c r="BD83" s="298">
        <f>'Unit Costs and Indicators'!$D$18</f>
        <v>0.28409090909090912</v>
      </c>
      <c r="BE83" s="298">
        <f>'Unit Costs and Indicators'!$D$18</f>
        <v>0.28409090909090912</v>
      </c>
      <c r="BF83" s="298">
        <f>'Unit Costs and Indicators'!$D$18</f>
        <v>0.28409090909090912</v>
      </c>
      <c r="BG83" s="298">
        <f>'Unit Costs and Indicators'!$D$18</f>
        <v>0.28409090909090912</v>
      </c>
      <c r="BH83" s="298">
        <f>'Unit Costs and Indicators'!$D$18</f>
        <v>0.28409090909090912</v>
      </c>
      <c r="BI83" s="298">
        <f>'Unit Costs and Indicators'!$D$18</f>
        <v>0.28409090909090912</v>
      </c>
      <c r="BJ83" s="298">
        <f>'Unit Costs and Indicators'!$D$18</f>
        <v>0.28409090909090912</v>
      </c>
      <c r="BK83" s="298">
        <f>'Unit Costs and Indicators'!$D$18</f>
        <v>0.28409090909090912</v>
      </c>
      <c r="BL83" s="298">
        <f>'Unit Costs and Indicators'!$D$18</f>
        <v>0.28409090909090912</v>
      </c>
      <c r="BM83" s="298">
        <f>'Unit Costs and Indicators'!$D$18</f>
        <v>0.28409090909090912</v>
      </c>
      <c r="BN83" s="298">
        <f>'Unit Costs and Indicators'!$D$18</f>
        <v>0.28409090909090912</v>
      </c>
      <c r="BO83" s="298">
        <f>'Unit Costs and Indicators'!$D$18</f>
        <v>0.28409090909090912</v>
      </c>
      <c r="BP83" s="298">
        <f>'Unit Costs and Indicators'!$D$18</f>
        <v>0.28409090909090912</v>
      </c>
      <c r="BQ83" s="298">
        <f>'Unit Costs and Indicators'!$D$18</f>
        <v>0.28409090909090912</v>
      </c>
      <c r="BR83" s="298">
        <f>'Unit Costs and Indicators'!$D$18</f>
        <v>0.28409090909090912</v>
      </c>
      <c r="BS83" s="298">
        <f>'Unit Costs and Indicators'!$D$18</f>
        <v>0.28409090909090912</v>
      </c>
      <c r="BT83" s="298">
        <f>'Unit Costs and Indicators'!$D$18</f>
        <v>0.28409090909090912</v>
      </c>
      <c r="BU83" s="298">
        <f>'Unit Costs and Indicators'!$D$18</f>
        <v>0.28409090909090912</v>
      </c>
      <c r="BV83" s="298">
        <f>'Unit Costs and Indicators'!$D$18</f>
        <v>0.28409090909090912</v>
      </c>
      <c r="BW83" s="298">
        <f>'Unit Costs and Indicators'!$D$18</f>
        <v>0.28409090909090912</v>
      </c>
      <c r="BX83" s="298">
        <f>'Unit Costs and Indicators'!$D$18</f>
        <v>0.28409090909090912</v>
      </c>
      <c r="BY83" s="298">
        <f>'Unit Costs and Indicators'!$D$18</f>
        <v>0.28409090909090912</v>
      </c>
      <c r="BZ83" s="298">
        <f>'Unit Costs and Indicators'!$D$18</f>
        <v>0.28409090909090912</v>
      </c>
      <c r="CA83" s="298">
        <f>'Unit Costs and Indicators'!$D$18</f>
        <v>0.28409090909090912</v>
      </c>
      <c r="CB83" s="298">
        <f>'Unit Costs and Indicators'!$D$18</f>
        <v>0.28409090909090912</v>
      </c>
      <c r="CC83" s="298">
        <f>'Unit Costs and Indicators'!$D$18</f>
        <v>0.28409090909090912</v>
      </c>
      <c r="CD83" s="298">
        <f>'Unit Costs and Indicators'!$D$18</f>
        <v>0.28409090909090912</v>
      </c>
      <c r="CE83" s="298">
        <f>'Unit Costs and Indicators'!$D$18</f>
        <v>0.28409090909090912</v>
      </c>
      <c r="CF83" s="298">
        <f>'Unit Costs and Indicators'!$D$18</f>
        <v>0.28409090909090912</v>
      </c>
      <c r="CG83" s="298">
        <f>'Unit Costs and Indicators'!$D$18</f>
        <v>0.28409090909090912</v>
      </c>
      <c r="CH83" s="298">
        <f>'Unit Costs and Indicators'!$D$18</f>
        <v>0.28409090909090912</v>
      </c>
      <c r="CI83" s="298">
        <f>'Unit Costs and Indicators'!$D$18</f>
        <v>0.28409090909090912</v>
      </c>
      <c r="CJ83" s="298">
        <f>'Unit Costs and Indicators'!$D$18</f>
        <v>0.28409090909090912</v>
      </c>
      <c r="CK83" s="298">
        <f>'Unit Costs and Indicators'!$D$18</f>
        <v>0.28409090909090912</v>
      </c>
      <c r="CL83" s="298">
        <f>'Unit Costs and Indicators'!$D$18</f>
        <v>0.28409090909090912</v>
      </c>
      <c r="CM83" s="298">
        <f>'Unit Costs and Indicators'!$D$18</f>
        <v>0.28409090909090912</v>
      </c>
      <c r="CN83" s="298">
        <f>'Unit Costs and Indicators'!$D$18</f>
        <v>0.28409090909090912</v>
      </c>
      <c r="CO83" s="298">
        <f>'Unit Costs and Indicators'!$D$18</f>
        <v>0.28409090909090912</v>
      </c>
      <c r="CP83" s="298">
        <f>'Unit Costs and Indicators'!$D$18</f>
        <v>0.28409090909090912</v>
      </c>
      <c r="CQ83" s="298">
        <f>'Unit Costs and Indicators'!$D$18</f>
        <v>0.28409090909090912</v>
      </c>
      <c r="CR83" s="298">
        <f>'Unit Costs and Indicators'!$D$18</f>
        <v>0.28409090909090912</v>
      </c>
      <c r="CS83" s="298">
        <f>'Unit Costs and Indicators'!$D$18</f>
        <v>0.28409090909090912</v>
      </c>
      <c r="CT83" s="298">
        <f>'Unit Costs and Indicators'!$D$18</f>
        <v>0.28409090909090912</v>
      </c>
      <c r="CU83" s="298">
        <f>'Unit Costs and Indicators'!$D$18</f>
        <v>0.28409090909090912</v>
      </c>
      <c r="CV83" s="298">
        <f>'Unit Costs and Indicators'!$D$18</f>
        <v>0.28409090909090912</v>
      </c>
      <c r="CW83" s="298">
        <f>'Unit Costs and Indicators'!$D$18</f>
        <v>0.28409090909090912</v>
      </c>
      <c r="CX83" s="298">
        <f>'Unit Costs and Indicators'!$D$18</f>
        <v>0.28409090909090912</v>
      </c>
      <c r="CY83" s="298">
        <f>'Unit Costs and Indicators'!$D$18</f>
        <v>0.28409090909090912</v>
      </c>
      <c r="CZ83" s="298">
        <f>'Unit Costs and Indicators'!$D$18</f>
        <v>0.28409090909090912</v>
      </c>
      <c r="DA83" s="298">
        <f>'Unit Costs and Indicators'!$D$18</f>
        <v>0.28409090909090912</v>
      </c>
      <c r="DB83" s="298">
        <f>'Unit Costs and Indicators'!$D$18</f>
        <v>0.28409090909090912</v>
      </c>
      <c r="DC83" s="298">
        <f>'Unit Costs and Indicators'!$D$18</f>
        <v>0.28409090909090912</v>
      </c>
      <c r="DD83" s="298">
        <f>'Unit Costs and Indicators'!$D$18</f>
        <v>0.28409090909090912</v>
      </c>
      <c r="DE83" s="298">
        <f>'Unit Costs and Indicators'!$D$18</f>
        <v>0.28409090909090912</v>
      </c>
      <c r="DF83" s="298"/>
      <c r="DG83" s="298"/>
      <c r="DH83" s="298"/>
      <c r="DI83" s="298"/>
      <c r="DJ83" s="298"/>
      <c r="DK83" s="298"/>
      <c r="DL83" s="298"/>
    </row>
    <row r="84" spans="1:116" ht="15.75" customHeight="1" outlineLevel="1" x14ac:dyDescent="0.25">
      <c r="A84" s="751"/>
      <c r="B84" s="380" t="str">
        <f>B80</f>
        <v>Property Tax</v>
      </c>
      <c r="C84" s="355" t="s">
        <v>244</v>
      </c>
      <c r="D84" s="356" t="s">
        <v>247</v>
      </c>
      <c r="E84" s="381" t="e">
        <f ca="1">_xludf.FORMULATEXT(H84)</f>
        <v>#NAME?</v>
      </c>
      <c r="F84" s="316" t="s">
        <v>14</v>
      </c>
      <c r="G84" s="317">
        <f t="array" ref="G84">NPV($D$6, J84:DE84)+I84</f>
        <v>3828474.4275061991</v>
      </c>
      <c r="H84" s="359">
        <f t="shared" ref="H84:I84" si="50">H82*H83</f>
        <v>85678.210678210686</v>
      </c>
      <c r="I84" s="360">
        <f t="shared" si="50"/>
        <v>85678.210678210686</v>
      </c>
      <c r="J84" s="360">
        <f t="shared" ref="J84:AO84" si="51">J82*J83*(1 + $D$5)^(J2 - $I$2)</f>
        <v>87391.774891774898</v>
      </c>
      <c r="K84" s="360">
        <f t="shared" si="51"/>
        <v>89139.610389610403</v>
      </c>
      <c r="L84" s="360">
        <f t="shared" si="51"/>
        <v>90922.402597402601</v>
      </c>
      <c r="M84" s="360">
        <f t="shared" si="51"/>
        <v>92740.850649350657</v>
      </c>
      <c r="N84" s="360">
        <f t="shared" si="51"/>
        <v>94595.66766233767</v>
      </c>
      <c r="O84" s="360">
        <f t="shared" si="51"/>
        <v>96487.581015584423</v>
      </c>
      <c r="P84" s="360">
        <f t="shared" si="51"/>
        <v>98417.332635896091</v>
      </c>
      <c r="Q84" s="360">
        <f t="shared" si="51"/>
        <v>100385.67928861403</v>
      </c>
      <c r="R84" s="360">
        <f t="shared" si="51"/>
        <v>102393.39287438631</v>
      </c>
      <c r="S84" s="360">
        <f t="shared" si="51"/>
        <v>104441.26073187403</v>
      </c>
      <c r="T84" s="360">
        <f t="shared" si="51"/>
        <v>106530.08594651151</v>
      </c>
      <c r="U84" s="360">
        <f t="shared" si="51"/>
        <v>108660.68766544174</v>
      </c>
      <c r="V84" s="360">
        <f t="shared" si="51"/>
        <v>110833.90141875058</v>
      </c>
      <c r="W84" s="360">
        <f t="shared" si="51"/>
        <v>113050.57944712559</v>
      </c>
      <c r="X84" s="360">
        <f t="shared" si="51"/>
        <v>115311.59103606809</v>
      </c>
      <c r="Y84" s="360">
        <f t="shared" si="51"/>
        <v>117617.82285678945</v>
      </c>
      <c r="Z84" s="360">
        <f t="shared" si="51"/>
        <v>119970.17931392525</v>
      </c>
      <c r="AA84" s="360">
        <f t="shared" si="51"/>
        <v>122369.58290020375</v>
      </c>
      <c r="AB84" s="360">
        <f t="shared" si="51"/>
        <v>124816.97455820782</v>
      </c>
      <c r="AC84" s="360">
        <f t="shared" si="51"/>
        <v>127313.314049372</v>
      </c>
      <c r="AD84" s="360">
        <f t="shared" si="51"/>
        <v>129859.58033035943</v>
      </c>
      <c r="AE84" s="360">
        <f t="shared" si="51"/>
        <v>132456.77193696663</v>
      </c>
      <c r="AF84" s="360">
        <f t="shared" si="51"/>
        <v>135105.90737570592</v>
      </c>
      <c r="AG84" s="360">
        <f t="shared" si="51"/>
        <v>137808.02552322004</v>
      </c>
      <c r="AH84" s="360">
        <f t="shared" si="51"/>
        <v>140564.18603368444</v>
      </c>
      <c r="AI84" s="360">
        <f t="shared" si="51"/>
        <v>143375.46975435817</v>
      </c>
      <c r="AJ84" s="360">
        <f t="shared" si="51"/>
        <v>146242.97914944528</v>
      </c>
      <c r="AK84" s="360">
        <f t="shared" si="51"/>
        <v>149167.83873243423</v>
      </c>
      <c r="AL84" s="360">
        <f t="shared" si="51"/>
        <v>152151.19550708288</v>
      </c>
      <c r="AM84" s="360">
        <f t="shared" si="51"/>
        <v>155194.21941722455</v>
      </c>
      <c r="AN84" s="360">
        <f t="shared" si="51"/>
        <v>158298.10380556903</v>
      </c>
      <c r="AO84" s="360">
        <f t="shared" si="51"/>
        <v>161464.06588168044</v>
      </c>
      <c r="AP84" s="360">
        <f t="shared" ref="AP84:BU84" si="52">AP82*AP83*(1 + $D$5)^(AP2 - $I$2)</f>
        <v>164693.34719931404</v>
      </c>
      <c r="AQ84" s="360">
        <f t="shared" si="52"/>
        <v>167987.21414330031</v>
      </c>
      <c r="AR84" s="360">
        <f t="shared" si="52"/>
        <v>171346.95842616633</v>
      </c>
      <c r="AS84" s="360">
        <f t="shared" si="52"/>
        <v>174773.89759468962</v>
      </c>
      <c r="AT84" s="360">
        <f t="shared" si="52"/>
        <v>178269.37554658344</v>
      </c>
      <c r="AU84" s="360">
        <f t="shared" si="52"/>
        <v>181834.76305751514</v>
      </c>
      <c r="AV84" s="360">
        <f t="shared" si="52"/>
        <v>185471.45831866536</v>
      </c>
      <c r="AW84" s="360">
        <f t="shared" si="52"/>
        <v>189180.88748503872</v>
      </c>
      <c r="AX84" s="360">
        <f t="shared" si="52"/>
        <v>192964.50523473948</v>
      </c>
      <c r="AY84" s="360">
        <f t="shared" si="52"/>
        <v>196823.79533943426</v>
      </c>
      <c r="AZ84" s="360">
        <f t="shared" si="52"/>
        <v>200760.27124622295</v>
      </c>
      <c r="BA84" s="360">
        <f t="shared" si="52"/>
        <v>204775.47667114745</v>
      </c>
      <c r="BB84" s="360">
        <f t="shared" si="52"/>
        <v>208870.98620457036</v>
      </c>
      <c r="BC84" s="360">
        <f t="shared" si="52"/>
        <v>213048.40592866181</v>
      </c>
      <c r="BD84" s="360">
        <f t="shared" si="52"/>
        <v>217309.37404723497</v>
      </c>
      <c r="BE84" s="360">
        <f t="shared" si="52"/>
        <v>221655.56152817971</v>
      </c>
      <c r="BF84" s="360">
        <f t="shared" si="52"/>
        <v>226088.67275874331</v>
      </c>
      <c r="BG84" s="360">
        <f t="shared" si="52"/>
        <v>230610.44621391819</v>
      </c>
      <c r="BH84" s="360">
        <f t="shared" si="52"/>
        <v>235222.65513819651</v>
      </c>
      <c r="BI84" s="360">
        <f t="shared" si="52"/>
        <v>239927.10824096049</v>
      </c>
      <c r="BJ84" s="360">
        <f t="shared" si="52"/>
        <v>244725.65040577966</v>
      </c>
      <c r="BK84" s="360">
        <f t="shared" si="52"/>
        <v>249620.16341389526</v>
      </c>
      <c r="BL84" s="360">
        <f t="shared" si="52"/>
        <v>254612.56668217311</v>
      </c>
      <c r="BM84" s="360">
        <f t="shared" si="52"/>
        <v>259704.81801581659</v>
      </c>
      <c r="BN84" s="360">
        <f t="shared" si="52"/>
        <v>264898.91437613289</v>
      </c>
      <c r="BO84" s="360">
        <f t="shared" si="52"/>
        <v>270196.89266365563</v>
      </c>
      <c r="BP84" s="360">
        <f t="shared" si="52"/>
        <v>275600.83051692869</v>
      </c>
      <c r="BQ84" s="360">
        <f t="shared" si="52"/>
        <v>281112.84712726733</v>
      </c>
      <c r="BR84" s="360">
        <f t="shared" si="52"/>
        <v>286735.10406981263</v>
      </c>
      <c r="BS84" s="360">
        <f t="shared" si="52"/>
        <v>292469.80615120888</v>
      </c>
      <c r="BT84" s="360">
        <f t="shared" si="52"/>
        <v>298319.20227423299</v>
      </c>
      <c r="BU84" s="360">
        <f t="shared" si="52"/>
        <v>304285.58631971775</v>
      </c>
      <c r="BV84" s="360">
        <f t="shared" ref="BV84:DA84" si="53">BV82*BV83*(1 + $D$5)^(BV2 - $I$2)</f>
        <v>310371.29804611212</v>
      </c>
      <c r="BW84" s="360">
        <f t="shared" si="53"/>
        <v>316578.72400703433</v>
      </c>
      <c r="BX84" s="360">
        <f t="shared" si="53"/>
        <v>322910.29848717502</v>
      </c>
      <c r="BY84" s="360">
        <f t="shared" si="53"/>
        <v>329368.50445691851</v>
      </c>
      <c r="BZ84" s="360">
        <f t="shared" si="53"/>
        <v>335955.8745460569</v>
      </c>
      <c r="CA84" s="360">
        <f t="shared" si="53"/>
        <v>342674.99203697802</v>
      </c>
      <c r="CB84" s="360">
        <f t="shared" si="53"/>
        <v>349528.49187771755</v>
      </c>
      <c r="CC84" s="360">
        <f t="shared" si="53"/>
        <v>356519.06171527191</v>
      </c>
      <c r="CD84" s="360">
        <f t="shared" si="53"/>
        <v>363649.44294957735</v>
      </c>
      <c r="CE84" s="360">
        <f t="shared" si="53"/>
        <v>370922.43180856894</v>
      </c>
      <c r="CF84" s="360">
        <f t="shared" si="53"/>
        <v>378340.88044474024</v>
      </c>
      <c r="CG84" s="360">
        <f t="shared" si="53"/>
        <v>385907.69805363507</v>
      </c>
      <c r="CH84" s="360">
        <f t="shared" si="53"/>
        <v>393625.85201470781</v>
      </c>
      <c r="CI84" s="360">
        <f t="shared" si="53"/>
        <v>401498.369055002</v>
      </c>
      <c r="CJ84" s="360">
        <f t="shared" si="53"/>
        <v>409528.33643610188</v>
      </c>
      <c r="CK84" s="360">
        <f t="shared" si="53"/>
        <v>417718.90316482401</v>
      </c>
      <c r="CL84" s="360">
        <f t="shared" si="53"/>
        <v>426073.2812281205</v>
      </c>
      <c r="CM84" s="360">
        <f t="shared" si="53"/>
        <v>434594.74685268285</v>
      </c>
      <c r="CN84" s="360">
        <f t="shared" si="53"/>
        <v>443286.64178973652</v>
      </c>
      <c r="CO84" s="360">
        <f t="shared" si="53"/>
        <v>452152.37462553126</v>
      </c>
      <c r="CP84" s="360">
        <f t="shared" si="53"/>
        <v>461195.4221180419</v>
      </c>
      <c r="CQ84" s="360">
        <f t="shared" si="53"/>
        <v>470419.33056040277</v>
      </c>
      <c r="CR84" s="360">
        <f t="shared" si="53"/>
        <v>479827.71717161068</v>
      </c>
      <c r="CS84" s="360">
        <f t="shared" si="53"/>
        <v>489424.27151504293</v>
      </c>
      <c r="CT84" s="360">
        <f t="shared" si="53"/>
        <v>499212.7569453438</v>
      </c>
      <c r="CU84" s="360">
        <f t="shared" si="53"/>
        <v>509197.01208425075</v>
      </c>
      <c r="CV84" s="360">
        <f t="shared" si="53"/>
        <v>519380.95232593565</v>
      </c>
      <c r="CW84" s="360">
        <f t="shared" si="53"/>
        <v>529768.57137245452</v>
      </c>
      <c r="CX84" s="360">
        <f t="shared" si="53"/>
        <v>540363.94279990357</v>
      </c>
      <c r="CY84" s="360">
        <f t="shared" si="53"/>
        <v>551171.22165590164</v>
      </c>
      <c r="CZ84" s="360">
        <f t="shared" si="53"/>
        <v>562194.64608901949</v>
      </c>
      <c r="DA84" s="360">
        <f t="shared" si="53"/>
        <v>573438.53901079996</v>
      </c>
      <c r="DB84" s="360">
        <f t="shared" ref="DB84:DE84" si="54">DB82*DB83*(1 + $D$5)^(DB2 - $I$2)</f>
        <v>584907.30979101604</v>
      </c>
      <c r="DC84" s="360">
        <f t="shared" si="54"/>
        <v>596605.45598683634</v>
      </c>
      <c r="DD84" s="360">
        <f t="shared" si="54"/>
        <v>608537.56510657305</v>
      </c>
      <c r="DE84" s="360">
        <f t="shared" si="54"/>
        <v>620708.3164087045</v>
      </c>
      <c r="DF84" s="428"/>
      <c r="DG84" s="428"/>
      <c r="DH84" s="428"/>
      <c r="DI84" s="428"/>
      <c r="DJ84" s="428"/>
      <c r="DK84" s="428"/>
      <c r="DL84" s="428"/>
    </row>
    <row r="85" spans="1:116" ht="15.75" customHeight="1" outlineLevel="1" x14ac:dyDescent="0.25">
      <c r="A85" s="751"/>
      <c r="B85" s="758" t="s">
        <v>79</v>
      </c>
      <c r="C85" s="278" t="str">
        <f t="shared" ref="C85:AH85" si="55">C16</f>
        <v>Actual number of Street Cuts</v>
      </c>
      <c r="D85" s="403" t="str">
        <f t="shared" si="55"/>
        <v>#</v>
      </c>
      <c r="E85" s="429" t="str">
        <f t="shared" si="55"/>
        <v>Rule of thumb assumtionMar/11/2020 Utilidor Working Group Meeting: DOT: 1/3 of total permits</v>
      </c>
      <c r="F85" s="403">
        <f t="shared" si="55"/>
        <v>0</v>
      </c>
      <c r="G85" s="429" t="str">
        <f t="shared" si="55"/>
        <v>1/3 of total permits</v>
      </c>
      <c r="H85" s="430">
        <f t="shared" si="55"/>
        <v>24.09</v>
      </c>
      <c r="I85" s="403">
        <f t="shared" si="55"/>
        <v>24.210449999999998</v>
      </c>
      <c r="J85" s="403">
        <f t="shared" si="55"/>
        <v>24.331502249999996</v>
      </c>
      <c r="K85" s="403">
        <f t="shared" si="55"/>
        <v>24.453159761249996</v>
      </c>
      <c r="L85" s="403">
        <f t="shared" si="55"/>
        <v>24.575425560056239</v>
      </c>
      <c r="M85" s="403">
        <f t="shared" si="55"/>
        <v>24.698302687856518</v>
      </c>
      <c r="N85" s="403">
        <f t="shared" si="55"/>
        <v>24.821794201295798</v>
      </c>
      <c r="O85" s="403">
        <f t="shared" si="55"/>
        <v>24.945903172302273</v>
      </c>
      <c r="P85" s="403">
        <f t="shared" si="55"/>
        <v>25.070632688163784</v>
      </c>
      <c r="Q85" s="403">
        <f t="shared" si="55"/>
        <v>25.1959858516046</v>
      </c>
      <c r="R85" s="403">
        <f t="shared" si="55"/>
        <v>25.32196578086262</v>
      </c>
      <c r="S85" s="403">
        <f t="shared" si="55"/>
        <v>25.44857560976693</v>
      </c>
      <c r="T85" s="403">
        <f t="shared" si="55"/>
        <v>25.575818487815763</v>
      </c>
      <c r="U85" s="403">
        <f t="shared" si="55"/>
        <v>25.70369758025484</v>
      </c>
      <c r="V85" s="403">
        <f t="shared" si="55"/>
        <v>25.832216068156111</v>
      </c>
      <c r="W85" s="403">
        <f t="shared" si="55"/>
        <v>25.961377148496886</v>
      </c>
      <c r="X85" s="403">
        <f t="shared" si="55"/>
        <v>26.091184034239369</v>
      </c>
      <c r="Y85" s="403">
        <f t="shared" si="55"/>
        <v>26.221639954410563</v>
      </c>
      <c r="Z85" s="403">
        <f t="shared" si="55"/>
        <v>26.35274815418261</v>
      </c>
      <c r="AA85" s="403">
        <f t="shared" si="55"/>
        <v>26.484511894953524</v>
      </c>
      <c r="AB85" s="403">
        <f t="shared" si="55"/>
        <v>26.616934454428289</v>
      </c>
      <c r="AC85" s="403">
        <f t="shared" si="55"/>
        <v>26.75001912670043</v>
      </c>
      <c r="AD85" s="403">
        <f t="shared" si="55"/>
        <v>26.883769222333928</v>
      </c>
      <c r="AE85" s="403">
        <f t="shared" si="55"/>
        <v>27.018188068445596</v>
      </c>
      <c r="AF85" s="403">
        <f t="shared" si="55"/>
        <v>27.15327900878782</v>
      </c>
      <c r="AG85" s="403">
        <f t="shared" si="55"/>
        <v>27.289045403831754</v>
      </c>
      <c r="AH85" s="403">
        <f t="shared" si="55"/>
        <v>27.425490630850909</v>
      </c>
      <c r="AI85" s="403">
        <f t="shared" ref="AI85:BN85" si="56">AI16</f>
        <v>27.425490630850909</v>
      </c>
      <c r="AJ85" s="403">
        <f t="shared" si="56"/>
        <v>27.425490630850909</v>
      </c>
      <c r="AK85" s="403">
        <f t="shared" si="56"/>
        <v>27.425490630850909</v>
      </c>
      <c r="AL85" s="403">
        <f t="shared" si="56"/>
        <v>27.425490630850909</v>
      </c>
      <c r="AM85" s="403">
        <f t="shared" si="56"/>
        <v>27.425490630850909</v>
      </c>
      <c r="AN85" s="403">
        <f t="shared" si="56"/>
        <v>27.425490630850909</v>
      </c>
      <c r="AO85" s="403">
        <f t="shared" si="56"/>
        <v>27.425490630850909</v>
      </c>
      <c r="AP85" s="403">
        <f t="shared" si="56"/>
        <v>27.425490630850909</v>
      </c>
      <c r="AQ85" s="403">
        <f t="shared" si="56"/>
        <v>27.425490630850909</v>
      </c>
      <c r="AR85" s="403">
        <f t="shared" si="56"/>
        <v>27.425490630850909</v>
      </c>
      <c r="AS85" s="403">
        <f t="shared" si="56"/>
        <v>27.425490630850909</v>
      </c>
      <c r="AT85" s="403">
        <f t="shared" si="56"/>
        <v>27.425490630850909</v>
      </c>
      <c r="AU85" s="403">
        <f t="shared" si="56"/>
        <v>27.425490630850909</v>
      </c>
      <c r="AV85" s="403">
        <f t="shared" si="56"/>
        <v>27.425490630850909</v>
      </c>
      <c r="AW85" s="403">
        <f t="shared" si="56"/>
        <v>27.425490630850909</v>
      </c>
      <c r="AX85" s="403">
        <f t="shared" si="56"/>
        <v>27.425490630850909</v>
      </c>
      <c r="AY85" s="403">
        <f t="shared" si="56"/>
        <v>27.425490630850909</v>
      </c>
      <c r="AZ85" s="403">
        <f t="shared" si="56"/>
        <v>27.425490630850909</v>
      </c>
      <c r="BA85" s="403">
        <f t="shared" si="56"/>
        <v>27.425490630850909</v>
      </c>
      <c r="BB85" s="403">
        <f t="shared" si="56"/>
        <v>27.425490630850909</v>
      </c>
      <c r="BC85" s="403">
        <f t="shared" si="56"/>
        <v>27.425490630850909</v>
      </c>
      <c r="BD85" s="403">
        <f t="shared" si="56"/>
        <v>27.425490630850909</v>
      </c>
      <c r="BE85" s="403">
        <f t="shared" si="56"/>
        <v>27.425490630850909</v>
      </c>
      <c r="BF85" s="403">
        <f t="shared" si="56"/>
        <v>27.425490630850909</v>
      </c>
      <c r="BG85" s="403">
        <f t="shared" si="56"/>
        <v>27.425490630850909</v>
      </c>
      <c r="BH85" s="403">
        <f t="shared" si="56"/>
        <v>27.425490630850909</v>
      </c>
      <c r="BI85" s="403">
        <f t="shared" si="56"/>
        <v>27.425490630850909</v>
      </c>
      <c r="BJ85" s="403">
        <f t="shared" si="56"/>
        <v>27.425490630850909</v>
      </c>
      <c r="BK85" s="403">
        <f t="shared" si="56"/>
        <v>27.425490630850909</v>
      </c>
      <c r="BL85" s="403">
        <f t="shared" si="56"/>
        <v>27.425490630850909</v>
      </c>
      <c r="BM85" s="403">
        <f t="shared" si="56"/>
        <v>27.425490630850909</v>
      </c>
      <c r="BN85" s="403">
        <f t="shared" si="56"/>
        <v>27.425490630850909</v>
      </c>
      <c r="BO85" s="403">
        <f t="shared" ref="BO85:CT85" si="57">BO16</f>
        <v>27.425490630850909</v>
      </c>
      <c r="BP85" s="403">
        <f t="shared" si="57"/>
        <v>27.425490630850909</v>
      </c>
      <c r="BQ85" s="403">
        <f t="shared" si="57"/>
        <v>27.425490630850909</v>
      </c>
      <c r="BR85" s="403">
        <f t="shared" si="57"/>
        <v>27.425490630850909</v>
      </c>
      <c r="BS85" s="403">
        <f t="shared" si="57"/>
        <v>27.425490630850909</v>
      </c>
      <c r="BT85" s="403">
        <f t="shared" si="57"/>
        <v>27.425490630850909</v>
      </c>
      <c r="BU85" s="403">
        <f t="shared" si="57"/>
        <v>27.425490630850909</v>
      </c>
      <c r="BV85" s="403">
        <f t="shared" si="57"/>
        <v>27.425490630850909</v>
      </c>
      <c r="BW85" s="403">
        <f t="shared" si="57"/>
        <v>27.425490630850909</v>
      </c>
      <c r="BX85" s="403">
        <f t="shared" si="57"/>
        <v>27.425490630850909</v>
      </c>
      <c r="BY85" s="403">
        <f t="shared" si="57"/>
        <v>27.425490630850909</v>
      </c>
      <c r="BZ85" s="403">
        <f t="shared" si="57"/>
        <v>27.425490630850909</v>
      </c>
      <c r="CA85" s="403">
        <f t="shared" si="57"/>
        <v>27.425490630850909</v>
      </c>
      <c r="CB85" s="403">
        <f t="shared" si="57"/>
        <v>27.425490630850909</v>
      </c>
      <c r="CC85" s="403">
        <f t="shared" si="57"/>
        <v>27.425490630850909</v>
      </c>
      <c r="CD85" s="403">
        <f t="shared" si="57"/>
        <v>27.425490630850909</v>
      </c>
      <c r="CE85" s="403">
        <f t="shared" si="57"/>
        <v>27.425490630850909</v>
      </c>
      <c r="CF85" s="403">
        <f t="shared" si="57"/>
        <v>27.425490630850909</v>
      </c>
      <c r="CG85" s="403">
        <f t="shared" si="57"/>
        <v>27.425490630850909</v>
      </c>
      <c r="CH85" s="403">
        <f t="shared" si="57"/>
        <v>27.425490630850909</v>
      </c>
      <c r="CI85" s="403">
        <f t="shared" si="57"/>
        <v>27.425490630850909</v>
      </c>
      <c r="CJ85" s="403">
        <f t="shared" si="57"/>
        <v>27.425490630850909</v>
      </c>
      <c r="CK85" s="403">
        <f t="shared" si="57"/>
        <v>27.425490630850909</v>
      </c>
      <c r="CL85" s="403">
        <f t="shared" si="57"/>
        <v>27.425490630850909</v>
      </c>
      <c r="CM85" s="403">
        <f t="shared" si="57"/>
        <v>27.425490630850909</v>
      </c>
      <c r="CN85" s="403">
        <f t="shared" si="57"/>
        <v>27.425490630850909</v>
      </c>
      <c r="CO85" s="403">
        <f t="shared" si="57"/>
        <v>27.425490630850909</v>
      </c>
      <c r="CP85" s="403">
        <f t="shared" si="57"/>
        <v>27.425490630850909</v>
      </c>
      <c r="CQ85" s="403">
        <f t="shared" si="57"/>
        <v>27.425490630850909</v>
      </c>
      <c r="CR85" s="403">
        <f t="shared" si="57"/>
        <v>27.425490630850909</v>
      </c>
      <c r="CS85" s="403">
        <f t="shared" si="57"/>
        <v>27.425490630850909</v>
      </c>
      <c r="CT85" s="403">
        <f t="shared" si="57"/>
        <v>27.425490630850909</v>
      </c>
      <c r="CU85" s="403">
        <f t="shared" ref="CU85:DE85" si="58">CU16</f>
        <v>27.425490630850909</v>
      </c>
      <c r="CV85" s="403">
        <f t="shared" si="58"/>
        <v>27.425490630850909</v>
      </c>
      <c r="CW85" s="403">
        <f t="shared" si="58"/>
        <v>27.425490630850909</v>
      </c>
      <c r="CX85" s="403">
        <f t="shared" si="58"/>
        <v>27.425490630850909</v>
      </c>
      <c r="CY85" s="403">
        <f t="shared" si="58"/>
        <v>27.425490630850909</v>
      </c>
      <c r="CZ85" s="403">
        <f t="shared" si="58"/>
        <v>27.425490630850909</v>
      </c>
      <c r="DA85" s="403">
        <f t="shared" si="58"/>
        <v>27.425490630850909</v>
      </c>
      <c r="DB85" s="403">
        <f t="shared" si="58"/>
        <v>27.425490630850909</v>
      </c>
      <c r="DC85" s="403">
        <f t="shared" si="58"/>
        <v>27.425490630850909</v>
      </c>
      <c r="DD85" s="403">
        <f t="shared" si="58"/>
        <v>27.425490630850909</v>
      </c>
      <c r="DE85" s="403">
        <f t="shared" si="58"/>
        <v>27.425490630850909</v>
      </c>
      <c r="DF85" s="284"/>
      <c r="DG85" s="284"/>
      <c r="DH85" s="284"/>
      <c r="DI85" s="284"/>
      <c r="DJ85" s="284"/>
      <c r="DK85" s="284"/>
      <c r="DL85" s="284"/>
    </row>
    <row r="86" spans="1:116" ht="15.75" customHeight="1" outlineLevel="1" x14ac:dyDescent="0.25">
      <c r="A86" s="751"/>
      <c r="B86" s="751"/>
      <c r="C86" s="278" t="s">
        <v>329</v>
      </c>
      <c r="D86" s="431" t="s">
        <v>204</v>
      </c>
      <c r="E86" s="280" t="s">
        <v>330</v>
      </c>
      <c r="F86" s="432"/>
      <c r="G86" s="433">
        <f>'Unit Costs and Indicators'!G184</f>
        <v>0.46266000000000002</v>
      </c>
      <c r="H86" s="281">
        <f t="shared" ref="H86:DE86" si="59">H85*$G$86</f>
        <v>11.145479400000001</v>
      </c>
      <c r="I86" s="284">
        <f t="shared" si="59"/>
        <v>11.201206796999999</v>
      </c>
      <c r="J86" s="284">
        <f t="shared" si="59"/>
        <v>11.257212830984999</v>
      </c>
      <c r="K86" s="284">
        <f t="shared" si="59"/>
        <v>11.313498895139924</v>
      </c>
      <c r="L86" s="284">
        <f t="shared" si="59"/>
        <v>11.370066389615619</v>
      </c>
      <c r="M86" s="284">
        <f t="shared" si="59"/>
        <v>11.426916721563698</v>
      </c>
      <c r="N86" s="284">
        <f t="shared" si="59"/>
        <v>11.484051305171514</v>
      </c>
      <c r="O86" s="284">
        <f t="shared" si="59"/>
        <v>11.541471561697371</v>
      </c>
      <c r="P86" s="284">
        <f t="shared" si="59"/>
        <v>11.599178919505857</v>
      </c>
      <c r="Q86" s="284">
        <f t="shared" si="59"/>
        <v>11.657174814103385</v>
      </c>
      <c r="R86" s="284">
        <f t="shared" si="59"/>
        <v>11.7154606881739</v>
      </c>
      <c r="S86" s="284">
        <f t="shared" si="59"/>
        <v>11.774037991614769</v>
      </c>
      <c r="T86" s="284">
        <f t="shared" si="59"/>
        <v>11.832908181572842</v>
      </c>
      <c r="U86" s="284">
        <f t="shared" si="59"/>
        <v>11.892072722480705</v>
      </c>
      <c r="V86" s="284">
        <f t="shared" si="59"/>
        <v>11.951533086093107</v>
      </c>
      <c r="W86" s="284">
        <f t="shared" si="59"/>
        <v>12.011290751523569</v>
      </c>
      <c r="X86" s="284">
        <f t="shared" si="59"/>
        <v>12.071347205281187</v>
      </c>
      <c r="Y86" s="284">
        <f t="shared" si="59"/>
        <v>12.131703941307592</v>
      </c>
      <c r="Z86" s="284">
        <f t="shared" si="59"/>
        <v>12.192362461014127</v>
      </c>
      <c r="AA86" s="284">
        <f t="shared" si="59"/>
        <v>12.253324273319198</v>
      </c>
      <c r="AB86" s="284">
        <f t="shared" si="59"/>
        <v>12.314590894685793</v>
      </c>
      <c r="AC86" s="284">
        <f t="shared" si="59"/>
        <v>12.376163849159221</v>
      </c>
      <c r="AD86" s="284">
        <f t="shared" si="59"/>
        <v>12.438044668405016</v>
      </c>
      <c r="AE86" s="284">
        <f t="shared" si="59"/>
        <v>12.50023489174704</v>
      </c>
      <c r="AF86" s="284">
        <f t="shared" si="59"/>
        <v>12.562736066205773</v>
      </c>
      <c r="AG86" s="284">
        <f t="shared" si="59"/>
        <v>12.6255497465368</v>
      </c>
      <c r="AH86" s="284">
        <f t="shared" si="59"/>
        <v>12.688677495269483</v>
      </c>
      <c r="AI86" s="284">
        <f t="shared" si="59"/>
        <v>12.688677495269483</v>
      </c>
      <c r="AJ86" s="284">
        <f t="shared" si="59"/>
        <v>12.688677495269483</v>
      </c>
      <c r="AK86" s="284">
        <f t="shared" si="59"/>
        <v>12.688677495269483</v>
      </c>
      <c r="AL86" s="284">
        <f t="shared" si="59"/>
        <v>12.688677495269483</v>
      </c>
      <c r="AM86" s="284">
        <f t="shared" si="59"/>
        <v>12.688677495269483</v>
      </c>
      <c r="AN86" s="284">
        <f t="shared" si="59"/>
        <v>12.688677495269483</v>
      </c>
      <c r="AO86" s="284">
        <f t="shared" si="59"/>
        <v>12.688677495269483</v>
      </c>
      <c r="AP86" s="284">
        <f t="shared" si="59"/>
        <v>12.688677495269483</v>
      </c>
      <c r="AQ86" s="284">
        <f t="shared" si="59"/>
        <v>12.688677495269483</v>
      </c>
      <c r="AR86" s="284">
        <f t="shared" si="59"/>
        <v>12.688677495269483</v>
      </c>
      <c r="AS86" s="284">
        <f t="shared" si="59"/>
        <v>12.688677495269483</v>
      </c>
      <c r="AT86" s="284">
        <f t="shared" si="59"/>
        <v>12.688677495269483</v>
      </c>
      <c r="AU86" s="284">
        <f t="shared" si="59"/>
        <v>12.688677495269483</v>
      </c>
      <c r="AV86" s="284">
        <f t="shared" si="59"/>
        <v>12.688677495269483</v>
      </c>
      <c r="AW86" s="284">
        <f t="shared" si="59"/>
        <v>12.688677495269483</v>
      </c>
      <c r="AX86" s="284">
        <f t="shared" si="59"/>
        <v>12.688677495269483</v>
      </c>
      <c r="AY86" s="284">
        <f t="shared" si="59"/>
        <v>12.688677495269483</v>
      </c>
      <c r="AZ86" s="284">
        <f t="shared" si="59"/>
        <v>12.688677495269483</v>
      </c>
      <c r="BA86" s="284">
        <f t="shared" si="59"/>
        <v>12.688677495269483</v>
      </c>
      <c r="BB86" s="284">
        <f t="shared" si="59"/>
        <v>12.688677495269483</v>
      </c>
      <c r="BC86" s="284">
        <f t="shared" si="59"/>
        <v>12.688677495269483</v>
      </c>
      <c r="BD86" s="284">
        <f t="shared" si="59"/>
        <v>12.688677495269483</v>
      </c>
      <c r="BE86" s="284">
        <f t="shared" si="59"/>
        <v>12.688677495269483</v>
      </c>
      <c r="BF86" s="284">
        <f t="shared" si="59"/>
        <v>12.688677495269483</v>
      </c>
      <c r="BG86" s="284">
        <f t="shared" si="59"/>
        <v>12.688677495269483</v>
      </c>
      <c r="BH86" s="284">
        <f t="shared" si="59"/>
        <v>12.688677495269483</v>
      </c>
      <c r="BI86" s="284">
        <f t="shared" si="59"/>
        <v>12.688677495269483</v>
      </c>
      <c r="BJ86" s="284">
        <f t="shared" si="59"/>
        <v>12.688677495269483</v>
      </c>
      <c r="BK86" s="284">
        <f t="shared" si="59"/>
        <v>12.688677495269483</v>
      </c>
      <c r="BL86" s="284">
        <f t="shared" si="59"/>
        <v>12.688677495269483</v>
      </c>
      <c r="BM86" s="284">
        <f t="shared" si="59"/>
        <v>12.688677495269483</v>
      </c>
      <c r="BN86" s="284">
        <f t="shared" si="59"/>
        <v>12.688677495269483</v>
      </c>
      <c r="BO86" s="284">
        <f t="shared" si="59"/>
        <v>12.688677495269483</v>
      </c>
      <c r="BP86" s="284">
        <f t="shared" si="59"/>
        <v>12.688677495269483</v>
      </c>
      <c r="BQ86" s="284">
        <f t="shared" si="59"/>
        <v>12.688677495269483</v>
      </c>
      <c r="BR86" s="284">
        <f t="shared" si="59"/>
        <v>12.688677495269483</v>
      </c>
      <c r="BS86" s="284">
        <f t="shared" si="59"/>
        <v>12.688677495269483</v>
      </c>
      <c r="BT86" s="284">
        <f t="shared" si="59"/>
        <v>12.688677495269483</v>
      </c>
      <c r="BU86" s="284">
        <f t="shared" si="59"/>
        <v>12.688677495269483</v>
      </c>
      <c r="BV86" s="284">
        <f t="shared" si="59"/>
        <v>12.688677495269483</v>
      </c>
      <c r="BW86" s="284">
        <f t="shared" si="59"/>
        <v>12.688677495269483</v>
      </c>
      <c r="BX86" s="284">
        <f t="shared" si="59"/>
        <v>12.688677495269483</v>
      </c>
      <c r="BY86" s="284">
        <f t="shared" si="59"/>
        <v>12.688677495269483</v>
      </c>
      <c r="BZ86" s="284">
        <f t="shared" si="59"/>
        <v>12.688677495269483</v>
      </c>
      <c r="CA86" s="284">
        <f t="shared" si="59"/>
        <v>12.688677495269483</v>
      </c>
      <c r="CB86" s="284">
        <f t="shared" si="59"/>
        <v>12.688677495269483</v>
      </c>
      <c r="CC86" s="284">
        <f t="shared" si="59"/>
        <v>12.688677495269483</v>
      </c>
      <c r="CD86" s="284">
        <f t="shared" si="59"/>
        <v>12.688677495269483</v>
      </c>
      <c r="CE86" s="284">
        <f t="shared" si="59"/>
        <v>12.688677495269483</v>
      </c>
      <c r="CF86" s="284">
        <f t="shared" si="59"/>
        <v>12.688677495269483</v>
      </c>
      <c r="CG86" s="284">
        <f t="shared" si="59"/>
        <v>12.688677495269483</v>
      </c>
      <c r="CH86" s="284">
        <f t="shared" si="59"/>
        <v>12.688677495269483</v>
      </c>
      <c r="CI86" s="284">
        <f t="shared" si="59"/>
        <v>12.688677495269483</v>
      </c>
      <c r="CJ86" s="284">
        <f t="shared" si="59"/>
        <v>12.688677495269483</v>
      </c>
      <c r="CK86" s="284">
        <f t="shared" si="59"/>
        <v>12.688677495269483</v>
      </c>
      <c r="CL86" s="284">
        <f t="shared" si="59"/>
        <v>12.688677495269483</v>
      </c>
      <c r="CM86" s="284">
        <f t="shared" si="59"/>
        <v>12.688677495269483</v>
      </c>
      <c r="CN86" s="284">
        <f t="shared" si="59"/>
        <v>12.688677495269483</v>
      </c>
      <c r="CO86" s="284">
        <f t="shared" si="59"/>
        <v>12.688677495269483</v>
      </c>
      <c r="CP86" s="284">
        <f t="shared" si="59"/>
        <v>12.688677495269483</v>
      </c>
      <c r="CQ86" s="284">
        <f t="shared" si="59"/>
        <v>12.688677495269483</v>
      </c>
      <c r="CR86" s="284">
        <f t="shared" si="59"/>
        <v>12.688677495269483</v>
      </c>
      <c r="CS86" s="284">
        <f t="shared" si="59"/>
        <v>12.688677495269483</v>
      </c>
      <c r="CT86" s="284">
        <f t="shared" si="59"/>
        <v>12.688677495269483</v>
      </c>
      <c r="CU86" s="284">
        <f t="shared" si="59"/>
        <v>12.688677495269483</v>
      </c>
      <c r="CV86" s="284">
        <f t="shared" si="59"/>
        <v>12.688677495269483</v>
      </c>
      <c r="CW86" s="284">
        <f t="shared" si="59"/>
        <v>12.688677495269483</v>
      </c>
      <c r="CX86" s="284">
        <f t="shared" si="59"/>
        <v>12.688677495269483</v>
      </c>
      <c r="CY86" s="284">
        <f t="shared" si="59"/>
        <v>12.688677495269483</v>
      </c>
      <c r="CZ86" s="284">
        <f t="shared" si="59"/>
        <v>12.688677495269483</v>
      </c>
      <c r="DA86" s="284">
        <f t="shared" si="59"/>
        <v>12.688677495269483</v>
      </c>
      <c r="DB86" s="284">
        <f t="shared" si="59"/>
        <v>12.688677495269483</v>
      </c>
      <c r="DC86" s="284">
        <f t="shared" si="59"/>
        <v>12.688677495269483</v>
      </c>
      <c r="DD86" s="284">
        <f t="shared" si="59"/>
        <v>12.688677495269483</v>
      </c>
      <c r="DE86" s="284">
        <f t="shared" si="59"/>
        <v>12.688677495269483</v>
      </c>
      <c r="DF86" s="434"/>
      <c r="DG86" s="434"/>
      <c r="DH86" s="434"/>
      <c r="DI86" s="434"/>
      <c r="DJ86" s="434"/>
      <c r="DK86" s="434"/>
      <c r="DL86" s="434"/>
    </row>
    <row r="87" spans="1:116" ht="15.75" customHeight="1" outlineLevel="1" x14ac:dyDescent="0.25">
      <c r="A87" s="751"/>
      <c r="B87" s="751"/>
      <c r="C87" s="321" t="s">
        <v>331</v>
      </c>
      <c r="D87" s="280" t="s">
        <v>332</v>
      </c>
      <c r="E87" s="280" t="s">
        <v>122</v>
      </c>
      <c r="F87" s="280"/>
      <c r="G87" s="280">
        <f>'Unit Costs and Indicators'!D18*5280*1/3</f>
        <v>500.00000000000006</v>
      </c>
      <c r="H87" s="409">
        <f t="shared" ref="H87:H88" si="60">G87</f>
        <v>500.00000000000006</v>
      </c>
      <c r="I87" s="282">
        <f t="shared" ref="I87:DE87" si="61">G87</f>
        <v>500.00000000000006</v>
      </c>
      <c r="J87" s="282">
        <f t="shared" si="61"/>
        <v>500.00000000000006</v>
      </c>
      <c r="K87" s="282">
        <f t="shared" si="61"/>
        <v>500.00000000000006</v>
      </c>
      <c r="L87" s="282">
        <f t="shared" si="61"/>
        <v>500.00000000000006</v>
      </c>
      <c r="M87" s="282">
        <f t="shared" si="61"/>
        <v>500.00000000000006</v>
      </c>
      <c r="N87" s="282">
        <f t="shared" si="61"/>
        <v>500.00000000000006</v>
      </c>
      <c r="O87" s="282">
        <f t="shared" si="61"/>
        <v>500.00000000000006</v>
      </c>
      <c r="P87" s="282">
        <f t="shared" si="61"/>
        <v>500.00000000000006</v>
      </c>
      <c r="Q87" s="282">
        <f t="shared" si="61"/>
        <v>500.00000000000006</v>
      </c>
      <c r="R87" s="282">
        <f t="shared" si="61"/>
        <v>500.00000000000006</v>
      </c>
      <c r="S87" s="282">
        <f t="shared" si="61"/>
        <v>500.00000000000006</v>
      </c>
      <c r="T87" s="282">
        <f t="shared" si="61"/>
        <v>500.00000000000006</v>
      </c>
      <c r="U87" s="282">
        <f t="shared" si="61"/>
        <v>500.00000000000006</v>
      </c>
      <c r="V87" s="282">
        <f t="shared" si="61"/>
        <v>500.00000000000006</v>
      </c>
      <c r="W87" s="282">
        <f t="shared" si="61"/>
        <v>500.00000000000006</v>
      </c>
      <c r="X87" s="282">
        <f t="shared" si="61"/>
        <v>500.00000000000006</v>
      </c>
      <c r="Y87" s="282">
        <f t="shared" si="61"/>
        <v>500.00000000000006</v>
      </c>
      <c r="Z87" s="282">
        <f t="shared" si="61"/>
        <v>500.00000000000006</v>
      </c>
      <c r="AA87" s="282">
        <f t="shared" si="61"/>
        <v>500.00000000000006</v>
      </c>
      <c r="AB87" s="282">
        <f t="shared" si="61"/>
        <v>500.00000000000006</v>
      </c>
      <c r="AC87" s="282">
        <f t="shared" si="61"/>
        <v>500.00000000000006</v>
      </c>
      <c r="AD87" s="282">
        <f t="shared" si="61"/>
        <v>500.00000000000006</v>
      </c>
      <c r="AE87" s="282">
        <f t="shared" si="61"/>
        <v>500.00000000000006</v>
      </c>
      <c r="AF87" s="282">
        <f t="shared" si="61"/>
        <v>500.00000000000006</v>
      </c>
      <c r="AG87" s="282">
        <f t="shared" si="61"/>
        <v>500.00000000000006</v>
      </c>
      <c r="AH87" s="282">
        <f t="shared" si="61"/>
        <v>500.00000000000006</v>
      </c>
      <c r="AI87" s="282">
        <f t="shared" si="61"/>
        <v>500.00000000000006</v>
      </c>
      <c r="AJ87" s="282">
        <f t="shared" si="61"/>
        <v>500.00000000000006</v>
      </c>
      <c r="AK87" s="282">
        <f t="shared" si="61"/>
        <v>500.00000000000006</v>
      </c>
      <c r="AL87" s="282">
        <f t="shared" si="61"/>
        <v>500.00000000000006</v>
      </c>
      <c r="AM87" s="282">
        <f t="shared" si="61"/>
        <v>500.00000000000006</v>
      </c>
      <c r="AN87" s="282">
        <f t="shared" si="61"/>
        <v>500.00000000000006</v>
      </c>
      <c r="AO87" s="282">
        <f t="shared" si="61"/>
        <v>500.00000000000006</v>
      </c>
      <c r="AP87" s="282">
        <f t="shared" si="61"/>
        <v>500.00000000000006</v>
      </c>
      <c r="AQ87" s="282">
        <f t="shared" si="61"/>
        <v>500.00000000000006</v>
      </c>
      <c r="AR87" s="282">
        <f t="shared" si="61"/>
        <v>500.00000000000006</v>
      </c>
      <c r="AS87" s="282">
        <f t="shared" si="61"/>
        <v>500.00000000000006</v>
      </c>
      <c r="AT87" s="282">
        <f t="shared" si="61"/>
        <v>500.00000000000006</v>
      </c>
      <c r="AU87" s="282">
        <f t="shared" si="61"/>
        <v>500.00000000000006</v>
      </c>
      <c r="AV87" s="282">
        <f t="shared" si="61"/>
        <v>500.00000000000006</v>
      </c>
      <c r="AW87" s="282">
        <f t="shared" si="61"/>
        <v>500.00000000000006</v>
      </c>
      <c r="AX87" s="282">
        <f t="shared" si="61"/>
        <v>500.00000000000006</v>
      </c>
      <c r="AY87" s="282">
        <f t="shared" si="61"/>
        <v>500.00000000000006</v>
      </c>
      <c r="AZ87" s="282">
        <f t="shared" si="61"/>
        <v>500.00000000000006</v>
      </c>
      <c r="BA87" s="282">
        <f t="shared" si="61"/>
        <v>500.00000000000006</v>
      </c>
      <c r="BB87" s="282">
        <f t="shared" si="61"/>
        <v>500.00000000000006</v>
      </c>
      <c r="BC87" s="282">
        <f t="shared" si="61"/>
        <v>500.00000000000006</v>
      </c>
      <c r="BD87" s="282">
        <f t="shared" si="61"/>
        <v>500.00000000000006</v>
      </c>
      <c r="BE87" s="282">
        <f t="shared" si="61"/>
        <v>500.00000000000006</v>
      </c>
      <c r="BF87" s="282">
        <f t="shared" si="61"/>
        <v>500.00000000000006</v>
      </c>
      <c r="BG87" s="282">
        <f t="shared" si="61"/>
        <v>500.00000000000006</v>
      </c>
      <c r="BH87" s="282">
        <f t="shared" si="61"/>
        <v>500.00000000000006</v>
      </c>
      <c r="BI87" s="282">
        <f t="shared" si="61"/>
        <v>500.00000000000006</v>
      </c>
      <c r="BJ87" s="282">
        <f t="shared" si="61"/>
        <v>500.00000000000006</v>
      </c>
      <c r="BK87" s="282">
        <f t="shared" si="61"/>
        <v>500.00000000000006</v>
      </c>
      <c r="BL87" s="282">
        <f t="shared" si="61"/>
        <v>500.00000000000006</v>
      </c>
      <c r="BM87" s="282">
        <f t="shared" si="61"/>
        <v>500.00000000000006</v>
      </c>
      <c r="BN87" s="282">
        <f t="shared" si="61"/>
        <v>500.00000000000006</v>
      </c>
      <c r="BO87" s="282">
        <f t="shared" si="61"/>
        <v>500.00000000000006</v>
      </c>
      <c r="BP87" s="282">
        <f t="shared" si="61"/>
        <v>500.00000000000006</v>
      </c>
      <c r="BQ87" s="282">
        <f t="shared" si="61"/>
        <v>500.00000000000006</v>
      </c>
      <c r="BR87" s="282">
        <f t="shared" si="61"/>
        <v>500.00000000000006</v>
      </c>
      <c r="BS87" s="282">
        <f t="shared" si="61"/>
        <v>500.00000000000006</v>
      </c>
      <c r="BT87" s="282">
        <f t="shared" si="61"/>
        <v>500.00000000000006</v>
      </c>
      <c r="BU87" s="282">
        <f t="shared" si="61"/>
        <v>500.00000000000006</v>
      </c>
      <c r="BV87" s="282">
        <f t="shared" si="61"/>
        <v>500.00000000000006</v>
      </c>
      <c r="BW87" s="282">
        <f t="shared" si="61"/>
        <v>500.00000000000006</v>
      </c>
      <c r="BX87" s="282">
        <f t="shared" si="61"/>
        <v>500.00000000000006</v>
      </c>
      <c r="BY87" s="282">
        <f t="shared" si="61"/>
        <v>500.00000000000006</v>
      </c>
      <c r="BZ87" s="282">
        <f t="shared" si="61"/>
        <v>500.00000000000006</v>
      </c>
      <c r="CA87" s="282">
        <f t="shared" si="61"/>
        <v>500.00000000000006</v>
      </c>
      <c r="CB87" s="282">
        <f t="shared" si="61"/>
        <v>500.00000000000006</v>
      </c>
      <c r="CC87" s="282">
        <f t="shared" si="61"/>
        <v>500.00000000000006</v>
      </c>
      <c r="CD87" s="282">
        <f t="shared" si="61"/>
        <v>500.00000000000006</v>
      </c>
      <c r="CE87" s="282">
        <f t="shared" si="61"/>
        <v>500.00000000000006</v>
      </c>
      <c r="CF87" s="282">
        <f t="shared" si="61"/>
        <v>500.00000000000006</v>
      </c>
      <c r="CG87" s="282">
        <f t="shared" si="61"/>
        <v>500.00000000000006</v>
      </c>
      <c r="CH87" s="282">
        <f t="shared" si="61"/>
        <v>500.00000000000006</v>
      </c>
      <c r="CI87" s="282">
        <f t="shared" si="61"/>
        <v>500.00000000000006</v>
      </c>
      <c r="CJ87" s="282">
        <f t="shared" si="61"/>
        <v>500.00000000000006</v>
      </c>
      <c r="CK87" s="282">
        <f t="shared" si="61"/>
        <v>500.00000000000006</v>
      </c>
      <c r="CL87" s="282">
        <f t="shared" si="61"/>
        <v>500.00000000000006</v>
      </c>
      <c r="CM87" s="282">
        <f t="shared" si="61"/>
        <v>500.00000000000006</v>
      </c>
      <c r="CN87" s="282">
        <f t="shared" si="61"/>
        <v>500.00000000000006</v>
      </c>
      <c r="CO87" s="282">
        <f t="shared" si="61"/>
        <v>500.00000000000006</v>
      </c>
      <c r="CP87" s="282">
        <f t="shared" si="61"/>
        <v>500.00000000000006</v>
      </c>
      <c r="CQ87" s="282">
        <f t="shared" si="61"/>
        <v>500.00000000000006</v>
      </c>
      <c r="CR87" s="282">
        <f t="shared" si="61"/>
        <v>500.00000000000006</v>
      </c>
      <c r="CS87" s="282">
        <f t="shared" si="61"/>
        <v>500.00000000000006</v>
      </c>
      <c r="CT87" s="282">
        <f t="shared" si="61"/>
        <v>500.00000000000006</v>
      </c>
      <c r="CU87" s="282">
        <f t="shared" si="61"/>
        <v>500.00000000000006</v>
      </c>
      <c r="CV87" s="282">
        <f t="shared" si="61"/>
        <v>500.00000000000006</v>
      </c>
      <c r="CW87" s="282">
        <f t="shared" si="61"/>
        <v>500.00000000000006</v>
      </c>
      <c r="CX87" s="282">
        <f t="shared" si="61"/>
        <v>500.00000000000006</v>
      </c>
      <c r="CY87" s="282">
        <f t="shared" si="61"/>
        <v>500.00000000000006</v>
      </c>
      <c r="CZ87" s="282">
        <f t="shared" si="61"/>
        <v>500.00000000000006</v>
      </c>
      <c r="DA87" s="282">
        <f t="shared" si="61"/>
        <v>500.00000000000006</v>
      </c>
      <c r="DB87" s="282">
        <f t="shared" si="61"/>
        <v>500.00000000000006</v>
      </c>
      <c r="DC87" s="282">
        <f t="shared" si="61"/>
        <v>500.00000000000006</v>
      </c>
      <c r="DD87" s="282">
        <f t="shared" si="61"/>
        <v>500.00000000000006</v>
      </c>
      <c r="DE87" s="282">
        <f t="shared" si="61"/>
        <v>500.00000000000006</v>
      </c>
      <c r="DF87" s="278"/>
      <c r="DG87" s="278"/>
      <c r="DH87" s="278"/>
      <c r="DI87" s="278"/>
      <c r="DJ87" s="278"/>
      <c r="DK87" s="278"/>
      <c r="DL87" s="278"/>
    </row>
    <row r="88" spans="1:116" ht="15.75" customHeight="1" outlineLevel="1" x14ac:dyDescent="0.25">
      <c r="A88" s="751"/>
      <c r="B88" s="751"/>
      <c r="C88" s="321" t="s">
        <v>333</v>
      </c>
      <c r="D88" s="280" t="s">
        <v>334</v>
      </c>
      <c r="E88" s="280" t="s">
        <v>122</v>
      </c>
      <c r="F88" s="280"/>
      <c r="G88" s="411">
        <f>'Summary of CBA'!$D$8</f>
        <v>800</v>
      </c>
      <c r="H88" s="300">
        <f t="shared" si="60"/>
        <v>800</v>
      </c>
      <c r="I88" s="301">
        <f t="shared" ref="I88:DE88" si="62">H88</f>
        <v>800</v>
      </c>
      <c r="J88" s="301">
        <f t="shared" si="62"/>
        <v>800</v>
      </c>
      <c r="K88" s="301">
        <f t="shared" si="62"/>
        <v>800</v>
      </c>
      <c r="L88" s="301">
        <f t="shared" si="62"/>
        <v>800</v>
      </c>
      <c r="M88" s="301">
        <f t="shared" si="62"/>
        <v>800</v>
      </c>
      <c r="N88" s="301">
        <f t="shared" si="62"/>
        <v>800</v>
      </c>
      <c r="O88" s="301">
        <f t="shared" si="62"/>
        <v>800</v>
      </c>
      <c r="P88" s="301">
        <f t="shared" si="62"/>
        <v>800</v>
      </c>
      <c r="Q88" s="301">
        <f t="shared" si="62"/>
        <v>800</v>
      </c>
      <c r="R88" s="301">
        <f t="shared" si="62"/>
        <v>800</v>
      </c>
      <c r="S88" s="301">
        <f t="shared" si="62"/>
        <v>800</v>
      </c>
      <c r="T88" s="301">
        <f t="shared" si="62"/>
        <v>800</v>
      </c>
      <c r="U88" s="301">
        <f t="shared" si="62"/>
        <v>800</v>
      </c>
      <c r="V88" s="301">
        <f t="shared" si="62"/>
        <v>800</v>
      </c>
      <c r="W88" s="301">
        <f t="shared" si="62"/>
        <v>800</v>
      </c>
      <c r="X88" s="301">
        <f t="shared" si="62"/>
        <v>800</v>
      </c>
      <c r="Y88" s="301">
        <f t="shared" si="62"/>
        <v>800</v>
      </c>
      <c r="Z88" s="301">
        <f t="shared" si="62"/>
        <v>800</v>
      </c>
      <c r="AA88" s="301">
        <f t="shared" si="62"/>
        <v>800</v>
      </c>
      <c r="AB88" s="301">
        <f t="shared" si="62"/>
        <v>800</v>
      </c>
      <c r="AC88" s="301">
        <f t="shared" si="62"/>
        <v>800</v>
      </c>
      <c r="AD88" s="301">
        <f t="shared" si="62"/>
        <v>800</v>
      </c>
      <c r="AE88" s="301">
        <f t="shared" si="62"/>
        <v>800</v>
      </c>
      <c r="AF88" s="301">
        <f t="shared" si="62"/>
        <v>800</v>
      </c>
      <c r="AG88" s="301">
        <f t="shared" si="62"/>
        <v>800</v>
      </c>
      <c r="AH88" s="301">
        <f t="shared" si="62"/>
        <v>800</v>
      </c>
      <c r="AI88" s="301">
        <f t="shared" si="62"/>
        <v>800</v>
      </c>
      <c r="AJ88" s="301">
        <f t="shared" si="62"/>
        <v>800</v>
      </c>
      <c r="AK88" s="301">
        <f t="shared" si="62"/>
        <v>800</v>
      </c>
      <c r="AL88" s="301">
        <f t="shared" si="62"/>
        <v>800</v>
      </c>
      <c r="AM88" s="301">
        <f t="shared" si="62"/>
        <v>800</v>
      </c>
      <c r="AN88" s="301">
        <f t="shared" si="62"/>
        <v>800</v>
      </c>
      <c r="AO88" s="301">
        <f t="shared" si="62"/>
        <v>800</v>
      </c>
      <c r="AP88" s="301">
        <f t="shared" si="62"/>
        <v>800</v>
      </c>
      <c r="AQ88" s="301">
        <f t="shared" si="62"/>
        <v>800</v>
      </c>
      <c r="AR88" s="301">
        <f t="shared" si="62"/>
        <v>800</v>
      </c>
      <c r="AS88" s="301">
        <f t="shared" si="62"/>
        <v>800</v>
      </c>
      <c r="AT88" s="301">
        <f t="shared" si="62"/>
        <v>800</v>
      </c>
      <c r="AU88" s="301">
        <f t="shared" si="62"/>
        <v>800</v>
      </c>
      <c r="AV88" s="301">
        <f t="shared" si="62"/>
        <v>800</v>
      </c>
      <c r="AW88" s="301">
        <f t="shared" si="62"/>
        <v>800</v>
      </c>
      <c r="AX88" s="301">
        <f t="shared" si="62"/>
        <v>800</v>
      </c>
      <c r="AY88" s="301">
        <f t="shared" si="62"/>
        <v>800</v>
      </c>
      <c r="AZ88" s="301">
        <f t="shared" si="62"/>
        <v>800</v>
      </c>
      <c r="BA88" s="301">
        <f t="shared" si="62"/>
        <v>800</v>
      </c>
      <c r="BB88" s="301">
        <f t="shared" si="62"/>
        <v>800</v>
      </c>
      <c r="BC88" s="301">
        <f t="shared" si="62"/>
        <v>800</v>
      </c>
      <c r="BD88" s="301">
        <f t="shared" si="62"/>
        <v>800</v>
      </c>
      <c r="BE88" s="301">
        <f t="shared" si="62"/>
        <v>800</v>
      </c>
      <c r="BF88" s="301">
        <f t="shared" si="62"/>
        <v>800</v>
      </c>
      <c r="BG88" s="301">
        <f t="shared" si="62"/>
        <v>800</v>
      </c>
      <c r="BH88" s="301">
        <f t="shared" si="62"/>
        <v>800</v>
      </c>
      <c r="BI88" s="301">
        <f t="shared" si="62"/>
        <v>800</v>
      </c>
      <c r="BJ88" s="301">
        <f t="shared" si="62"/>
        <v>800</v>
      </c>
      <c r="BK88" s="301">
        <f t="shared" si="62"/>
        <v>800</v>
      </c>
      <c r="BL88" s="301">
        <f t="shared" si="62"/>
        <v>800</v>
      </c>
      <c r="BM88" s="301">
        <f t="shared" si="62"/>
        <v>800</v>
      </c>
      <c r="BN88" s="301">
        <f t="shared" si="62"/>
        <v>800</v>
      </c>
      <c r="BO88" s="301">
        <f t="shared" si="62"/>
        <v>800</v>
      </c>
      <c r="BP88" s="301">
        <f t="shared" si="62"/>
        <v>800</v>
      </c>
      <c r="BQ88" s="301">
        <f t="shared" si="62"/>
        <v>800</v>
      </c>
      <c r="BR88" s="301">
        <f t="shared" si="62"/>
        <v>800</v>
      </c>
      <c r="BS88" s="301">
        <f t="shared" si="62"/>
        <v>800</v>
      </c>
      <c r="BT88" s="301">
        <f t="shared" si="62"/>
        <v>800</v>
      </c>
      <c r="BU88" s="301">
        <f t="shared" si="62"/>
        <v>800</v>
      </c>
      <c r="BV88" s="301">
        <f t="shared" si="62"/>
        <v>800</v>
      </c>
      <c r="BW88" s="301">
        <f t="shared" si="62"/>
        <v>800</v>
      </c>
      <c r="BX88" s="301">
        <f t="shared" si="62"/>
        <v>800</v>
      </c>
      <c r="BY88" s="301">
        <f t="shared" si="62"/>
        <v>800</v>
      </c>
      <c r="BZ88" s="301">
        <f t="shared" si="62"/>
        <v>800</v>
      </c>
      <c r="CA88" s="301">
        <f t="shared" si="62"/>
        <v>800</v>
      </c>
      <c r="CB88" s="301">
        <f t="shared" si="62"/>
        <v>800</v>
      </c>
      <c r="CC88" s="301">
        <f t="shared" si="62"/>
        <v>800</v>
      </c>
      <c r="CD88" s="301">
        <f t="shared" si="62"/>
        <v>800</v>
      </c>
      <c r="CE88" s="301">
        <f t="shared" si="62"/>
        <v>800</v>
      </c>
      <c r="CF88" s="301">
        <f t="shared" si="62"/>
        <v>800</v>
      </c>
      <c r="CG88" s="301">
        <f t="shared" si="62"/>
        <v>800</v>
      </c>
      <c r="CH88" s="301">
        <f t="shared" si="62"/>
        <v>800</v>
      </c>
      <c r="CI88" s="301">
        <f t="shared" si="62"/>
        <v>800</v>
      </c>
      <c r="CJ88" s="301">
        <f t="shared" si="62"/>
        <v>800</v>
      </c>
      <c r="CK88" s="301">
        <f t="shared" si="62"/>
        <v>800</v>
      </c>
      <c r="CL88" s="301">
        <f t="shared" si="62"/>
        <v>800</v>
      </c>
      <c r="CM88" s="301">
        <f t="shared" si="62"/>
        <v>800</v>
      </c>
      <c r="CN88" s="301">
        <f t="shared" si="62"/>
        <v>800</v>
      </c>
      <c r="CO88" s="301">
        <f t="shared" si="62"/>
        <v>800</v>
      </c>
      <c r="CP88" s="301">
        <f t="shared" si="62"/>
        <v>800</v>
      </c>
      <c r="CQ88" s="301">
        <f t="shared" si="62"/>
        <v>800</v>
      </c>
      <c r="CR88" s="301">
        <f t="shared" si="62"/>
        <v>800</v>
      </c>
      <c r="CS88" s="301">
        <f t="shared" si="62"/>
        <v>800</v>
      </c>
      <c r="CT88" s="301">
        <f t="shared" si="62"/>
        <v>800</v>
      </c>
      <c r="CU88" s="301">
        <f t="shared" si="62"/>
        <v>800</v>
      </c>
      <c r="CV88" s="301">
        <f t="shared" si="62"/>
        <v>800</v>
      </c>
      <c r="CW88" s="301">
        <f t="shared" si="62"/>
        <v>800</v>
      </c>
      <c r="CX88" s="301">
        <f t="shared" si="62"/>
        <v>800</v>
      </c>
      <c r="CY88" s="301">
        <f t="shared" si="62"/>
        <v>800</v>
      </c>
      <c r="CZ88" s="301">
        <f t="shared" si="62"/>
        <v>800</v>
      </c>
      <c r="DA88" s="301">
        <f t="shared" si="62"/>
        <v>800</v>
      </c>
      <c r="DB88" s="301">
        <f t="shared" si="62"/>
        <v>800</v>
      </c>
      <c r="DC88" s="301">
        <f t="shared" si="62"/>
        <v>800</v>
      </c>
      <c r="DD88" s="301">
        <f t="shared" si="62"/>
        <v>800</v>
      </c>
      <c r="DE88" s="301">
        <f t="shared" si="62"/>
        <v>800</v>
      </c>
      <c r="DF88" s="278"/>
      <c r="DG88" s="278"/>
      <c r="DH88" s="278"/>
      <c r="DI88" s="278"/>
      <c r="DJ88" s="278"/>
      <c r="DK88" s="278"/>
      <c r="DL88" s="278"/>
    </row>
    <row r="89" spans="1:116" ht="15.75" customHeight="1" outlineLevel="1" x14ac:dyDescent="0.25">
      <c r="A89" s="751"/>
      <c r="B89" s="380" t="str">
        <f>B85</f>
        <v>Maintenance Cost</v>
      </c>
      <c r="C89" s="355" t="s">
        <v>244</v>
      </c>
      <c r="D89" s="356" t="s">
        <v>247</v>
      </c>
      <c r="E89" s="381"/>
      <c r="F89" s="316" t="s">
        <v>14</v>
      </c>
      <c r="G89" s="317">
        <f t="array" ref="G89">NPV($D$6, J89:DE89)+I89</f>
        <v>220006436.42277294</v>
      </c>
      <c r="H89" s="359">
        <f t="shared" ref="H89:I89" si="63">H86*H87*H88</f>
        <v>4458191.7600000007</v>
      </c>
      <c r="I89" s="360">
        <f t="shared" si="63"/>
        <v>4480482.7187999999</v>
      </c>
      <c r="J89" s="360">
        <f t="shared" ref="J89:AO89" si="64">J86*J87*J88*(1 + $D$5)^(J2 - $I$2)</f>
        <v>4592942.8350418797</v>
      </c>
      <c r="K89" s="360">
        <f t="shared" si="64"/>
        <v>4708225.7002014313</v>
      </c>
      <c r="L89" s="360">
        <f t="shared" si="64"/>
        <v>4826402.1652764846</v>
      </c>
      <c r="M89" s="360">
        <f t="shared" si="64"/>
        <v>4947544.8596249251</v>
      </c>
      <c r="N89" s="360">
        <f t="shared" si="64"/>
        <v>5071728.2356015099</v>
      </c>
      <c r="O89" s="360">
        <f t="shared" si="64"/>
        <v>5199028.6143151075</v>
      </c>
      <c r="P89" s="360">
        <f t="shared" si="64"/>
        <v>5329524.2325344151</v>
      </c>
      <c r="Q89" s="360">
        <f t="shared" si="64"/>
        <v>5463295.290771029</v>
      </c>
      <c r="R89" s="360">
        <f t="shared" si="64"/>
        <v>5600424.0025693811</v>
      </c>
      <c r="S89" s="360">
        <f t="shared" si="64"/>
        <v>5740994.6450338727</v>
      </c>
      <c r="T89" s="360">
        <f t="shared" si="64"/>
        <v>5885093.6106242212</v>
      </c>
      <c r="U89" s="360">
        <f t="shared" si="64"/>
        <v>6032809.4602508899</v>
      </c>
      <c r="V89" s="360">
        <f t="shared" si="64"/>
        <v>6184232.9777031858</v>
      </c>
      <c r="W89" s="360">
        <f t="shared" si="64"/>
        <v>6339457.2254435355</v>
      </c>
      <c r="X89" s="360">
        <f t="shared" si="64"/>
        <v>6498577.6018021656</v>
      </c>
      <c r="Y89" s="360">
        <f t="shared" si="64"/>
        <v>6661691.8996073995</v>
      </c>
      <c r="Z89" s="360">
        <f t="shared" si="64"/>
        <v>6828900.3662875462</v>
      </c>
      <c r="AA89" s="360">
        <f t="shared" si="64"/>
        <v>7000305.7654813612</v>
      </c>
      <c r="AB89" s="360">
        <f t="shared" si="64"/>
        <v>7176013.4401949439</v>
      </c>
      <c r="AC89" s="360">
        <f t="shared" si="64"/>
        <v>7356131.3775438368</v>
      </c>
      <c r="AD89" s="360">
        <f t="shared" si="64"/>
        <v>7540770.2751201866</v>
      </c>
      <c r="AE89" s="360">
        <f t="shared" si="64"/>
        <v>7730043.6090257019</v>
      </c>
      <c r="AF89" s="360">
        <f t="shared" si="64"/>
        <v>7924067.7036122447</v>
      </c>
      <c r="AG89" s="360">
        <f t="shared" si="64"/>
        <v>8122961.8029729109</v>
      </c>
      <c r="AH89" s="360">
        <f t="shared" si="64"/>
        <v>8326848.1442275289</v>
      </c>
      <c r="AI89" s="360">
        <f t="shared" si="64"/>
        <v>8493385.1071120799</v>
      </c>
      <c r="AJ89" s="360">
        <f t="shared" si="64"/>
        <v>8663252.8092543203</v>
      </c>
      <c r="AK89" s="360">
        <f t="shared" si="64"/>
        <v>8836517.8654394094</v>
      </c>
      <c r="AL89" s="360">
        <f t="shared" si="64"/>
        <v>9013248.2227481958</v>
      </c>
      <c r="AM89" s="360">
        <f t="shared" si="64"/>
        <v>9193513.1872031596</v>
      </c>
      <c r="AN89" s="360">
        <f t="shared" si="64"/>
        <v>9377383.4509472214</v>
      </c>
      <c r="AO89" s="360">
        <f t="shared" si="64"/>
        <v>9564931.119966168</v>
      </c>
      <c r="AP89" s="360">
        <f t="shared" ref="AP89:BU89" si="65">AP86*AP87*AP88*(1 + $D$5)^(AP2 - $I$2)</f>
        <v>9756229.7423654925</v>
      </c>
      <c r="AQ89" s="360">
        <f t="shared" si="65"/>
        <v>9951354.337212801</v>
      </c>
      <c r="AR89" s="360">
        <f t="shared" si="65"/>
        <v>10150381.423957055</v>
      </c>
      <c r="AS89" s="360">
        <f t="shared" si="65"/>
        <v>10353389.052436197</v>
      </c>
      <c r="AT89" s="360">
        <f t="shared" si="65"/>
        <v>10560456.833484922</v>
      </c>
      <c r="AU89" s="360">
        <f t="shared" si="65"/>
        <v>10771665.970154623</v>
      </c>
      <c r="AV89" s="360">
        <f t="shared" si="65"/>
        <v>10987099.28955771</v>
      </c>
      <c r="AW89" s="360">
        <f t="shared" si="65"/>
        <v>11206841.275348866</v>
      </c>
      <c r="AX89" s="360">
        <f t="shared" si="65"/>
        <v>11430978.100855844</v>
      </c>
      <c r="AY89" s="360">
        <f t="shared" si="65"/>
        <v>11659597.662872961</v>
      </c>
      <c r="AZ89" s="360">
        <f t="shared" si="65"/>
        <v>11892789.616130419</v>
      </c>
      <c r="BA89" s="360">
        <f t="shared" si="65"/>
        <v>12130645.408453029</v>
      </c>
      <c r="BB89" s="360">
        <f t="shared" si="65"/>
        <v>12373258.316622088</v>
      </c>
      <c r="BC89" s="360">
        <f t="shared" si="65"/>
        <v>12620723.482954532</v>
      </c>
      <c r="BD89" s="360">
        <f t="shared" si="65"/>
        <v>12873137.952613618</v>
      </c>
      <c r="BE89" s="360">
        <f t="shared" si="65"/>
        <v>13130600.711665893</v>
      </c>
      <c r="BF89" s="360">
        <f t="shared" si="65"/>
        <v>13393212.725899212</v>
      </c>
      <c r="BG89" s="360">
        <f t="shared" si="65"/>
        <v>13661076.980417196</v>
      </c>
      <c r="BH89" s="360">
        <f t="shared" si="65"/>
        <v>13934298.520025538</v>
      </c>
      <c r="BI89" s="360">
        <f t="shared" si="65"/>
        <v>14212984.49042605</v>
      </c>
      <c r="BJ89" s="360">
        <f t="shared" si="65"/>
        <v>14497244.18023457</v>
      </c>
      <c r="BK89" s="360">
        <f t="shared" si="65"/>
        <v>14787189.063839262</v>
      </c>
      <c r="BL89" s="360">
        <f t="shared" si="65"/>
        <v>15082932.845116043</v>
      </c>
      <c r="BM89" s="360">
        <f t="shared" si="65"/>
        <v>15384591.502018366</v>
      </c>
      <c r="BN89" s="360">
        <f t="shared" si="65"/>
        <v>15692283.332058733</v>
      </c>
      <c r="BO89" s="360">
        <f t="shared" si="65"/>
        <v>16006128.998699909</v>
      </c>
      <c r="BP89" s="360">
        <f t="shared" si="65"/>
        <v>16326251.578673905</v>
      </c>
      <c r="BQ89" s="360">
        <f t="shared" si="65"/>
        <v>16652776.610247387</v>
      </c>
      <c r="BR89" s="360">
        <f t="shared" si="65"/>
        <v>16985832.142452333</v>
      </c>
      <c r="BS89" s="360">
        <f t="shared" si="65"/>
        <v>17325548.78530138</v>
      </c>
      <c r="BT89" s="360">
        <f t="shared" si="65"/>
        <v>17672059.761007402</v>
      </c>
      <c r="BU89" s="360">
        <f t="shared" si="65"/>
        <v>18025500.956227556</v>
      </c>
      <c r="BV89" s="360">
        <f t="shared" ref="BV89:DA89" si="66">BV86*BV87*BV88*(1 + $D$5)^(BV2 - $I$2)</f>
        <v>18386010.975352108</v>
      </c>
      <c r="BW89" s="360">
        <f t="shared" si="66"/>
        <v>18753731.194859147</v>
      </c>
      <c r="BX89" s="360">
        <f t="shared" si="66"/>
        <v>19128805.818756331</v>
      </c>
      <c r="BY89" s="360">
        <f t="shared" si="66"/>
        <v>19511381.935131457</v>
      </c>
      <c r="BZ89" s="360">
        <f t="shared" si="66"/>
        <v>19901609.573834088</v>
      </c>
      <c r="CA89" s="360">
        <f t="shared" si="66"/>
        <v>20299641.765310772</v>
      </c>
      <c r="CB89" s="360">
        <f t="shared" si="66"/>
        <v>20705634.600616984</v>
      </c>
      <c r="CC89" s="360">
        <f t="shared" si="66"/>
        <v>21119747.292629324</v>
      </c>
      <c r="CD89" s="360">
        <f t="shared" si="66"/>
        <v>21542142.238481909</v>
      </c>
      <c r="CE89" s="360">
        <f t="shared" si="66"/>
        <v>21972985.083251551</v>
      </c>
      <c r="CF89" s="360">
        <f t="shared" si="66"/>
        <v>22412444.784916576</v>
      </c>
      <c r="CG89" s="360">
        <f t="shared" si="66"/>
        <v>22860693.680614911</v>
      </c>
      <c r="CH89" s="360">
        <f t="shared" si="66"/>
        <v>23317907.554227211</v>
      </c>
      <c r="CI89" s="360">
        <f t="shared" si="66"/>
        <v>23784265.705311757</v>
      </c>
      <c r="CJ89" s="360">
        <f t="shared" si="66"/>
        <v>24259951.019417983</v>
      </c>
      <c r="CK89" s="360">
        <f t="shared" si="66"/>
        <v>24745150.039806347</v>
      </c>
      <c r="CL89" s="360">
        <f t="shared" si="66"/>
        <v>25240053.040602472</v>
      </c>
      <c r="CM89" s="360">
        <f t="shared" si="66"/>
        <v>25744854.10141452</v>
      </c>
      <c r="CN89" s="360">
        <f t="shared" si="66"/>
        <v>26259751.183442812</v>
      </c>
      <c r="CO89" s="360">
        <f t="shared" si="66"/>
        <v>26784946.207111668</v>
      </c>
      <c r="CP89" s="360">
        <f t="shared" si="66"/>
        <v>27320645.131253902</v>
      </c>
      <c r="CQ89" s="360">
        <f t="shared" si="66"/>
        <v>27867058.033878982</v>
      </c>
      <c r="CR89" s="360">
        <f t="shared" si="66"/>
        <v>28424399.194556553</v>
      </c>
      <c r="CS89" s="360">
        <f t="shared" si="66"/>
        <v>28992887.178447686</v>
      </c>
      <c r="CT89" s="360">
        <f t="shared" si="66"/>
        <v>29572744.922016643</v>
      </c>
      <c r="CU89" s="360">
        <f t="shared" si="66"/>
        <v>30164199.820456978</v>
      </c>
      <c r="CV89" s="360">
        <f t="shared" si="66"/>
        <v>30767483.816866111</v>
      </c>
      <c r="CW89" s="360">
        <f t="shared" si="66"/>
        <v>31382833.493203443</v>
      </c>
      <c r="CX89" s="360">
        <f t="shared" si="66"/>
        <v>32010490.163067505</v>
      </c>
      <c r="CY89" s="360">
        <f t="shared" si="66"/>
        <v>32650699.966328859</v>
      </c>
      <c r="CZ89" s="360">
        <f t="shared" si="66"/>
        <v>33303713.965655427</v>
      </c>
      <c r="DA89" s="360">
        <f t="shared" si="66"/>
        <v>33969788.244968541</v>
      </c>
      <c r="DB89" s="360">
        <f t="shared" ref="DB89:DE89" si="67">DB86*DB87*DB88*(1 + $D$5)^(DB2 - $I$2)</f>
        <v>34649184.009867914</v>
      </c>
      <c r="DC89" s="360">
        <f t="shared" si="67"/>
        <v>35342167.690065272</v>
      </c>
      <c r="DD89" s="360">
        <f t="shared" si="67"/>
        <v>36049011.043866575</v>
      </c>
      <c r="DE89" s="360">
        <f t="shared" si="67"/>
        <v>36769991.264743902</v>
      </c>
      <c r="DF89" s="435"/>
      <c r="DG89" s="435"/>
      <c r="DH89" s="435"/>
      <c r="DI89" s="435"/>
      <c r="DJ89" s="435"/>
      <c r="DK89" s="435"/>
      <c r="DL89" s="435"/>
    </row>
    <row r="90" spans="1:116" ht="15.75" customHeight="1" outlineLevel="1" x14ac:dyDescent="0.25">
      <c r="A90" s="751"/>
      <c r="B90" s="424" t="s">
        <v>335</v>
      </c>
      <c r="C90" s="321" t="s">
        <v>336</v>
      </c>
      <c r="D90" s="279" t="s">
        <v>247</v>
      </c>
      <c r="E90" s="280"/>
      <c r="F90" s="280"/>
      <c r="G90" s="280"/>
      <c r="H90" s="436">
        <f>H142</f>
        <v>27.506210581776202</v>
      </c>
      <c r="I90" s="353">
        <f t="shared" ref="I90:AN90" si="68">I53</f>
        <v>27.506210581776202</v>
      </c>
      <c r="J90" s="353">
        <f t="shared" si="68"/>
        <v>28.323567212334815</v>
      </c>
      <c r="K90" s="353">
        <f t="shared" si="68"/>
        <v>29.162615623883063</v>
      </c>
      <c r="L90" s="353">
        <f t="shared" si="68"/>
        <v>30.023896545008306</v>
      </c>
      <c r="M90" s="353">
        <f t="shared" si="68"/>
        <v>30.907963656729006</v>
      </c>
      <c r="N90" s="353">
        <f t="shared" si="68"/>
        <v>31.815383894300531</v>
      </c>
      <c r="O90" s="353">
        <f t="shared" si="68"/>
        <v>32.746737755912228</v>
      </c>
      <c r="P90" s="353">
        <f t="shared" si="68"/>
        <v>33.70261961843066</v>
      </c>
      <c r="Q90" s="353">
        <f t="shared" si="68"/>
        <v>34.683638060347484</v>
      </c>
      <c r="R90" s="353">
        <f t="shared" si="68"/>
        <v>35.690416192093593</v>
      </c>
      <c r="S90" s="353">
        <f t="shared" si="68"/>
        <v>36.723591993885421</v>
      </c>
      <c r="T90" s="353">
        <f t="shared" si="68"/>
        <v>37.783818661272065</v>
      </c>
      <c r="U90" s="353">
        <f t="shared" si="68"/>
        <v>38.871764958556639</v>
      </c>
      <c r="V90" s="353">
        <f t="shared" si="68"/>
        <v>39.988115580268079</v>
      </c>
      <c r="W90" s="353">
        <f t="shared" si="68"/>
        <v>41.133571520864564</v>
      </c>
      <c r="X90" s="353">
        <f t="shared" si="68"/>
        <v>42.308850452852781</v>
      </c>
      <c r="Y90" s="353">
        <f t="shared" si="68"/>
        <v>43.514687113512203</v>
      </c>
      <c r="Z90" s="353">
        <f t="shared" si="68"/>
        <v>44.751833700416853</v>
      </c>
      <c r="AA90" s="353">
        <f t="shared" si="68"/>
        <v>46.021060275952273</v>
      </c>
      <c r="AB90" s="353">
        <f t="shared" si="68"/>
        <v>47.323155181028945</v>
      </c>
      <c r="AC90" s="353">
        <f t="shared" si="68"/>
        <v>48.658925458198318</v>
      </c>
      <c r="AD90" s="353">
        <f t="shared" si="68"/>
        <v>50.029197284382043</v>
      </c>
      <c r="AE90" s="353">
        <f t="shared" si="68"/>
        <v>51.434816413429843</v>
      </c>
      <c r="AF90" s="353">
        <f t="shared" si="68"/>
        <v>52.876648628725789</v>
      </c>
      <c r="AG90" s="353">
        <f t="shared" si="68"/>
        <v>54.355580206068218</v>
      </c>
      <c r="AH90" s="353">
        <f t="shared" si="68"/>
        <v>55.872518387052843</v>
      </c>
      <c r="AI90" s="353">
        <f t="shared" si="68"/>
        <v>57.428391863194442</v>
      </c>
      <c r="AJ90" s="353">
        <f t="shared" si="68"/>
        <v>59.024151271026859</v>
      </c>
      <c r="AK90" s="353">
        <f t="shared" si="68"/>
        <v>60.660769698427323</v>
      </c>
      <c r="AL90" s="353">
        <f t="shared" si="68"/>
        <v>62.339243202415368</v>
      </c>
      <c r="AM90" s="353">
        <f t="shared" si="68"/>
        <v>64.060591338683579</v>
      </c>
      <c r="AN90" s="353">
        <f t="shared" si="68"/>
        <v>65.825857703121528</v>
      </c>
      <c r="AO90" s="353">
        <f t="shared" ref="AO90:BT90" si="69">AO53</f>
        <v>67.636110485601577</v>
      </c>
      <c r="AP90" s="353">
        <f t="shared" si="69"/>
        <v>69.492443036299534</v>
      </c>
      <c r="AQ90" s="353">
        <f t="shared" si="69"/>
        <v>71.395974444831182</v>
      </c>
      <c r="AR90" s="353">
        <f t="shared" si="69"/>
        <v>73.347850132489569</v>
      </c>
      <c r="AS90" s="353">
        <f t="shared" si="69"/>
        <v>75.349242457876358</v>
      </c>
      <c r="AT90" s="353">
        <f t="shared" si="69"/>
        <v>77.40135133622563</v>
      </c>
      <c r="AU90" s="353">
        <f t="shared" si="69"/>
        <v>79.505404872725748</v>
      </c>
      <c r="AV90" s="353">
        <f t="shared" si="69"/>
        <v>81.662660010151313</v>
      </c>
      <c r="AW90" s="353">
        <f t="shared" si="69"/>
        <v>83.874403191124884</v>
      </c>
      <c r="AX90" s="353">
        <f t="shared" si="69"/>
        <v>86.141951035333292</v>
      </c>
      <c r="AY90" s="353">
        <f t="shared" si="69"/>
        <v>88.466651032033596</v>
      </c>
      <c r="AZ90" s="353">
        <f t="shared" si="69"/>
        <v>90.849882248187768</v>
      </c>
      <c r="BA90" s="353">
        <f t="shared" si="69"/>
        <v>93.293056052575324</v>
      </c>
      <c r="BB90" s="353">
        <f t="shared" si="69"/>
        <v>95.797616856239074</v>
      </c>
      <c r="BC90" s="353">
        <f t="shared" si="69"/>
        <v>98.365042869628383</v>
      </c>
      <c r="BD90" s="353">
        <f t="shared" si="69"/>
        <v>100.99684687681071</v>
      </c>
      <c r="BE90" s="353">
        <f t="shared" si="69"/>
        <v>103.69457702713254</v>
      </c>
      <c r="BF90" s="353">
        <f t="shared" si="69"/>
        <v>106.45981764471648</v>
      </c>
      <c r="BG90" s="353">
        <f t="shared" si="69"/>
        <v>109.29419005619295</v>
      </c>
      <c r="BH90" s="353">
        <f t="shared" si="69"/>
        <v>112.19935343707056</v>
      </c>
      <c r="BI90" s="353">
        <f t="shared" si="69"/>
        <v>115.17700567716085</v>
      </c>
      <c r="BJ90" s="353">
        <f t="shared" si="69"/>
        <v>118.22888426547986</v>
      </c>
      <c r="BK90" s="353">
        <f t="shared" si="69"/>
        <v>121.35676719506083</v>
      </c>
      <c r="BL90" s="353">
        <f t="shared" si="69"/>
        <v>124.56247388811876</v>
      </c>
      <c r="BM90" s="353">
        <f t="shared" si="69"/>
        <v>127.84786614202105</v>
      </c>
      <c r="BN90" s="353">
        <f t="shared" si="69"/>
        <v>131.21484909652415</v>
      </c>
      <c r="BO90" s="353">
        <f t="shared" si="69"/>
        <v>134.66537222275062</v>
      </c>
      <c r="BP90" s="353">
        <f t="shared" si="69"/>
        <v>138.20143033438748</v>
      </c>
      <c r="BQ90" s="353">
        <f t="shared" si="69"/>
        <v>141.82506462160077</v>
      </c>
      <c r="BR90" s="353">
        <f t="shared" si="69"/>
        <v>145.53836370816879</v>
      </c>
      <c r="BS90" s="353">
        <f t="shared" si="69"/>
        <v>149.3434647323509</v>
      </c>
      <c r="BT90" s="353">
        <f t="shared" si="69"/>
        <v>153.242554452017</v>
      </c>
      <c r="BU90" s="353">
        <f t="shared" ref="BU90:DE90" si="70">BU53</f>
        <v>157.23787037457689</v>
      </c>
      <c r="BV90" s="353">
        <f t="shared" si="70"/>
        <v>161.33170191225832</v>
      </c>
      <c r="BW90" s="353">
        <f t="shared" si="70"/>
        <v>165.52639156329715</v>
      </c>
      <c r="BX90" s="353">
        <f t="shared" si="70"/>
        <v>169.82433611961267</v>
      </c>
      <c r="BY90" s="353">
        <f t="shared" si="70"/>
        <v>174.22798790155548</v>
      </c>
      <c r="BZ90" s="353">
        <f t="shared" si="70"/>
        <v>178.73985602032815</v>
      </c>
      <c r="CA90" s="353">
        <f t="shared" si="70"/>
        <v>183.36250766869108</v>
      </c>
      <c r="CB90" s="353">
        <f t="shared" si="70"/>
        <v>188.09856944058043</v>
      </c>
      <c r="CC90" s="353">
        <f t="shared" si="70"/>
        <v>192.9507286802779</v>
      </c>
      <c r="CD90" s="353">
        <f t="shared" si="70"/>
        <v>197.92173486178697</v>
      </c>
      <c r="CE90" s="353">
        <f t="shared" si="70"/>
        <v>203.01440099908433</v>
      </c>
      <c r="CF90" s="353">
        <f t="shared" si="70"/>
        <v>208.23160508792884</v>
      </c>
      <c r="CG90" s="353">
        <f t="shared" si="70"/>
        <v>213.57629157992758</v>
      </c>
      <c r="CH90" s="353">
        <f t="shared" si="70"/>
        <v>219.05147288957102</v>
      </c>
      <c r="CI90" s="353">
        <f t="shared" si="70"/>
        <v>224.66023093496824</v>
      </c>
      <c r="CJ90" s="353">
        <f t="shared" si="70"/>
        <v>230.40571871302549</v>
      </c>
      <c r="CK90" s="353">
        <f t="shared" si="70"/>
        <v>236.29116190983112</v>
      </c>
      <c r="CL90" s="353">
        <f t="shared" si="70"/>
        <v>242.31986054702372</v>
      </c>
      <c r="CM90" s="353">
        <f t="shared" si="70"/>
        <v>248.49519066494005</v>
      </c>
      <c r="CN90" s="353">
        <f t="shared" si="70"/>
        <v>254.8206060433543</v>
      </c>
      <c r="CO90" s="353">
        <f t="shared" si="70"/>
        <v>261.29963996063913</v>
      </c>
      <c r="CP90" s="353">
        <f t="shared" si="70"/>
        <v>267.935906992198</v>
      </c>
      <c r="CQ90" s="353">
        <f t="shared" si="70"/>
        <v>274.73310484903499</v>
      </c>
      <c r="CR90" s="353">
        <f t="shared" si="70"/>
        <v>281.69501625734847</v>
      </c>
      <c r="CS90" s="353">
        <f t="shared" si="70"/>
        <v>288.82551088005499</v>
      </c>
      <c r="CT90" s="353">
        <f t="shared" si="70"/>
        <v>296.12854728116685</v>
      </c>
      <c r="CU90" s="353">
        <f t="shared" si="70"/>
        <v>303.6081749339711</v>
      </c>
      <c r="CV90" s="353">
        <f t="shared" si="70"/>
        <v>311.26853627397503</v>
      </c>
      <c r="CW90" s="353">
        <f t="shared" si="70"/>
        <v>319.11386879760568</v>
      </c>
      <c r="CX90" s="353">
        <f t="shared" si="70"/>
        <v>327.1485072076718</v>
      </c>
      <c r="CY90" s="353">
        <f t="shared" si="70"/>
        <v>335.37688560662156</v>
      </c>
      <c r="CZ90" s="353">
        <f t="shared" si="70"/>
        <v>343.80353973864618</v>
      </c>
      <c r="DA90" s="353">
        <f t="shared" si="70"/>
        <v>352.43310928170928</v>
      </c>
      <c r="DB90" s="353">
        <f t="shared" si="70"/>
        <v>361.27034019059943</v>
      </c>
      <c r="DC90" s="353">
        <f t="shared" si="70"/>
        <v>370.32008709213238</v>
      </c>
      <c r="DD90" s="353">
        <f t="shared" si="70"/>
        <v>379.58731573365048</v>
      </c>
      <c r="DE90" s="353">
        <f t="shared" si="70"/>
        <v>389.07710548599249</v>
      </c>
      <c r="DF90" s="437"/>
      <c r="DG90" s="437"/>
      <c r="DH90" s="437"/>
      <c r="DI90" s="437"/>
      <c r="DJ90" s="437"/>
      <c r="DK90" s="437"/>
      <c r="DL90" s="437"/>
    </row>
    <row r="91" spans="1:116" ht="15.75" customHeight="1" outlineLevel="1" x14ac:dyDescent="0.25">
      <c r="A91" s="751"/>
      <c r="B91" s="380" t="str">
        <f>B90</f>
        <v>Costs of Accidents to workers</v>
      </c>
      <c r="C91" s="355" t="s">
        <v>244</v>
      </c>
      <c r="D91" s="381" t="s">
        <v>247</v>
      </c>
      <c r="E91" s="381"/>
      <c r="F91" s="316" t="s">
        <v>14</v>
      </c>
      <c r="G91" s="317">
        <f t="array" ref="G91">NPV($D$6, J91:DE91)+I91</f>
        <v>1632.5706787423292</v>
      </c>
      <c r="H91" s="359">
        <f>H142</f>
        <v>27.506210581776202</v>
      </c>
      <c r="I91" s="359">
        <f t="shared" ref="I91:BT91" si="71">I142</f>
        <v>27.506210581776202</v>
      </c>
      <c r="J91" s="359">
        <f t="shared" si="71"/>
        <v>28.323567212334815</v>
      </c>
      <c r="K91" s="359">
        <f t="shared" si="71"/>
        <v>29.162615623883063</v>
      </c>
      <c r="L91" s="359">
        <f t="shared" si="71"/>
        <v>30.023896545008306</v>
      </c>
      <c r="M91" s="359">
        <f t="shared" si="71"/>
        <v>30.907963656729006</v>
      </c>
      <c r="N91" s="359">
        <f t="shared" si="71"/>
        <v>31.815383894300531</v>
      </c>
      <c r="O91" s="359">
        <f t="shared" si="71"/>
        <v>32.746737755912228</v>
      </c>
      <c r="P91" s="359">
        <f t="shared" si="71"/>
        <v>33.70261961843066</v>
      </c>
      <c r="Q91" s="359">
        <f t="shared" si="71"/>
        <v>34.683638060347484</v>
      </c>
      <c r="R91" s="359">
        <f t="shared" si="71"/>
        <v>35.690416192093593</v>
      </c>
      <c r="S91" s="359">
        <f t="shared" si="71"/>
        <v>36.723591993885421</v>
      </c>
      <c r="T91" s="359">
        <f t="shared" si="71"/>
        <v>37.783818661272065</v>
      </c>
      <c r="U91" s="359">
        <f t="shared" si="71"/>
        <v>38.871764958556639</v>
      </c>
      <c r="V91" s="359">
        <f t="shared" si="71"/>
        <v>39.988115580268079</v>
      </c>
      <c r="W91" s="359">
        <f t="shared" si="71"/>
        <v>41.133571520864564</v>
      </c>
      <c r="X91" s="359">
        <f t="shared" si="71"/>
        <v>42.308850452852781</v>
      </c>
      <c r="Y91" s="359">
        <f t="shared" si="71"/>
        <v>43.514687113512203</v>
      </c>
      <c r="Z91" s="359">
        <f t="shared" si="71"/>
        <v>44.751833700416853</v>
      </c>
      <c r="AA91" s="359">
        <f t="shared" si="71"/>
        <v>46.021060275952273</v>
      </c>
      <c r="AB91" s="359">
        <f t="shared" si="71"/>
        <v>47.323155181028945</v>
      </c>
      <c r="AC91" s="359">
        <f t="shared" si="71"/>
        <v>48.658925458198318</v>
      </c>
      <c r="AD91" s="359">
        <f t="shared" si="71"/>
        <v>50.029197284382043</v>
      </c>
      <c r="AE91" s="359">
        <f t="shared" si="71"/>
        <v>51.434816413429843</v>
      </c>
      <c r="AF91" s="359">
        <f t="shared" si="71"/>
        <v>52.876648628725789</v>
      </c>
      <c r="AG91" s="359">
        <f t="shared" si="71"/>
        <v>54.355580206068218</v>
      </c>
      <c r="AH91" s="359">
        <f t="shared" si="71"/>
        <v>55.872518387052843</v>
      </c>
      <c r="AI91" s="359">
        <f t="shared" si="71"/>
        <v>57.428391863194442</v>
      </c>
      <c r="AJ91" s="359">
        <f t="shared" si="71"/>
        <v>59.024151271026859</v>
      </c>
      <c r="AK91" s="359">
        <f t="shared" si="71"/>
        <v>60.660769698427323</v>
      </c>
      <c r="AL91" s="359">
        <f t="shared" si="71"/>
        <v>62.339243202415368</v>
      </c>
      <c r="AM91" s="359">
        <f t="shared" si="71"/>
        <v>64.060591338683579</v>
      </c>
      <c r="AN91" s="359">
        <f t="shared" si="71"/>
        <v>65.825857703121528</v>
      </c>
      <c r="AO91" s="359">
        <f t="shared" si="71"/>
        <v>67.636110485601577</v>
      </c>
      <c r="AP91" s="359">
        <f t="shared" si="71"/>
        <v>69.492443036299534</v>
      </c>
      <c r="AQ91" s="359">
        <f t="shared" si="71"/>
        <v>71.395974444831182</v>
      </c>
      <c r="AR91" s="359">
        <f t="shared" si="71"/>
        <v>73.347850132489569</v>
      </c>
      <c r="AS91" s="359">
        <f t="shared" si="71"/>
        <v>75.349242457876358</v>
      </c>
      <c r="AT91" s="359">
        <f t="shared" si="71"/>
        <v>77.40135133622563</v>
      </c>
      <c r="AU91" s="359">
        <f t="shared" si="71"/>
        <v>79.505404872725748</v>
      </c>
      <c r="AV91" s="359">
        <f t="shared" si="71"/>
        <v>81.662660010151313</v>
      </c>
      <c r="AW91" s="359">
        <f t="shared" si="71"/>
        <v>83.874403191124884</v>
      </c>
      <c r="AX91" s="359">
        <f t="shared" si="71"/>
        <v>86.141951035333292</v>
      </c>
      <c r="AY91" s="359">
        <f t="shared" si="71"/>
        <v>88.466651032033596</v>
      </c>
      <c r="AZ91" s="359">
        <f t="shared" si="71"/>
        <v>90.849882248187768</v>
      </c>
      <c r="BA91" s="359">
        <f t="shared" si="71"/>
        <v>93.293056052575324</v>
      </c>
      <c r="BB91" s="359">
        <f t="shared" si="71"/>
        <v>95.797616856239074</v>
      </c>
      <c r="BC91" s="359">
        <f t="shared" si="71"/>
        <v>98.365042869628383</v>
      </c>
      <c r="BD91" s="359">
        <f t="shared" si="71"/>
        <v>100.99684687681071</v>
      </c>
      <c r="BE91" s="359">
        <f t="shared" si="71"/>
        <v>103.69457702713254</v>
      </c>
      <c r="BF91" s="359">
        <f t="shared" si="71"/>
        <v>106.45981764471648</v>
      </c>
      <c r="BG91" s="359">
        <f t="shared" si="71"/>
        <v>109.29419005619295</v>
      </c>
      <c r="BH91" s="359">
        <f t="shared" si="71"/>
        <v>112.19935343707056</v>
      </c>
      <c r="BI91" s="359">
        <f t="shared" si="71"/>
        <v>115.17700567716085</v>
      </c>
      <c r="BJ91" s="359">
        <f t="shared" si="71"/>
        <v>118.22888426547986</v>
      </c>
      <c r="BK91" s="359">
        <f t="shared" si="71"/>
        <v>121.35676719506083</v>
      </c>
      <c r="BL91" s="359">
        <f t="shared" si="71"/>
        <v>124.56247388811876</v>
      </c>
      <c r="BM91" s="359">
        <f t="shared" si="71"/>
        <v>127.84786614202105</v>
      </c>
      <c r="BN91" s="359">
        <f t="shared" si="71"/>
        <v>131.21484909652415</v>
      </c>
      <c r="BO91" s="359">
        <f t="shared" si="71"/>
        <v>134.66537222275062</v>
      </c>
      <c r="BP91" s="359">
        <f t="shared" si="71"/>
        <v>138.20143033438748</v>
      </c>
      <c r="BQ91" s="359">
        <f t="shared" si="71"/>
        <v>141.82506462160077</v>
      </c>
      <c r="BR91" s="359">
        <f t="shared" si="71"/>
        <v>145.53836370816879</v>
      </c>
      <c r="BS91" s="359">
        <f t="shared" si="71"/>
        <v>149.3434647323509</v>
      </c>
      <c r="BT91" s="359">
        <f t="shared" si="71"/>
        <v>153.242554452017</v>
      </c>
      <c r="BU91" s="359">
        <f t="shared" ref="BU91:DL91" si="72">BU142</f>
        <v>157.23787037457689</v>
      </c>
      <c r="BV91" s="359">
        <f t="shared" si="72"/>
        <v>161.33170191225832</v>
      </c>
      <c r="BW91" s="359">
        <f t="shared" si="72"/>
        <v>165.52639156329715</v>
      </c>
      <c r="BX91" s="359">
        <f t="shared" si="72"/>
        <v>169.82433611961267</v>
      </c>
      <c r="BY91" s="359">
        <f t="shared" si="72"/>
        <v>174.22798790155548</v>
      </c>
      <c r="BZ91" s="359">
        <f t="shared" si="72"/>
        <v>178.73985602032815</v>
      </c>
      <c r="CA91" s="359">
        <f t="shared" si="72"/>
        <v>183.36250766869108</v>
      </c>
      <c r="CB91" s="359">
        <f t="shared" si="72"/>
        <v>188.09856944058043</v>
      </c>
      <c r="CC91" s="359">
        <f t="shared" si="72"/>
        <v>192.9507286802779</v>
      </c>
      <c r="CD91" s="359">
        <f t="shared" si="72"/>
        <v>197.92173486178697</v>
      </c>
      <c r="CE91" s="359">
        <f t="shared" si="72"/>
        <v>203.01440099908433</v>
      </c>
      <c r="CF91" s="359">
        <f t="shared" si="72"/>
        <v>208.23160508792884</v>
      </c>
      <c r="CG91" s="359">
        <f t="shared" si="72"/>
        <v>213.57629157992758</v>
      </c>
      <c r="CH91" s="359">
        <f t="shared" si="72"/>
        <v>219.05147288957102</v>
      </c>
      <c r="CI91" s="359">
        <f t="shared" si="72"/>
        <v>224.66023093496824</v>
      </c>
      <c r="CJ91" s="359">
        <f t="shared" si="72"/>
        <v>230.40571871302549</v>
      </c>
      <c r="CK91" s="359">
        <f t="shared" si="72"/>
        <v>236.29116190983112</v>
      </c>
      <c r="CL91" s="359">
        <f t="shared" si="72"/>
        <v>242.31986054702372</v>
      </c>
      <c r="CM91" s="359">
        <f t="shared" si="72"/>
        <v>248.49519066494005</v>
      </c>
      <c r="CN91" s="359">
        <f t="shared" si="72"/>
        <v>254.8206060433543</v>
      </c>
      <c r="CO91" s="359">
        <f t="shared" si="72"/>
        <v>261.29963996063913</v>
      </c>
      <c r="CP91" s="359">
        <f t="shared" si="72"/>
        <v>267.935906992198</v>
      </c>
      <c r="CQ91" s="359">
        <f t="shared" si="72"/>
        <v>274.73310484903499</v>
      </c>
      <c r="CR91" s="359">
        <f t="shared" si="72"/>
        <v>281.69501625734847</v>
      </c>
      <c r="CS91" s="359">
        <f t="shared" si="72"/>
        <v>288.82551088005499</v>
      </c>
      <c r="CT91" s="359">
        <f t="shared" si="72"/>
        <v>296.12854728116685</v>
      </c>
      <c r="CU91" s="359">
        <f t="shared" si="72"/>
        <v>303.6081749339711</v>
      </c>
      <c r="CV91" s="359">
        <f t="shared" si="72"/>
        <v>311.26853627397503</v>
      </c>
      <c r="CW91" s="359">
        <f t="shared" si="72"/>
        <v>319.11386879760568</v>
      </c>
      <c r="CX91" s="359">
        <f t="shared" si="72"/>
        <v>327.1485072076718</v>
      </c>
      <c r="CY91" s="359">
        <f t="shared" si="72"/>
        <v>335.37688560662156</v>
      </c>
      <c r="CZ91" s="359">
        <f t="shared" si="72"/>
        <v>343.80353973864618</v>
      </c>
      <c r="DA91" s="359">
        <f t="shared" si="72"/>
        <v>352.43310928170928</v>
      </c>
      <c r="DB91" s="359">
        <f t="shared" si="72"/>
        <v>361.27034019059943</v>
      </c>
      <c r="DC91" s="359">
        <f t="shared" si="72"/>
        <v>370.32008709213238</v>
      </c>
      <c r="DD91" s="359">
        <f t="shared" si="72"/>
        <v>379.58731573365048</v>
      </c>
      <c r="DE91" s="359">
        <f t="shared" si="72"/>
        <v>389.07710548599249</v>
      </c>
      <c r="DF91" s="359">
        <f t="shared" si="72"/>
        <v>0</v>
      </c>
      <c r="DG91" s="359">
        <f t="shared" si="72"/>
        <v>0</v>
      </c>
      <c r="DH91" s="359">
        <f t="shared" si="72"/>
        <v>0</v>
      </c>
      <c r="DI91" s="359">
        <f t="shared" si="72"/>
        <v>0</v>
      </c>
      <c r="DJ91" s="359">
        <f t="shared" si="72"/>
        <v>0</v>
      </c>
      <c r="DK91" s="359">
        <f t="shared" si="72"/>
        <v>0</v>
      </c>
      <c r="DL91" s="359">
        <f t="shared" si="72"/>
        <v>0</v>
      </c>
    </row>
    <row r="92" spans="1:116" ht="15.75" customHeight="1" outlineLevel="1" x14ac:dyDescent="0.25">
      <c r="A92" s="751"/>
      <c r="B92" s="758" t="s">
        <v>337</v>
      </c>
      <c r="C92" s="321" t="s">
        <v>338</v>
      </c>
      <c r="D92" s="280" t="s">
        <v>262</v>
      </c>
      <c r="E92" s="367" t="s">
        <v>339</v>
      </c>
      <c r="F92" s="280"/>
      <c r="G92" s="280" t="s">
        <v>340</v>
      </c>
      <c r="H92" s="439">
        <f t="shared" ref="H92:DE92" si="73">66/10</f>
        <v>6.6</v>
      </c>
      <c r="I92" s="308">
        <f t="shared" si="73"/>
        <v>6.6</v>
      </c>
      <c r="J92" s="308">
        <f t="shared" si="73"/>
        <v>6.6</v>
      </c>
      <c r="K92" s="308">
        <f t="shared" si="73"/>
        <v>6.6</v>
      </c>
      <c r="L92" s="308">
        <f t="shared" si="73"/>
        <v>6.6</v>
      </c>
      <c r="M92" s="308">
        <f t="shared" si="73"/>
        <v>6.6</v>
      </c>
      <c r="N92" s="308">
        <f t="shared" si="73"/>
        <v>6.6</v>
      </c>
      <c r="O92" s="308">
        <f t="shared" si="73"/>
        <v>6.6</v>
      </c>
      <c r="P92" s="308">
        <f t="shared" si="73"/>
        <v>6.6</v>
      </c>
      <c r="Q92" s="308">
        <f t="shared" si="73"/>
        <v>6.6</v>
      </c>
      <c r="R92" s="308">
        <f t="shared" si="73"/>
        <v>6.6</v>
      </c>
      <c r="S92" s="308">
        <f t="shared" si="73"/>
        <v>6.6</v>
      </c>
      <c r="T92" s="308">
        <f t="shared" si="73"/>
        <v>6.6</v>
      </c>
      <c r="U92" s="308">
        <f t="shared" si="73"/>
        <v>6.6</v>
      </c>
      <c r="V92" s="308">
        <f t="shared" si="73"/>
        <v>6.6</v>
      </c>
      <c r="W92" s="308">
        <f t="shared" si="73"/>
        <v>6.6</v>
      </c>
      <c r="X92" s="308">
        <f t="shared" si="73"/>
        <v>6.6</v>
      </c>
      <c r="Y92" s="308">
        <f t="shared" si="73"/>
        <v>6.6</v>
      </c>
      <c r="Z92" s="308">
        <f t="shared" si="73"/>
        <v>6.6</v>
      </c>
      <c r="AA92" s="308">
        <f t="shared" si="73"/>
        <v>6.6</v>
      </c>
      <c r="AB92" s="308">
        <f t="shared" si="73"/>
        <v>6.6</v>
      </c>
      <c r="AC92" s="308">
        <f t="shared" si="73"/>
        <v>6.6</v>
      </c>
      <c r="AD92" s="308">
        <f t="shared" si="73"/>
        <v>6.6</v>
      </c>
      <c r="AE92" s="308">
        <f t="shared" si="73"/>
        <v>6.6</v>
      </c>
      <c r="AF92" s="308">
        <f t="shared" si="73"/>
        <v>6.6</v>
      </c>
      <c r="AG92" s="308">
        <f t="shared" si="73"/>
        <v>6.6</v>
      </c>
      <c r="AH92" s="308">
        <f t="shared" si="73"/>
        <v>6.6</v>
      </c>
      <c r="AI92" s="308">
        <f t="shared" si="73"/>
        <v>6.6</v>
      </c>
      <c r="AJ92" s="308">
        <f t="shared" si="73"/>
        <v>6.6</v>
      </c>
      <c r="AK92" s="308">
        <f t="shared" si="73"/>
        <v>6.6</v>
      </c>
      <c r="AL92" s="308">
        <f t="shared" si="73"/>
        <v>6.6</v>
      </c>
      <c r="AM92" s="308">
        <f t="shared" si="73"/>
        <v>6.6</v>
      </c>
      <c r="AN92" s="308">
        <f t="shared" si="73"/>
        <v>6.6</v>
      </c>
      <c r="AO92" s="308">
        <f t="shared" si="73"/>
        <v>6.6</v>
      </c>
      <c r="AP92" s="308">
        <f t="shared" si="73"/>
        <v>6.6</v>
      </c>
      <c r="AQ92" s="308">
        <f t="shared" si="73"/>
        <v>6.6</v>
      </c>
      <c r="AR92" s="308">
        <f t="shared" si="73"/>
        <v>6.6</v>
      </c>
      <c r="AS92" s="308">
        <f t="shared" si="73"/>
        <v>6.6</v>
      </c>
      <c r="AT92" s="308">
        <f t="shared" si="73"/>
        <v>6.6</v>
      </c>
      <c r="AU92" s="308">
        <f t="shared" si="73"/>
        <v>6.6</v>
      </c>
      <c r="AV92" s="308">
        <f t="shared" si="73"/>
        <v>6.6</v>
      </c>
      <c r="AW92" s="308">
        <f t="shared" si="73"/>
        <v>6.6</v>
      </c>
      <c r="AX92" s="308">
        <f t="shared" si="73"/>
        <v>6.6</v>
      </c>
      <c r="AY92" s="308">
        <f t="shared" si="73"/>
        <v>6.6</v>
      </c>
      <c r="AZ92" s="308">
        <f t="shared" si="73"/>
        <v>6.6</v>
      </c>
      <c r="BA92" s="308">
        <f t="shared" si="73"/>
        <v>6.6</v>
      </c>
      <c r="BB92" s="308">
        <f t="shared" si="73"/>
        <v>6.6</v>
      </c>
      <c r="BC92" s="308">
        <f t="shared" si="73"/>
        <v>6.6</v>
      </c>
      <c r="BD92" s="308">
        <f t="shared" si="73"/>
        <v>6.6</v>
      </c>
      <c r="BE92" s="308">
        <f t="shared" si="73"/>
        <v>6.6</v>
      </c>
      <c r="BF92" s="308">
        <f t="shared" si="73"/>
        <v>6.6</v>
      </c>
      <c r="BG92" s="308">
        <f t="shared" si="73"/>
        <v>6.6</v>
      </c>
      <c r="BH92" s="308">
        <f t="shared" si="73"/>
        <v>6.6</v>
      </c>
      <c r="BI92" s="308">
        <f t="shared" si="73"/>
        <v>6.6</v>
      </c>
      <c r="BJ92" s="308">
        <f t="shared" si="73"/>
        <v>6.6</v>
      </c>
      <c r="BK92" s="308">
        <f t="shared" si="73"/>
        <v>6.6</v>
      </c>
      <c r="BL92" s="308">
        <f t="shared" si="73"/>
        <v>6.6</v>
      </c>
      <c r="BM92" s="308">
        <f t="shared" si="73"/>
        <v>6.6</v>
      </c>
      <c r="BN92" s="308">
        <f t="shared" si="73"/>
        <v>6.6</v>
      </c>
      <c r="BO92" s="308">
        <f t="shared" si="73"/>
        <v>6.6</v>
      </c>
      <c r="BP92" s="308">
        <f t="shared" si="73"/>
        <v>6.6</v>
      </c>
      <c r="BQ92" s="308">
        <f t="shared" si="73"/>
        <v>6.6</v>
      </c>
      <c r="BR92" s="308">
        <f t="shared" si="73"/>
        <v>6.6</v>
      </c>
      <c r="BS92" s="308">
        <f t="shared" si="73"/>
        <v>6.6</v>
      </c>
      <c r="BT92" s="308">
        <f t="shared" si="73"/>
        <v>6.6</v>
      </c>
      <c r="BU92" s="308">
        <f t="shared" si="73"/>
        <v>6.6</v>
      </c>
      <c r="BV92" s="308">
        <f t="shared" si="73"/>
        <v>6.6</v>
      </c>
      <c r="BW92" s="308">
        <f t="shared" si="73"/>
        <v>6.6</v>
      </c>
      <c r="BX92" s="308">
        <f t="shared" si="73"/>
        <v>6.6</v>
      </c>
      <c r="BY92" s="308">
        <f t="shared" si="73"/>
        <v>6.6</v>
      </c>
      <c r="BZ92" s="308">
        <f t="shared" si="73"/>
        <v>6.6</v>
      </c>
      <c r="CA92" s="308">
        <f t="shared" si="73"/>
        <v>6.6</v>
      </c>
      <c r="CB92" s="308">
        <f t="shared" si="73"/>
        <v>6.6</v>
      </c>
      <c r="CC92" s="308">
        <f t="shared" si="73"/>
        <v>6.6</v>
      </c>
      <c r="CD92" s="308">
        <f t="shared" si="73"/>
        <v>6.6</v>
      </c>
      <c r="CE92" s="308">
        <f t="shared" si="73"/>
        <v>6.6</v>
      </c>
      <c r="CF92" s="308">
        <f t="shared" si="73"/>
        <v>6.6</v>
      </c>
      <c r="CG92" s="308">
        <f t="shared" si="73"/>
        <v>6.6</v>
      </c>
      <c r="CH92" s="308">
        <f t="shared" si="73"/>
        <v>6.6</v>
      </c>
      <c r="CI92" s="308">
        <f t="shared" si="73"/>
        <v>6.6</v>
      </c>
      <c r="CJ92" s="308">
        <f t="shared" si="73"/>
        <v>6.6</v>
      </c>
      <c r="CK92" s="308">
        <f t="shared" si="73"/>
        <v>6.6</v>
      </c>
      <c r="CL92" s="308">
        <f t="shared" si="73"/>
        <v>6.6</v>
      </c>
      <c r="CM92" s="308">
        <f t="shared" si="73"/>
        <v>6.6</v>
      </c>
      <c r="CN92" s="308">
        <f t="shared" si="73"/>
        <v>6.6</v>
      </c>
      <c r="CO92" s="308">
        <f t="shared" si="73"/>
        <v>6.6</v>
      </c>
      <c r="CP92" s="308">
        <f t="shared" si="73"/>
        <v>6.6</v>
      </c>
      <c r="CQ92" s="308">
        <f t="shared" si="73"/>
        <v>6.6</v>
      </c>
      <c r="CR92" s="308">
        <f t="shared" si="73"/>
        <v>6.6</v>
      </c>
      <c r="CS92" s="308">
        <f t="shared" si="73"/>
        <v>6.6</v>
      </c>
      <c r="CT92" s="308">
        <f t="shared" si="73"/>
        <v>6.6</v>
      </c>
      <c r="CU92" s="308">
        <f t="shared" si="73"/>
        <v>6.6</v>
      </c>
      <c r="CV92" s="308">
        <f t="shared" si="73"/>
        <v>6.6</v>
      </c>
      <c r="CW92" s="308">
        <f t="shared" si="73"/>
        <v>6.6</v>
      </c>
      <c r="CX92" s="308">
        <f t="shared" si="73"/>
        <v>6.6</v>
      </c>
      <c r="CY92" s="308">
        <f t="shared" si="73"/>
        <v>6.6</v>
      </c>
      <c r="CZ92" s="308">
        <f t="shared" si="73"/>
        <v>6.6</v>
      </c>
      <c r="DA92" s="308">
        <f t="shared" si="73"/>
        <v>6.6</v>
      </c>
      <c r="DB92" s="308">
        <f t="shared" si="73"/>
        <v>6.6</v>
      </c>
      <c r="DC92" s="308">
        <f t="shared" si="73"/>
        <v>6.6</v>
      </c>
      <c r="DD92" s="308">
        <f t="shared" si="73"/>
        <v>6.6</v>
      </c>
      <c r="DE92" s="308">
        <f t="shared" si="73"/>
        <v>6.6</v>
      </c>
      <c r="DF92" s="308"/>
      <c r="DG92" s="308"/>
      <c r="DH92" s="308"/>
      <c r="DI92" s="308"/>
      <c r="DJ92" s="308"/>
      <c r="DK92" s="308"/>
      <c r="DL92" s="308"/>
    </row>
    <row r="93" spans="1:116" ht="15.75" customHeight="1" outlineLevel="1" x14ac:dyDescent="0.25">
      <c r="A93" s="751"/>
      <c r="B93" s="751"/>
      <c r="C93" s="321" t="s">
        <v>341</v>
      </c>
      <c r="D93" s="280" t="s">
        <v>342</v>
      </c>
      <c r="E93" s="280" t="s">
        <v>343</v>
      </c>
      <c r="F93" s="280"/>
      <c r="G93" s="280" t="s">
        <v>344</v>
      </c>
      <c r="H93" s="313">
        <f>75000*(1 +2%)^3</f>
        <v>79590.599999999991</v>
      </c>
      <c r="I93" s="301">
        <f t="shared" ref="I93:DE93" si="74">H93</f>
        <v>79590.599999999991</v>
      </c>
      <c r="J93" s="301">
        <f t="shared" si="74"/>
        <v>79590.599999999991</v>
      </c>
      <c r="K93" s="301">
        <f t="shared" si="74"/>
        <v>79590.599999999991</v>
      </c>
      <c r="L93" s="301">
        <f t="shared" si="74"/>
        <v>79590.599999999991</v>
      </c>
      <c r="M93" s="301">
        <f t="shared" si="74"/>
        <v>79590.599999999991</v>
      </c>
      <c r="N93" s="301">
        <f t="shared" si="74"/>
        <v>79590.599999999991</v>
      </c>
      <c r="O93" s="301">
        <f t="shared" si="74"/>
        <v>79590.599999999991</v>
      </c>
      <c r="P93" s="301">
        <f t="shared" si="74"/>
        <v>79590.599999999991</v>
      </c>
      <c r="Q93" s="301">
        <f t="shared" si="74"/>
        <v>79590.599999999991</v>
      </c>
      <c r="R93" s="301">
        <f t="shared" si="74"/>
        <v>79590.599999999991</v>
      </c>
      <c r="S93" s="301">
        <f t="shared" si="74"/>
        <v>79590.599999999991</v>
      </c>
      <c r="T93" s="301">
        <f t="shared" si="74"/>
        <v>79590.599999999991</v>
      </c>
      <c r="U93" s="301">
        <f t="shared" si="74"/>
        <v>79590.599999999991</v>
      </c>
      <c r="V93" s="301">
        <f t="shared" si="74"/>
        <v>79590.599999999991</v>
      </c>
      <c r="W93" s="301">
        <f t="shared" si="74"/>
        <v>79590.599999999991</v>
      </c>
      <c r="X93" s="301">
        <f t="shared" si="74"/>
        <v>79590.599999999991</v>
      </c>
      <c r="Y93" s="301">
        <f t="shared" si="74"/>
        <v>79590.599999999991</v>
      </c>
      <c r="Z93" s="301">
        <f t="shared" si="74"/>
        <v>79590.599999999991</v>
      </c>
      <c r="AA93" s="301">
        <f t="shared" si="74"/>
        <v>79590.599999999991</v>
      </c>
      <c r="AB93" s="301">
        <f t="shared" si="74"/>
        <v>79590.599999999991</v>
      </c>
      <c r="AC93" s="301">
        <f t="shared" si="74"/>
        <v>79590.599999999991</v>
      </c>
      <c r="AD93" s="301">
        <f t="shared" si="74"/>
        <v>79590.599999999991</v>
      </c>
      <c r="AE93" s="301">
        <f t="shared" si="74"/>
        <v>79590.599999999991</v>
      </c>
      <c r="AF93" s="301">
        <f t="shared" si="74"/>
        <v>79590.599999999991</v>
      </c>
      <c r="AG93" s="301">
        <f t="shared" si="74"/>
        <v>79590.599999999991</v>
      </c>
      <c r="AH93" s="301">
        <f t="shared" si="74"/>
        <v>79590.599999999991</v>
      </c>
      <c r="AI93" s="301">
        <f t="shared" si="74"/>
        <v>79590.599999999991</v>
      </c>
      <c r="AJ93" s="301">
        <f t="shared" si="74"/>
        <v>79590.599999999991</v>
      </c>
      <c r="AK93" s="301">
        <f t="shared" si="74"/>
        <v>79590.599999999991</v>
      </c>
      <c r="AL93" s="301">
        <f t="shared" si="74"/>
        <v>79590.599999999991</v>
      </c>
      <c r="AM93" s="301">
        <f t="shared" si="74"/>
        <v>79590.599999999991</v>
      </c>
      <c r="AN93" s="301">
        <f t="shared" si="74"/>
        <v>79590.599999999991</v>
      </c>
      <c r="AO93" s="301">
        <f t="shared" si="74"/>
        <v>79590.599999999991</v>
      </c>
      <c r="AP93" s="301">
        <f t="shared" si="74"/>
        <v>79590.599999999991</v>
      </c>
      <c r="AQ93" s="301">
        <f t="shared" si="74"/>
        <v>79590.599999999991</v>
      </c>
      <c r="AR93" s="301">
        <f t="shared" si="74"/>
        <v>79590.599999999991</v>
      </c>
      <c r="AS93" s="301">
        <f t="shared" si="74"/>
        <v>79590.599999999991</v>
      </c>
      <c r="AT93" s="301">
        <f t="shared" si="74"/>
        <v>79590.599999999991</v>
      </c>
      <c r="AU93" s="301">
        <f t="shared" si="74"/>
        <v>79590.599999999991</v>
      </c>
      <c r="AV93" s="301">
        <f t="shared" si="74"/>
        <v>79590.599999999991</v>
      </c>
      <c r="AW93" s="301">
        <f t="shared" si="74"/>
        <v>79590.599999999991</v>
      </c>
      <c r="AX93" s="301">
        <f t="shared" si="74"/>
        <v>79590.599999999991</v>
      </c>
      <c r="AY93" s="301">
        <f t="shared" si="74"/>
        <v>79590.599999999991</v>
      </c>
      <c r="AZ93" s="301">
        <f t="shared" si="74"/>
        <v>79590.599999999991</v>
      </c>
      <c r="BA93" s="301">
        <f t="shared" si="74"/>
        <v>79590.599999999991</v>
      </c>
      <c r="BB93" s="301">
        <f t="shared" si="74"/>
        <v>79590.599999999991</v>
      </c>
      <c r="BC93" s="301">
        <f t="shared" si="74"/>
        <v>79590.599999999991</v>
      </c>
      <c r="BD93" s="301">
        <f t="shared" si="74"/>
        <v>79590.599999999991</v>
      </c>
      <c r="BE93" s="301">
        <f t="shared" si="74"/>
        <v>79590.599999999991</v>
      </c>
      <c r="BF93" s="301">
        <f t="shared" si="74"/>
        <v>79590.599999999991</v>
      </c>
      <c r="BG93" s="301">
        <f t="shared" si="74"/>
        <v>79590.599999999991</v>
      </c>
      <c r="BH93" s="301">
        <f t="shared" si="74"/>
        <v>79590.599999999991</v>
      </c>
      <c r="BI93" s="301">
        <f t="shared" si="74"/>
        <v>79590.599999999991</v>
      </c>
      <c r="BJ93" s="301">
        <f t="shared" si="74"/>
        <v>79590.599999999991</v>
      </c>
      <c r="BK93" s="301">
        <f t="shared" si="74"/>
        <v>79590.599999999991</v>
      </c>
      <c r="BL93" s="301">
        <f t="shared" si="74"/>
        <v>79590.599999999991</v>
      </c>
      <c r="BM93" s="301">
        <f t="shared" si="74"/>
        <v>79590.599999999991</v>
      </c>
      <c r="BN93" s="301">
        <f t="shared" si="74"/>
        <v>79590.599999999991</v>
      </c>
      <c r="BO93" s="301">
        <f t="shared" si="74"/>
        <v>79590.599999999991</v>
      </c>
      <c r="BP93" s="301">
        <f t="shared" si="74"/>
        <v>79590.599999999991</v>
      </c>
      <c r="BQ93" s="301">
        <f t="shared" si="74"/>
        <v>79590.599999999991</v>
      </c>
      <c r="BR93" s="301">
        <f t="shared" si="74"/>
        <v>79590.599999999991</v>
      </c>
      <c r="BS93" s="301">
        <f t="shared" si="74"/>
        <v>79590.599999999991</v>
      </c>
      <c r="BT93" s="301">
        <f t="shared" si="74"/>
        <v>79590.599999999991</v>
      </c>
      <c r="BU93" s="301">
        <f t="shared" si="74"/>
        <v>79590.599999999991</v>
      </c>
      <c r="BV93" s="301">
        <f t="shared" si="74"/>
        <v>79590.599999999991</v>
      </c>
      <c r="BW93" s="301">
        <f t="shared" si="74"/>
        <v>79590.599999999991</v>
      </c>
      <c r="BX93" s="301">
        <f t="shared" si="74"/>
        <v>79590.599999999991</v>
      </c>
      <c r="BY93" s="301">
        <f t="shared" si="74"/>
        <v>79590.599999999991</v>
      </c>
      <c r="BZ93" s="301">
        <f t="shared" si="74"/>
        <v>79590.599999999991</v>
      </c>
      <c r="CA93" s="301">
        <f t="shared" si="74"/>
        <v>79590.599999999991</v>
      </c>
      <c r="CB93" s="301">
        <f t="shared" si="74"/>
        <v>79590.599999999991</v>
      </c>
      <c r="CC93" s="301">
        <f t="shared" si="74"/>
        <v>79590.599999999991</v>
      </c>
      <c r="CD93" s="301">
        <f t="shared" si="74"/>
        <v>79590.599999999991</v>
      </c>
      <c r="CE93" s="301">
        <f t="shared" si="74"/>
        <v>79590.599999999991</v>
      </c>
      <c r="CF93" s="301">
        <f t="shared" si="74"/>
        <v>79590.599999999991</v>
      </c>
      <c r="CG93" s="301">
        <f t="shared" si="74"/>
        <v>79590.599999999991</v>
      </c>
      <c r="CH93" s="301">
        <f t="shared" si="74"/>
        <v>79590.599999999991</v>
      </c>
      <c r="CI93" s="301">
        <f t="shared" si="74"/>
        <v>79590.599999999991</v>
      </c>
      <c r="CJ93" s="301">
        <f t="shared" si="74"/>
        <v>79590.599999999991</v>
      </c>
      <c r="CK93" s="301">
        <f t="shared" si="74"/>
        <v>79590.599999999991</v>
      </c>
      <c r="CL93" s="301">
        <f t="shared" si="74"/>
        <v>79590.599999999991</v>
      </c>
      <c r="CM93" s="301">
        <f t="shared" si="74"/>
        <v>79590.599999999991</v>
      </c>
      <c r="CN93" s="301">
        <f t="shared" si="74"/>
        <v>79590.599999999991</v>
      </c>
      <c r="CO93" s="301">
        <f t="shared" si="74"/>
        <v>79590.599999999991</v>
      </c>
      <c r="CP93" s="301">
        <f t="shared" si="74"/>
        <v>79590.599999999991</v>
      </c>
      <c r="CQ93" s="301">
        <f t="shared" si="74"/>
        <v>79590.599999999991</v>
      </c>
      <c r="CR93" s="301">
        <f t="shared" si="74"/>
        <v>79590.599999999991</v>
      </c>
      <c r="CS93" s="301">
        <f t="shared" si="74"/>
        <v>79590.599999999991</v>
      </c>
      <c r="CT93" s="301">
        <f t="shared" si="74"/>
        <v>79590.599999999991</v>
      </c>
      <c r="CU93" s="301">
        <f t="shared" si="74"/>
        <v>79590.599999999991</v>
      </c>
      <c r="CV93" s="301">
        <f t="shared" si="74"/>
        <v>79590.599999999991</v>
      </c>
      <c r="CW93" s="301">
        <f t="shared" si="74"/>
        <v>79590.599999999991</v>
      </c>
      <c r="CX93" s="301">
        <f t="shared" si="74"/>
        <v>79590.599999999991</v>
      </c>
      <c r="CY93" s="301">
        <f t="shared" si="74"/>
        <v>79590.599999999991</v>
      </c>
      <c r="CZ93" s="301">
        <f t="shared" si="74"/>
        <v>79590.599999999991</v>
      </c>
      <c r="DA93" s="301">
        <f t="shared" si="74"/>
        <v>79590.599999999991</v>
      </c>
      <c r="DB93" s="301">
        <f t="shared" si="74"/>
        <v>79590.599999999991</v>
      </c>
      <c r="DC93" s="301">
        <f t="shared" si="74"/>
        <v>79590.599999999991</v>
      </c>
      <c r="DD93" s="301">
        <f t="shared" si="74"/>
        <v>79590.599999999991</v>
      </c>
      <c r="DE93" s="301">
        <f t="shared" si="74"/>
        <v>79590.599999999991</v>
      </c>
      <c r="DF93" s="308"/>
      <c r="DG93" s="308"/>
      <c r="DH93" s="308"/>
      <c r="DI93" s="308"/>
      <c r="DJ93" s="308"/>
      <c r="DK93" s="308"/>
      <c r="DL93" s="308"/>
    </row>
    <row r="94" spans="1:116" ht="15.75" customHeight="1" outlineLevel="1" x14ac:dyDescent="0.25">
      <c r="A94" s="751"/>
      <c r="B94" s="751"/>
      <c r="C94" s="347" t="s">
        <v>345</v>
      </c>
      <c r="D94" s="349" t="s">
        <v>346</v>
      </c>
      <c r="E94" s="349"/>
      <c r="F94" s="349"/>
      <c r="G94" s="349"/>
      <c r="H94" s="335">
        <f t="shared" ref="H94:DE94" si="75">H92*H93</f>
        <v>525297.96</v>
      </c>
      <c r="I94" s="336">
        <f t="shared" si="75"/>
        <v>525297.96</v>
      </c>
      <c r="J94" s="336">
        <f t="shared" si="75"/>
        <v>525297.96</v>
      </c>
      <c r="K94" s="336">
        <f t="shared" si="75"/>
        <v>525297.96</v>
      </c>
      <c r="L94" s="336">
        <f t="shared" si="75"/>
        <v>525297.96</v>
      </c>
      <c r="M94" s="336">
        <f t="shared" si="75"/>
        <v>525297.96</v>
      </c>
      <c r="N94" s="336">
        <f t="shared" si="75"/>
        <v>525297.96</v>
      </c>
      <c r="O94" s="336">
        <f t="shared" si="75"/>
        <v>525297.96</v>
      </c>
      <c r="P94" s="336">
        <f t="shared" si="75"/>
        <v>525297.96</v>
      </c>
      <c r="Q94" s="336">
        <f t="shared" si="75"/>
        <v>525297.96</v>
      </c>
      <c r="R94" s="336">
        <f t="shared" si="75"/>
        <v>525297.96</v>
      </c>
      <c r="S94" s="336">
        <f t="shared" si="75"/>
        <v>525297.96</v>
      </c>
      <c r="T94" s="336">
        <f t="shared" si="75"/>
        <v>525297.96</v>
      </c>
      <c r="U94" s="336">
        <f t="shared" si="75"/>
        <v>525297.96</v>
      </c>
      <c r="V94" s="336">
        <f t="shared" si="75"/>
        <v>525297.96</v>
      </c>
      <c r="W94" s="336">
        <f t="shared" si="75"/>
        <v>525297.96</v>
      </c>
      <c r="X94" s="336">
        <f t="shared" si="75"/>
        <v>525297.96</v>
      </c>
      <c r="Y94" s="336">
        <f t="shared" si="75"/>
        <v>525297.96</v>
      </c>
      <c r="Z94" s="336">
        <f t="shared" si="75"/>
        <v>525297.96</v>
      </c>
      <c r="AA94" s="336">
        <f t="shared" si="75"/>
        <v>525297.96</v>
      </c>
      <c r="AB94" s="336">
        <f t="shared" si="75"/>
        <v>525297.96</v>
      </c>
      <c r="AC94" s="336">
        <f t="shared" si="75"/>
        <v>525297.96</v>
      </c>
      <c r="AD94" s="336">
        <f t="shared" si="75"/>
        <v>525297.96</v>
      </c>
      <c r="AE94" s="336">
        <f t="shared" si="75"/>
        <v>525297.96</v>
      </c>
      <c r="AF94" s="336">
        <f t="shared" si="75"/>
        <v>525297.96</v>
      </c>
      <c r="AG94" s="336">
        <f t="shared" si="75"/>
        <v>525297.96</v>
      </c>
      <c r="AH94" s="336">
        <f t="shared" si="75"/>
        <v>525297.96</v>
      </c>
      <c r="AI94" s="336">
        <f t="shared" si="75"/>
        <v>525297.96</v>
      </c>
      <c r="AJ94" s="336">
        <f t="shared" si="75"/>
        <v>525297.96</v>
      </c>
      <c r="AK94" s="336">
        <f t="shared" si="75"/>
        <v>525297.96</v>
      </c>
      <c r="AL94" s="336">
        <f t="shared" si="75"/>
        <v>525297.96</v>
      </c>
      <c r="AM94" s="336">
        <f t="shared" si="75"/>
        <v>525297.96</v>
      </c>
      <c r="AN94" s="336">
        <f t="shared" si="75"/>
        <v>525297.96</v>
      </c>
      <c r="AO94" s="336">
        <f t="shared" si="75"/>
        <v>525297.96</v>
      </c>
      <c r="AP94" s="336">
        <f t="shared" si="75"/>
        <v>525297.96</v>
      </c>
      <c r="AQ94" s="336">
        <f t="shared" si="75"/>
        <v>525297.96</v>
      </c>
      <c r="AR94" s="336">
        <f t="shared" si="75"/>
        <v>525297.96</v>
      </c>
      <c r="AS94" s="336">
        <f t="shared" si="75"/>
        <v>525297.96</v>
      </c>
      <c r="AT94" s="336">
        <f t="shared" si="75"/>
        <v>525297.96</v>
      </c>
      <c r="AU94" s="336">
        <f t="shared" si="75"/>
        <v>525297.96</v>
      </c>
      <c r="AV94" s="336">
        <f t="shared" si="75"/>
        <v>525297.96</v>
      </c>
      <c r="AW94" s="336">
        <f t="shared" si="75"/>
        <v>525297.96</v>
      </c>
      <c r="AX94" s="336">
        <f t="shared" si="75"/>
        <v>525297.96</v>
      </c>
      <c r="AY94" s="336">
        <f t="shared" si="75"/>
        <v>525297.96</v>
      </c>
      <c r="AZ94" s="336">
        <f t="shared" si="75"/>
        <v>525297.96</v>
      </c>
      <c r="BA94" s="336">
        <f t="shared" si="75"/>
        <v>525297.96</v>
      </c>
      <c r="BB94" s="336">
        <f t="shared" si="75"/>
        <v>525297.96</v>
      </c>
      <c r="BC94" s="336">
        <f t="shared" si="75"/>
        <v>525297.96</v>
      </c>
      <c r="BD94" s="336">
        <f t="shared" si="75"/>
        <v>525297.96</v>
      </c>
      <c r="BE94" s="336">
        <f t="shared" si="75"/>
        <v>525297.96</v>
      </c>
      <c r="BF94" s="336">
        <f t="shared" si="75"/>
        <v>525297.96</v>
      </c>
      <c r="BG94" s="336">
        <f t="shared" si="75"/>
        <v>525297.96</v>
      </c>
      <c r="BH94" s="336">
        <f t="shared" si="75"/>
        <v>525297.96</v>
      </c>
      <c r="BI94" s="336">
        <f t="shared" si="75"/>
        <v>525297.96</v>
      </c>
      <c r="BJ94" s="336">
        <f t="shared" si="75"/>
        <v>525297.96</v>
      </c>
      <c r="BK94" s="336">
        <f t="shared" si="75"/>
        <v>525297.96</v>
      </c>
      <c r="BL94" s="336">
        <f t="shared" si="75"/>
        <v>525297.96</v>
      </c>
      <c r="BM94" s="336">
        <f t="shared" si="75"/>
        <v>525297.96</v>
      </c>
      <c r="BN94" s="336">
        <f t="shared" si="75"/>
        <v>525297.96</v>
      </c>
      <c r="BO94" s="336">
        <f t="shared" si="75"/>
        <v>525297.96</v>
      </c>
      <c r="BP94" s="336">
        <f t="shared" si="75"/>
        <v>525297.96</v>
      </c>
      <c r="BQ94" s="336">
        <f t="shared" si="75"/>
        <v>525297.96</v>
      </c>
      <c r="BR94" s="336">
        <f t="shared" si="75"/>
        <v>525297.96</v>
      </c>
      <c r="BS94" s="336">
        <f t="shared" si="75"/>
        <v>525297.96</v>
      </c>
      <c r="BT94" s="336">
        <f t="shared" si="75"/>
        <v>525297.96</v>
      </c>
      <c r="BU94" s="336">
        <f t="shared" si="75"/>
        <v>525297.96</v>
      </c>
      <c r="BV94" s="336">
        <f t="shared" si="75"/>
        <v>525297.96</v>
      </c>
      <c r="BW94" s="336">
        <f t="shared" si="75"/>
        <v>525297.96</v>
      </c>
      <c r="BX94" s="336">
        <f t="shared" si="75"/>
        <v>525297.96</v>
      </c>
      <c r="BY94" s="336">
        <f t="shared" si="75"/>
        <v>525297.96</v>
      </c>
      <c r="BZ94" s="336">
        <f t="shared" si="75"/>
        <v>525297.96</v>
      </c>
      <c r="CA94" s="336">
        <f t="shared" si="75"/>
        <v>525297.96</v>
      </c>
      <c r="CB94" s="336">
        <f t="shared" si="75"/>
        <v>525297.96</v>
      </c>
      <c r="CC94" s="336">
        <f t="shared" si="75"/>
        <v>525297.96</v>
      </c>
      <c r="CD94" s="336">
        <f t="shared" si="75"/>
        <v>525297.96</v>
      </c>
      <c r="CE94" s="336">
        <f t="shared" si="75"/>
        <v>525297.96</v>
      </c>
      <c r="CF94" s="336">
        <f t="shared" si="75"/>
        <v>525297.96</v>
      </c>
      <c r="CG94" s="336">
        <f t="shared" si="75"/>
        <v>525297.96</v>
      </c>
      <c r="CH94" s="336">
        <f t="shared" si="75"/>
        <v>525297.96</v>
      </c>
      <c r="CI94" s="336">
        <f t="shared" si="75"/>
        <v>525297.96</v>
      </c>
      <c r="CJ94" s="336">
        <f t="shared" si="75"/>
        <v>525297.96</v>
      </c>
      <c r="CK94" s="336">
        <f t="shared" si="75"/>
        <v>525297.96</v>
      </c>
      <c r="CL94" s="336">
        <f t="shared" si="75"/>
        <v>525297.96</v>
      </c>
      <c r="CM94" s="336">
        <f t="shared" si="75"/>
        <v>525297.96</v>
      </c>
      <c r="CN94" s="336">
        <f t="shared" si="75"/>
        <v>525297.96</v>
      </c>
      <c r="CO94" s="336">
        <f t="shared" si="75"/>
        <v>525297.96</v>
      </c>
      <c r="CP94" s="336">
        <f t="shared" si="75"/>
        <v>525297.96</v>
      </c>
      <c r="CQ94" s="336">
        <f t="shared" si="75"/>
        <v>525297.96</v>
      </c>
      <c r="CR94" s="336">
        <f t="shared" si="75"/>
        <v>525297.96</v>
      </c>
      <c r="CS94" s="336">
        <f t="shared" si="75"/>
        <v>525297.96</v>
      </c>
      <c r="CT94" s="336">
        <f t="shared" si="75"/>
        <v>525297.96</v>
      </c>
      <c r="CU94" s="336">
        <f t="shared" si="75"/>
        <v>525297.96</v>
      </c>
      <c r="CV94" s="336">
        <f t="shared" si="75"/>
        <v>525297.96</v>
      </c>
      <c r="CW94" s="336">
        <f t="shared" si="75"/>
        <v>525297.96</v>
      </c>
      <c r="CX94" s="336">
        <f t="shared" si="75"/>
        <v>525297.96</v>
      </c>
      <c r="CY94" s="336">
        <f t="shared" si="75"/>
        <v>525297.96</v>
      </c>
      <c r="CZ94" s="336">
        <f t="shared" si="75"/>
        <v>525297.96</v>
      </c>
      <c r="DA94" s="336">
        <f t="shared" si="75"/>
        <v>525297.96</v>
      </c>
      <c r="DB94" s="336">
        <f t="shared" si="75"/>
        <v>525297.96</v>
      </c>
      <c r="DC94" s="336">
        <f t="shared" si="75"/>
        <v>525297.96</v>
      </c>
      <c r="DD94" s="336">
        <f t="shared" si="75"/>
        <v>525297.96</v>
      </c>
      <c r="DE94" s="336">
        <f t="shared" si="75"/>
        <v>525297.96</v>
      </c>
      <c r="DF94" s="308"/>
      <c r="DG94" s="308"/>
      <c r="DH94" s="308"/>
      <c r="DI94" s="308"/>
      <c r="DJ94" s="308"/>
      <c r="DK94" s="308"/>
      <c r="DL94" s="308"/>
    </row>
    <row r="95" spans="1:116" ht="15.75" customHeight="1" outlineLevel="1" x14ac:dyDescent="0.25">
      <c r="A95" s="751"/>
      <c r="B95" s="751"/>
      <c r="C95" s="440" t="s">
        <v>347</v>
      </c>
      <c r="D95" s="441" t="s">
        <v>346</v>
      </c>
      <c r="E95" s="441" t="s">
        <v>348</v>
      </c>
      <c r="F95" s="441"/>
      <c r="G95" s="441" t="s">
        <v>349</v>
      </c>
      <c r="H95" s="442">
        <f>121394*(1+2%)^3</f>
        <v>128824.283952</v>
      </c>
      <c r="I95" s="443">
        <f t="shared" ref="I95:DE95" si="76">H95</f>
        <v>128824.283952</v>
      </c>
      <c r="J95" s="443">
        <f t="shared" si="76"/>
        <v>128824.283952</v>
      </c>
      <c r="K95" s="443">
        <f t="shared" si="76"/>
        <v>128824.283952</v>
      </c>
      <c r="L95" s="443">
        <f t="shared" si="76"/>
        <v>128824.283952</v>
      </c>
      <c r="M95" s="443">
        <f t="shared" si="76"/>
        <v>128824.283952</v>
      </c>
      <c r="N95" s="443">
        <f t="shared" si="76"/>
        <v>128824.283952</v>
      </c>
      <c r="O95" s="443">
        <f t="shared" si="76"/>
        <v>128824.283952</v>
      </c>
      <c r="P95" s="443">
        <f t="shared" si="76"/>
        <v>128824.283952</v>
      </c>
      <c r="Q95" s="443">
        <f t="shared" si="76"/>
        <v>128824.283952</v>
      </c>
      <c r="R95" s="443">
        <f t="shared" si="76"/>
        <v>128824.283952</v>
      </c>
      <c r="S95" s="443">
        <f t="shared" si="76"/>
        <v>128824.283952</v>
      </c>
      <c r="T95" s="443">
        <f t="shared" si="76"/>
        <v>128824.283952</v>
      </c>
      <c r="U95" s="443">
        <f t="shared" si="76"/>
        <v>128824.283952</v>
      </c>
      <c r="V95" s="443">
        <f t="shared" si="76"/>
        <v>128824.283952</v>
      </c>
      <c r="W95" s="443">
        <f t="shared" si="76"/>
        <v>128824.283952</v>
      </c>
      <c r="X95" s="443">
        <f t="shared" si="76"/>
        <v>128824.283952</v>
      </c>
      <c r="Y95" s="443">
        <f t="shared" si="76"/>
        <v>128824.283952</v>
      </c>
      <c r="Z95" s="443">
        <f t="shared" si="76"/>
        <v>128824.283952</v>
      </c>
      <c r="AA95" s="443">
        <f t="shared" si="76"/>
        <v>128824.283952</v>
      </c>
      <c r="AB95" s="443">
        <f t="shared" si="76"/>
        <v>128824.283952</v>
      </c>
      <c r="AC95" s="443">
        <f t="shared" si="76"/>
        <v>128824.283952</v>
      </c>
      <c r="AD95" s="443">
        <f t="shared" si="76"/>
        <v>128824.283952</v>
      </c>
      <c r="AE95" s="443">
        <f t="shared" si="76"/>
        <v>128824.283952</v>
      </c>
      <c r="AF95" s="443">
        <f t="shared" si="76"/>
        <v>128824.283952</v>
      </c>
      <c r="AG95" s="443">
        <f t="shared" si="76"/>
        <v>128824.283952</v>
      </c>
      <c r="AH95" s="443">
        <f t="shared" si="76"/>
        <v>128824.283952</v>
      </c>
      <c r="AI95" s="443">
        <f t="shared" si="76"/>
        <v>128824.283952</v>
      </c>
      <c r="AJ95" s="443">
        <f t="shared" si="76"/>
        <v>128824.283952</v>
      </c>
      <c r="AK95" s="443">
        <f t="shared" si="76"/>
        <v>128824.283952</v>
      </c>
      <c r="AL95" s="443">
        <f t="shared" si="76"/>
        <v>128824.283952</v>
      </c>
      <c r="AM95" s="443">
        <f t="shared" si="76"/>
        <v>128824.283952</v>
      </c>
      <c r="AN95" s="443">
        <f t="shared" si="76"/>
        <v>128824.283952</v>
      </c>
      <c r="AO95" s="443">
        <f t="shared" si="76"/>
        <v>128824.283952</v>
      </c>
      <c r="AP95" s="443">
        <f t="shared" si="76"/>
        <v>128824.283952</v>
      </c>
      <c r="AQ95" s="443">
        <f t="shared" si="76"/>
        <v>128824.283952</v>
      </c>
      <c r="AR95" s="443">
        <f t="shared" si="76"/>
        <v>128824.283952</v>
      </c>
      <c r="AS95" s="443">
        <f t="shared" si="76"/>
        <v>128824.283952</v>
      </c>
      <c r="AT95" s="443">
        <f t="shared" si="76"/>
        <v>128824.283952</v>
      </c>
      <c r="AU95" s="443">
        <f t="shared" si="76"/>
        <v>128824.283952</v>
      </c>
      <c r="AV95" s="443">
        <f t="shared" si="76"/>
        <v>128824.283952</v>
      </c>
      <c r="AW95" s="443">
        <f t="shared" si="76"/>
        <v>128824.283952</v>
      </c>
      <c r="AX95" s="443">
        <f t="shared" si="76"/>
        <v>128824.283952</v>
      </c>
      <c r="AY95" s="443">
        <f t="shared" si="76"/>
        <v>128824.283952</v>
      </c>
      <c r="AZ95" s="443">
        <f t="shared" si="76"/>
        <v>128824.283952</v>
      </c>
      <c r="BA95" s="443">
        <f t="shared" si="76"/>
        <v>128824.283952</v>
      </c>
      <c r="BB95" s="443">
        <f t="shared" si="76"/>
        <v>128824.283952</v>
      </c>
      <c r="BC95" s="443">
        <f t="shared" si="76"/>
        <v>128824.283952</v>
      </c>
      <c r="BD95" s="443">
        <f t="shared" si="76"/>
        <v>128824.283952</v>
      </c>
      <c r="BE95" s="443">
        <f t="shared" si="76"/>
        <v>128824.283952</v>
      </c>
      <c r="BF95" s="443">
        <f t="shared" si="76"/>
        <v>128824.283952</v>
      </c>
      <c r="BG95" s="443">
        <f t="shared" si="76"/>
        <v>128824.283952</v>
      </c>
      <c r="BH95" s="443">
        <f t="shared" si="76"/>
        <v>128824.283952</v>
      </c>
      <c r="BI95" s="443">
        <f t="shared" si="76"/>
        <v>128824.283952</v>
      </c>
      <c r="BJ95" s="443">
        <f t="shared" si="76"/>
        <v>128824.283952</v>
      </c>
      <c r="BK95" s="443">
        <f t="shared" si="76"/>
        <v>128824.283952</v>
      </c>
      <c r="BL95" s="443">
        <f t="shared" si="76"/>
        <v>128824.283952</v>
      </c>
      <c r="BM95" s="443">
        <f t="shared" si="76"/>
        <v>128824.283952</v>
      </c>
      <c r="BN95" s="443">
        <f t="shared" si="76"/>
        <v>128824.283952</v>
      </c>
      <c r="BO95" s="443">
        <f t="shared" si="76"/>
        <v>128824.283952</v>
      </c>
      <c r="BP95" s="443">
        <f t="shared" si="76"/>
        <v>128824.283952</v>
      </c>
      <c r="BQ95" s="443">
        <f t="shared" si="76"/>
        <v>128824.283952</v>
      </c>
      <c r="BR95" s="443">
        <f t="shared" si="76"/>
        <v>128824.283952</v>
      </c>
      <c r="BS95" s="443">
        <f t="shared" si="76"/>
        <v>128824.283952</v>
      </c>
      <c r="BT95" s="443">
        <f t="shared" si="76"/>
        <v>128824.283952</v>
      </c>
      <c r="BU95" s="443">
        <f t="shared" si="76"/>
        <v>128824.283952</v>
      </c>
      <c r="BV95" s="443">
        <f t="shared" si="76"/>
        <v>128824.283952</v>
      </c>
      <c r="BW95" s="443">
        <f t="shared" si="76"/>
        <v>128824.283952</v>
      </c>
      <c r="BX95" s="443">
        <f t="shared" si="76"/>
        <v>128824.283952</v>
      </c>
      <c r="BY95" s="443">
        <f t="shared" si="76"/>
        <v>128824.283952</v>
      </c>
      <c r="BZ95" s="443">
        <f t="shared" si="76"/>
        <v>128824.283952</v>
      </c>
      <c r="CA95" s="443">
        <f t="shared" si="76"/>
        <v>128824.283952</v>
      </c>
      <c r="CB95" s="443">
        <f t="shared" si="76"/>
        <v>128824.283952</v>
      </c>
      <c r="CC95" s="443">
        <f t="shared" si="76"/>
        <v>128824.283952</v>
      </c>
      <c r="CD95" s="443">
        <f t="shared" si="76"/>
        <v>128824.283952</v>
      </c>
      <c r="CE95" s="443">
        <f t="shared" si="76"/>
        <v>128824.283952</v>
      </c>
      <c r="CF95" s="443">
        <f t="shared" si="76"/>
        <v>128824.283952</v>
      </c>
      <c r="CG95" s="443">
        <f t="shared" si="76"/>
        <v>128824.283952</v>
      </c>
      <c r="CH95" s="443">
        <f t="shared" si="76"/>
        <v>128824.283952</v>
      </c>
      <c r="CI95" s="443">
        <f t="shared" si="76"/>
        <v>128824.283952</v>
      </c>
      <c r="CJ95" s="443">
        <f t="shared" si="76"/>
        <v>128824.283952</v>
      </c>
      <c r="CK95" s="443">
        <f t="shared" si="76"/>
        <v>128824.283952</v>
      </c>
      <c r="CL95" s="443">
        <f t="shared" si="76"/>
        <v>128824.283952</v>
      </c>
      <c r="CM95" s="443">
        <f t="shared" si="76"/>
        <v>128824.283952</v>
      </c>
      <c r="CN95" s="443">
        <f t="shared" si="76"/>
        <v>128824.283952</v>
      </c>
      <c r="CO95" s="443">
        <f t="shared" si="76"/>
        <v>128824.283952</v>
      </c>
      <c r="CP95" s="443">
        <f t="shared" si="76"/>
        <v>128824.283952</v>
      </c>
      <c r="CQ95" s="443">
        <f t="shared" si="76"/>
        <v>128824.283952</v>
      </c>
      <c r="CR95" s="443">
        <f t="shared" si="76"/>
        <v>128824.283952</v>
      </c>
      <c r="CS95" s="443">
        <f t="shared" si="76"/>
        <v>128824.283952</v>
      </c>
      <c r="CT95" s="443">
        <f t="shared" si="76"/>
        <v>128824.283952</v>
      </c>
      <c r="CU95" s="443">
        <f t="shared" si="76"/>
        <v>128824.283952</v>
      </c>
      <c r="CV95" s="443">
        <f t="shared" si="76"/>
        <v>128824.283952</v>
      </c>
      <c r="CW95" s="443">
        <f t="shared" si="76"/>
        <v>128824.283952</v>
      </c>
      <c r="CX95" s="443">
        <f t="shared" si="76"/>
        <v>128824.283952</v>
      </c>
      <c r="CY95" s="443">
        <f t="shared" si="76"/>
        <v>128824.283952</v>
      </c>
      <c r="CZ95" s="443">
        <f t="shared" si="76"/>
        <v>128824.283952</v>
      </c>
      <c r="DA95" s="443">
        <f t="shared" si="76"/>
        <v>128824.283952</v>
      </c>
      <c r="DB95" s="443">
        <f t="shared" si="76"/>
        <v>128824.283952</v>
      </c>
      <c r="DC95" s="443">
        <f t="shared" si="76"/>
        <v>128824.283952</v>
      </c>
      <c r="DD95" s="443">
        <f t="shared" si="76"/>
        <v>128824.283952</v>
      </c>
      <c r="DE95" s="443">
        <f t="shared" si="76"/>
        <v>128824.283952</v>
      </c>
      <c r="DF95" s="308"/>
      <c r="DG95" s="308"/>
      <c r="DH95" s="308"/>
      <c r="DI95" s="308"/>
      <c r="DJ95" s="308"/>
      <c r="DK95" s="308"/>
      <c r="DL95" s="308"/>
    </row>
    <row r="96" spans="1:116" ht="15.75" customHeight="1" outlineLevel="1" x14ac:dyDescent="0.25">
      <c r="A96" s="751"/>
      <c r="B96" s="751"/>
      <c r="C96" s="347" t="s">
        <v>350</v>
      </c>
      <c r="D96" s="349" t="s">
        <v>239</v>
      </c>
      <c r="E96" s="349"/>
      <c r="F96" s="349"/>
      <c r="G96" s="444">
        <f>'Unit Costs and Indicators'!D19</f>
        <v>4.7348484848484848E-5</v>
      </c>
      <c r="H96" s="372">
        <f>(H95+H94)*G96</f>
        <v>30.971697156818177</v>
      </c>
      <c r="I96" s="373">
        <f t="shared" ref="I96:DE96" si="77">(I95+I94)*$G$96</f>
        <v>30.971697156818177</v>
      </c>
      <c r="J96" s="373">
        <f t="shared" si="77"/>
        <v>30.971697156818177</v>
      </c>
      <c r="K96" s="373">
        <f t="shared" si="77"/>
        <v>30.971697156818177</v>
      </c>
      <c r="L96" s="373">
        <f t="shared" si="77"/>
        <v>30.971697156818177</v>
      </c>
      <c r="M96" s="373">
        <f t="shared" si="77"/>
        <v>30.971697156818177</v>
      </c>
      <c r="N96" s="373">
        <f t="shared" si="77"/>
        <v>30.971697156818177</v>
      </c>
      <c r="O96" s="373">
        <f t="shared" si="77"/>
        <v>30.971697156818177</v>
      </c>
      <c r="P96" s="373">
        <f t="shared" si="77"/>
        <v>30.971697156818177</v>
      </c>
      <c r="Q96" s="373">
        <f t="shared" si="77"/>
        <v>30.971697156818177</v>
      </c>
      <c r="R96" s="373">
        <f t="shared" si="77"/>
        <v>30.971697156818177</v>
      </c>
      <c r="S96" s="373">
        <f t="shared" si="77"/>
        <v>30.971697156818177</v>
      </c>
      <c r="T96" s="373">
        <f t="shared" si="77"/>
        <v>30.971697156818177</v>
      </c>
      <c r="U96" s="373">
        <f t="shared" si="77"/>
        <v>30.971697156818177</v>
      </c>
      <c r="V96" s="373">
        <f t="shared" si="77"/>
        <v>30.971697156818177</v>
      </c>
      <c r="W96" s="373">
        <f t="shared" si="77"/>
        <v>30.971697156818177</v>
      </c>
      <c r="X96" s="373">
        <f t="shared" si="77"/>
        <v>30.971697156818177</v>
      </c>
      <c r="Y96" s="373">
        <f t="shared" si="77"/>
        <v>30.971697156818177</v>
      </c>
      <c r="Z96" s="373">
        <f t="shared" si="77"/>
        <v>30.971697156818177</v>
      </c>
      <c r="AA96" s="373">
        <f t="shared" si="77"/>
        <v>30.971697156818177</v>
      </c>
      <c r="AB96" s="373">
        <f t="shared" si="77"/>
        <v>30.971697156818177</v>
      </c>
      <c r="AC96" s="373">
        <f t="shared" si="77"/>
        <v>30.971697156818177</v>
      </c>
      <c r="AD96" s="373">
        <f t="shared" si="77"/>
        <v>30.971697156818177</v>
      </c>
      <c r="AE96" s="373">
        <f t="shared" si="77"/>
        <v>30.971697156818177</v>
      </c>
      <c r="AF96" s="373">
        <f t="shared" si="77"/>
        <v>30.971697156818177</v>
      </c>
      <c r="AG96" s="373">
        <f t="shared" si="77"/>
        <v>30.971697156818177</v>
      </c>
      <c r="AH96" s="373">
        <f t="shared" si="77"/>
        <v>30.971697156818177</v>
      </c>
      <c r="AI96" s="373">
        <f t="shared" si="77"/>
        <v>30.971697156818177</v>
      </c>
      <c r="AJ96" s="373">
        <f t="shared" si="77"/>
        <v>30.971697156818177</v>
      </c>
      <c r="AK96" s="373">
        <f t="shared" si="77"/>
        <v>30.971697156818177</v>
      </c>
      <c r="AL96" s="373">
        <f t="shared" si="77"/>
        <v>30.971697156818177</v>
      </c>
      <c r="AM96" s="373">
        <f t="shared" si="77"/>
        <v>30.971697156818177</v>
      </c>
      <c r="AN96" s="373">
        <f t="shared" si="77"/>
        <v>30.971697156818177</v>
      </c>
      <c r="AO96" s="373">
        <f t="shared" si="77"/>
        <v>30.971697156818177</v>
      </c>
      <c r="AP96" s="373">
        <f t="shared" si="77"/>
        <v>30.971697156818177</v>
      </c>
      <c r="AQ96" s="373">
        <f t="shared" si="77"/>
        <v>30.971697156818177</v>
      </c>
      <c r="AR96" s="373">
        <f t="shared" si="77"/>
        <v>30.971697156818177</v>
      </c>
      <c r="AS96" s="373">
        <f t="shared" si="77"/>
        <v>30.971697156818177</v>
      </c>
      <c r="AT96" s="373">
        <f t="shared" si="77"/>
        <v>30.971697156818177</v>
      </c>
      <c r="AU96" s="373">
        <f t="shared" si="77"/>
        <v>30.971697156818177</v>
      </c>
      <c r="AV96" s="373">
        <f t="shared" si="77"/>
        <v>30.971697156818177</v>
      </c>
      <c r="AW96" s="373">
        <f t="shared" si="77"/>
        <v>30.971697156818177</v>
      </c>
      <c r="AX96" s="373">
        <f t="shared" si="77"/>
        <v>30.971697156818177</v>
      </c>
      <c r="AY96" s="373">
        <f t="shared" si="77"/>
        <v>30.971697156818177</v>
      </c>
      <c r="AZ96" s="373">
        <f t="shared" si="77"/>
        <v>30.971697156818177</v>
      </c>
      <c r="BA96" s="373">
        <f t="shared" si="77"/>
        <v>30.971697156818177</v>
      </c>
      <c r="BB96" s="373">
        <f t="shared" si="77"/>
        <v>30.971697156818177</v>
      </c>
      <c r="BC96" s="373">
        <f t="shared" si="77"/>
        <v>30.971697156818177</v>
      </c>
      <c r="BD96" s="373">
        <f t="shared" si="77"/>
        <v>30.971697156818177</v>
      </c>
      <c r="BE96" s="373">
        <f t="shared" si="77"/>
        <v>30.971697156818177</v>
      </c>
      <c r="BF96" s="373">
        <f t="shared" si="77"/>
        <v>30.971697156818177</v>
      </c>
      <c r="BG96" s="373">
        <f t="shared" si="77"/>
        <v>30.971697156818177</v>
      </c>
      <c r="BH96" s="373">
        <f t="shared" si="77"/>
        <v>30.971697156818177</v>
      </c>
      <c r="BI96" s="373">
        <f t="shared" si="77"/>
        <v>30.971697156818177</v>
      </c>
      <c r="BJ96" s="373">
        <f t="shared" si="77"/>
        <v>30.971697156818177</v>
      </c>
      <c r="BK96" s="373">
        <f t="shared" si="77"/>
        <v>30.971697156818177</v>
      </c>
      <c r="BL96" s="373">
        <f t="shared" si="77"/>
        <v>30.971697156818177</v>
      </c>
      <c r="BM96" s="373">
        <f t="shared" si="77"/>
        <v>30.971697156818177</v>
      </c>
      <c r="BN96" s="373">
        <f t="shared" si="77"/>
        <v>30.971697156818177</v>
      </c>
      <c r="BO96" s="373">
        <f t="shared" si="77"/>
        <v>30.971697156818177</v>
      </c>
      <c r="BP96" s="373">
        <f t="shared" si="77"/>
        <v>30.971697156818177</v>
      </c>
      <c r="BQ96" s="373">
        <f t="shared" si="77"/>
        <v>30.971697156818177</v>
      </c>
      <c r="BR96" s="373">
        <f t="shared" si="77"/>
        <v>30.971697156818177</v>
      </c>
      <c r="BS96" s="373">
        <f t="shared" si="77"/>
        <v>30.971697156818177</v>
      </c>
      <c r="BT96" s="373">
        <f t="shared" si="77"/>
        <v>30.971697156818177</v>
      </c>
      <c r="BU96" s="373">
        <f t="shared" si="77"/>
        <v>30.971697156818177</v>
      </c>
      <c r="BV96" s="373">
        <f t="shared" si="77"/>
        <v>30.971697156818177</v>
      </c>
      <c r="BW96" s="373">
        <f t="shared" si="77"/>
        <v>30.971697156818177</v>
      </c>
      <c r="BX96" s="373">
        <f t="shared" si="77"/>
        <v>30.971697156818177</v>
      </c>
      <c r="BY96" s="373">
        <f t="shared" si="77"/>
        <v>30.971697156818177</v>
      </c>
      <c r="BZ96" s="373">
        <f t="shared" si="77"/>
        <v>30.971697156818177</v>
      </c>
      <c r="CA96" s="373">
        <f t="shared" si="77"/>
        <v>30.971697156818177</v>
      </c>
      <c r="CB96" s="373">
        <f t="shared" si="77"/>
        <v>30.971697156818177</v>
      </c>
      <c r="CC96" s="373">
        <f t="shared" si="77"/>
        <v>30.971697156818177</v>
      </c>
      <c r="CD96" s="373">
        <f t="shared" si="77"/>
        <v>30.971697156818177</v>
      </c>
      <c r="CE96" s="373">
        <f t="shared" si="77"/>
        <v>30.971697156818177</v>
      </c>
      <c r="CF96" s="373">
        <f t="shared" si="77"/>
        <v>30.971697156818177</v>
      </c>
      <c r="CG96" s="373">
        <f t="shared" si="77"/>
        <v>30.971697156818177</v>
      </c>
      <c r="CH96" s="373">
        <f t="shared" si="77"/>
        <v>30.971697156818177</v>
      </c>
      <c r="CI96" s="373">
        <f t="shared" si="77"/>
        <v>30.971697156818177</v>
      </c>
      <c r="CJ96" s="373">
        <f t="shared" si="77"/>
        <v>30.971697156818177</v>
      </c>
      <c r="CK96" s="373">
        <f t="shared" si="77"/>
        <v>30.971697156818177</v>
      </c>
      <c r="CL96" s="373">
        <f t="shared" si="77"/>
        <v>30.971697156818177</v>
      </c>
      <c r="CM96" s="373">
        <f t="shared" si="77"/>
        <v>30.971697156818177</v>
      </c>
      <c r="CN96" s="373">
        <f t="shared" si="77"/>
        <v>30.971697156818177</v>
      </c>
      <c r="CO96" s="373">
        <f t="shared" si="77"/>
        <v>30.971697156818177</v>
      </c>
      <c r="CP96" s="373">
        <f t="shared" si="77"/>
        <v>30.971697156818177</v>
      </c>
      <c r="CQ96" s="373">
        <f t="shared" si="77"/>
        <v>30.971697156818177</v>
      </c>
      <c r="CR96" s="373">
        <f t="shared" si="77"/>
        <v>30.971697156818177</v>
      </c>
      <c r="CS96" s="373">
        <f t="shared" si="77"/>
        <v>30.971697156818177</v>
      </c>
      <c r="CT96" s="373">
        <f t="shared" si="77"/>
        <v>30.971697156818177</v>
      </c>
      <c r="CU96" s="373">
        <f t="shared" si="77"/>
        <v>30.971697156818177</v>
      </c>
      <c r="CV96" s="373">
        <f t="shared" si="77"/>
        <v>30.971697156818177</v>
      </c>
      <c r="CW96" s="373">
        <f t="shared" si="77"/>
        <v>30.971697156818177</v>
      </c>
      <c r="CX96" s="373">
        <f t="shared" si="77"/>
        <v>30.971697156818177</v>
      </c>
      <c r="CY96" s="373">
        <f t="shared" si="77"/>
        <v>30.971697156818177</v>
      </c>
      <c r="CZ96" s="373">
        <f t="shared" si="77"/>
        <v>30.971697156818177</v>
      </c>
      <c r="DA96" s="373">
        <f t="shared" si="77"/>
        <v>30.971697156818177</v>
      </c>
      <c r="DB96" s="373">
        <f t="shared" si="77"/>
        <v>30.971697156818177</v>
      </c>
      <c r="DC96" s="373">
        <f t="shared" si="77"/>
        <v>30.971697156818177</v>
      </c>
      <c r="DD96" s="373">
        <f t="shared" si="77"/>
        <v>30.971697156818177</v>
      </c>
      <c r="DE96" s="373">
        <f t="shared" si="77"/>
        <v>30.971697156818177</v>
      </c>
      <c r="DF96" s="308"/>
      <c r="DG96" s="308"/>
      <c r="DH96" s="308"/>
      <c r="DI96" s="308"/>
      <c r="DJ96" s="308"/>
      <c r="DK96" s="308"/>
      <c r="DL96" s="308"/>
    </row>
    <row r="97" spans="1:116" ht="15.75" customHeight="1" outlineLevel="1" x14ac:dyDescent="0.25">
      <c r="A97" s="751"/>
      <c r="B97" s="380" t="str">
        <f>B92</f>
        <v xml:space="preserve">Manhole Accidents Compensations </v>
      </c>
      <c r="C97" s="355" t="s">
        <v>244</v>
      </c>
      <c r="D97" s="381" t="s">
        <v>351</v>
      </c>
      <c r="E97" s="357"/>
      <c r="F97" s="316" t="s">
        <v>14</v>
      </c>
      <c r="G97" s="317">
        <f t="array" ref="G97">NPV($D$6, J97:DE97)+I97</f>
        <v>1383.9498934762432</v>
      </c>
      <c r="H97" s="359">
        <f t="shared" ref="H97:I97" si="78">H96</f>
        <v>30.971697156818177</v>
      </c>
      <c r="I97" s="360">
        <f t="shared" si="78"/>
        <v>30.971697156818177</v>
      </c>
      <c r="J97" s="360">
        <f t="shared" ref="J97:AO97" si="79">J96*(1 + $D$5)^(J2 - $I$2)</f>
        <v>31.591131099954541</v>
      </c>
      <c r="K97" s="360">
        <f t="shared" si="79"/>
        <v>32.22295372195363</v>
      </c>
      <c r="L97" s="360">
        <f t="shared" si="79"/>
        <v>32.867412796392699</v>
      </c>
      <c r="M97" s="360">
        <f t="shared" si="79"/>
        <v>33.524761052320557</v>
      </c>
      <c r="N97" s="360">
        <f t="shared" si="79"/>
        <v>34.195256273366972</v>
      </c>
      <c r="O97" s="360">
        <f t="shared" si="79"/>
        <v>34.879161398834313</v>
      </c>
      <c r="P97" s="360">
        <f t="shared" si="79"/>
        <v>35.576744626810992</v>
      </c>
      <c r="Q97" s="360">
        <f t="shared" si="79"/>
        <v>36.288279519347213</v>
      </c>
      <c r="R97" s="360">
        <f t="shared" si="79"/>
        <v>37.014045109734155</v>
      </c>
      <c r="S97" s="360">
        <f t="shared" si="79"/>
        <v>37.754326011928839</v>
      </c>
      <c r="T97" s="360">
        <f t="shared" si="79"/>
        <v>38.50941253216741</v>
      </c>
      <c r="U97" s="360">
        <f t="shared" si="79"/>
        <v>39.279600782810768</v>
      </c>
      <c r="V97" s="360">
        <f t="shared" si="79"/>
        <v>40.065192798466981</v>
      </c>
      <c r="W97" s="360">
        <f t="shared" si="79"/>
        <v>40.866496654436325</v>
      </c>
      <c r="X97" s="360">
        <f t="shared" si="79"/>
        <v>41.68382658752504</v>
      </c>
      <c r="Y97" s="360">
        <f t="shared" si="79"/>
        <v>42.517503119275545</v>
      </c>
      <c r="Z97" s="360">
        <f t="shared" si="79"/>
        <v>43.367853181661062</v>
      </c>
      <c r="AA97" s="360">
        <f t="shared" si="79"/>
        <v>44.235210245294276</v>
      </c>
      <c r="AB97" s="360">
        <f t="shared" si="79"/>
        <v>45.119914450200163</v>
      </c>
      <c r="AC97" s="360">
        <f t="shared" si="79"/>
        <v>46.022312739204168</v>
      </c>
      <c r="AD97" s="360">
        <f t="shared" si="79"/>
        <v>46.942758993988249</v>
      </c>
      <c r="AE97" s="360">
        <f t="shared" si="79"/>
        <v>47.881614173868016</v>
      </c>
      <c r="AF97" s="360">
        <f t="shared" si="79"/>
        <v>48.839246457345368</v>
      </c>
      <c r="AG97" s="360">
        <f t="shared" si="79"/>
        <v>49.816031386492277</v>
      </c>
      <c r="AH97" s="360">
        <f t="shared" si="79"/>
        <v>50.812352014222121</v>
      </c>
      <c r="AI97" s="360">
        <f t="shared" si="79"/>
        <v>51.828599054506569</v>
      </c>
      <c r="AJ97" s="360">
        <f t="shared" si="79"/>
        <v>52.865171035596688</v>
      </c>
      <c r="AK97" s="360">
        <f t="shared" si="79"/>
        <v>53.922474456308635</v>
      </c>
      <c r="AL97" s="360">
        <f t="shared" si="79"/>
        <v>55.000923945434799</v>
      </c>
      <c r="AM97" s="360">
        <f t="shared" si="79"/>
        <v>56.100942424343501</v>
      </c>
      <c r="AN97" s="360">
        <f t="shared" si="79"/>
        <v>57.222961272830361</v>
      </c>
      <c r="AO97" s="360">
        <f t="shared" si="79"/>
        <v>58.367420498286975</v>
      </c>
      <c r="AP97" s="360">
        <f t="shared" ref="AP97:BU97" si="80">AP96*(1 + $D$5)^(AP2 - $I$2)</f>
        <v>59.534768908252722</v>
      </c>
      <c r="AQ97" s="360">
        <f t="shared" si="80"/>
        <v>60.725464286417768</v>
      </c>
      <c r="AR97" s="360">
        <f t="shared" si="80"/>
        <v>61.939973572146123</v>
      </c>
      <c r="AS97" s="360">
        <f t="shared" si="80"/>
        <v>63.17877304358904</v>
      </c>
      <c r="AT97" s="360">
        <f t="shared" si="80"/>
        <v>64.442348504460838</v>
      </c>
      <c r="AU97" s="360">
        <f t="shared" si="80"/>
        <v>65.731195474550063</v>
      </c>
      <c r="AV97" s="360">
        <f t="shared" si="80"/>
        <v>67.045819384041039</v>
      </c>
      <c r="AW97" s="360">
        <f t="shared" si="80"/>
        <v>68.386735771721874</v>
      </c>
      <c r="AX97" s="360">
        <f t="shared" si="80"/>
        <v>69.754470487156311</v>
      </c>
      <c r="AY97" s="360">
        <f t="shared" si="80"/>
        <v>71.149559896899433</v>
      </c>
      <c r="AZ97" s="360">
        <f t="shared" si="80"/>
        <v>72.572551094837408</v>
      </c>
      <c r="BA97" s="360">
        <f t="shared" si="80"/>
        <v>74.024002116734167</v>
      </c>
      <c r="BB97" s="360">
        <f t="shared" si="80"/>
        <v>75.504482159068843</v>
      </c>
      <c r="BC97" s="360">
        <f t="shared" si="80"/>
        <v>77.014571802250231</v>
      </c>
      <c r="BD97" s="360">
        <f t="shared" si="80"/>
        <v>78.554863238295212</v>
      </c>
      <c r="BE97" s="360">
        <f t="shared" si="80"/>
        <v>80.125960503061123</v>
      </c>
      <c r="BF97" s="360">
        <f t="shared" si="80"/>
        <v>81.728479713122354</v>
      </c>
      <c r="BG97" s="360">
        <f t="shared" si="80"/>
        <v>83.363049307384799</v>
      </c>
      <c r="BH97" s="360">
        <f t="shared" si="80"/>
        <v>85.030310293532494</v>
      </c>
      <c r="BI97" s="360">
        <f t="shared" si="80"/>
        <v>86.730916499403151</v>
      </c>
      <c r="BJ97" s="360">
        <f t="shared" si="80"/>
        <v>88.465534829391203</v>
      </c>
      <c r="BK97" s="360">
        <f t="shared" si="80"/>
        <v>90.23484552597904</v>
      </c>
      <c r="BL97" s="360">
        <f t="shared" si="80"/>
        <v>92.039542436498593</v>
      </c>
      <c r="BM97" s="360">
        <f t="shared" si="80"/>
        <v>93.880333285228573</v>
      </c>
      <c r="BN97" s="360">
        <f t="shared" si="80"/>
        <v>95.757939950933135</v>
      </c>
      <c r="BO97" s="360">
        <f t="shared" si="80"/>
        <v>97.673098749951819</v>
      </c>
      <c r="BP97" s="360">
        <f t="shared" si="80"/>
        <v>99.626560724950835</v>
      </c>
      <c r="BQ97" s="360">
        <f t="shared" si="80"/>
        <v>101.61909193944987</v>
      </c>
      <c r="BR97" s="360">
        <f t="shared" si="80"/>
        <v>103.65147377823887</v>
      </c>
      <c r="BS97" s="360">
        <f t="shared" si="80"/>
        <v>105.72450325380365</v>
      </c>
      <c r="BT97" s="360">
        <f t="shared" si="80"/>
        <v>107.83899331887969</v>
      </c>
      <c r="BU97" s="360">
        <f t="shared" si="80"/>
        <v>109.99577318525731</v>
      </c>
      <c r="BV97" s="360">
        <f t="shared" ref="BV97:DA97" si="81">BV96*(1 + $D$5)^(BV2 - $I$2)</f>
        <v>112.19568864896246</v>
      </c>
      <c r="BW97" s="360">
        <f t="shared" si="81"/>
        <v>114.4396024219417</v>
      </c>
      <c r="BX97" s="360">
        <f t="shared" si="81"/>
        <v>116.72839447038054</v>
      </c>
      <c r="BY97" s="360">
        <f t="shared" si="81"/>
        <v>119.06296235978814</v>
      </c>
      <c r="BZ97" s="360">
        <f t="shared" si="81"/>
        <v>121.44422160698392</v>
      </c>
      <c r="CA97" s="360">
        <f t="shared" si="81"/>
        <v>123.8731060391236</v>
      </c>
      <c r="CB97" s="360">
        <f t="shared" si="81"/>
        <v>126.35056815990606</v>
      </c>
      <c r="CC97" s="360">
        <f t="shared" si="81"/>
        <v>128.87757952310417</v>
      </c>
      <c r="CD97" s="360">
        <f t="shared" si="81"/>
        <v>131.45513111356627</v>
      </c>
      <c r="CE97" s="360">
        <f t="shared" si="81"/>
        <v>134.08423373583759</v>
      </c>
      <c r="CF97" s="360">
        <f t="shared" si="81"/>
        <v>136.76591841055432</v>
      </c>
      <c r="CG97" s="360">
        <f t="shared" si="81"/>
        <v>139.50123677876545</v>
      </c>
      <c r="CH97" s="360">
        <f t="shared" si="81"/>
        <v>142.29126151434073</v>
      </c>
      <c r="CI97" s="360">
        <f t="shared" si="81"/>
        <v>145.13708674462757</v>
      </c>
      <c r="CJ97" s="360">
        <f t="shared" si="81"/>
        <v>148.03982847952008</v>
      </c>
      <c r="CK97" s="360">
        <f t="shared" si="81"/>
        <v>151.00062504911048</v>
      </c>
      <c r="CL97" s="360">
        <f t="shared" si="81"/>
        <v>154.02063755009272</v>
      </c>
      <c r="CM97" s="360">
        <f t="shared" si="81"/>
        <v>157.10105030109455</v>
      </c>
      <c r="CN97" s="360">
        <f t="shared" si="81"/>
        <v>160.24307130711642</v>
      </c>
      <c r="CO97" s="360">
        <f t="shared" si="81"/>
        <v>163.44793273325877</v>
      </c>
      <c r="CP97" s="360">
        <f t="shared" si="81"/>
        <v>166.71689138792397</v>
      </c>
      <c r="CQ97" s="360">
        <f t="shared" si="81"/>
        <v>170.05122921568244</v>
      </c>
      <c r="CR97" s="360">
        <f t="shared" si="81"/>
        <v>173.45225379999604</v>
      </c>
      <c r="CS97" s="360">
        <f t="shared" si="81"/>
        <v>176.92129887599597</v>
      </c>
      <c r="CT97" s="360">
        <f t="shared" si="81"/>
        <v>180.45972485351592</v>
      </c>
      <c r="CU97" s="360">
        <f t="shared" si="81"/>
        <v>184.06891935058624</v>
      </c>
      <c r="CV97" s="360">
        <f t="shared" si="81"/>
        <v>187.75029773759792</v>
      </c>
      <c r="CW97" s="360">
        <f t="shared" si="81"/>
        <v>191.50530369234994</v>
      </c>
      <c r="CX97" s="360">
        <f t="shared" si="81"/>
        <v>195.3354097661969</v>
      </c>
      <c r="CY97" s="360">
        <f t="shared" si="81"/>
        <v>199.24211796152085</v>
      </c>
      <c r="CZ97" s="360">
        <f t="shared" si="81"/>
        <v>203.22696032075123</v>
      </c>
      <c r="DA97" s="360">
        <f t="shared" si="81"/>
        <v>207.29149952716628</v>
      </c>
      <c r="DB97" s="360">
        <f t="shared" ref="DB97:DE97" si="82">DB96*(1 + $D$5)^(DB2 - $I$2)</f>
        <v>211.43732951770963</v>
      </c>
      <c r="DC97" s="360">
        <f t="shared" si="82"/>
        <v>215.66607610806381</v>
      </c>
      <c r="DD97" s="360">
        <f t="shared" si="82"/>
        <v>219.97939763022509</v>
      </c>
      <c r="DE97" s="360">
        <f t="shared" si="82"/>
        <v>224.37898558282956</v>
      </c>
      <c r="DF97" s="308"/>
      <c r="DG97" s="308"/>
      <c r="DH97" s="308"/>
      <c r="DI97" s="308"/>
      <c r="DJ97" s="308"/>
      <c r="DK97" s="308"/>
      <c r="DL97" s="308"/>
    </row>
    <row r="98" spans="1:116" ht="15.75" customHeight="1" outlineLevel="1" x14ac:dyDescent="0.25">
      <c r="A98" s="751"/>
      <c r="B98" s="758" t="s">
        <v>352</v>
      </c>
      <c r="C98" s="321" t="s">
        <v>353</v>
      </c>
      <c r="D98" s="280" t="s">
        <v>262</v>
      </c>
      <c r="E98" s="280" t="s">
        <v>354</v>
      </c>
      <c r="F98" s="280"/>
      <c r="G98" s="280" t="s">
        <v>355</v>
      </c>
      <c r="H98" s="439">
        <f t="shared" ref="H98:DE98" si="83">2.5/13</f>
        <v>0.19230769230769232</v>
      </c>
      <c r="I98" s="308">
        <f t="shared" si="83"/>
        <v>0.19230769230769232</v>
      </c>
      <c r="J98" s="308">
        <f t="shared" si="83"/>
        <v>0.19230769230769232</v>
      </c>
      <c r="K98" s="308">
        <f t="shared" si="83"/>
        <v>0.19230769230769232</v>
      </c>
      <c r="L98" s="308">
        <f t="shared" si="83"/>
        <v>0.19230769230769232</v>
      </c>
      <c r="M98" s="308">
        <f t="shared" si="83"/>
        <v>0.19230769230769232</v>
      </c>
      <c r="N98" s="308">
        <f t="shared" si="83"/>
        <v>0.19230769230769232</v>
      </c>
      <c r="O98" s="308">
        <f t="shared" si="83"/>
        <v>0.19230769230769232</v>
      </c>
      <c r="P98" s="308">
        <f t="shared" si="83"/>
        <v>0.19230769230769232</v>
      </c>
      <c r="Q98" s="308">
        <f t="shared" si="83"/>
        <v>0.19230769230769232</v>
      </c>
      <c r="R98" s="308">
        <f t="shared" si="83"/>
        <v>0.19230769230769232</v>
      </c>
      <c r="S98" s="308">
        <f t="shared" si="83"/>
        <v>0.19230769230769232</v>
      </c>
      <c r="T98" s="308">
        <f t="shared" si="83"/>
        <v>0.19230769230769232</v>
      </c>
      <c r="U98" s="308">
        <f t="shared" si="83"/>
        <v>0.19230769230769232</v>
      </c>
      <c r="V98" s="308">
        <f t="shared" si="83"/>
        <v>0.19230769230769232</v>
      </c>
      <c r="W98" s="308">
        <f t="shared" si="83"/>
        <v>0.19230769230769232</v>
      </c>
      <c r="X98" s="308">
        <f t="shared" si="83"/>
        <v>0.19230769230769232</v>
      </c>
      <c r="Y98" s="308">
        <f t="shared" si="83"/>
        <v>0.19230769230769232</v>
      </c>
      <c r="Z98" s="308">
        <f t="shared" si="83"/>
        <v>0.19230769230769232</v>
      </c>
      <c r="AA98" s="308">
        <f t="shared" si="83"/>
        <v>0.19230769230769232</v>
      </c>
      <c r="AB98" s="308">
        <f t="shared" si="83"/>
        <v>0.19230769230769232</v>
      </c>
      <c r="AC98" s="308">
        <f t="shared" si="83"/>
        <v>0.19230769230769232</v>
      </c>
      <c r="AD98" s="308">
        <f t="shared" si="83"/>
        <v>0.19230769230769232</v>
      </c>
      <c r="AE98" s="308">
        <f t="shared" si="83"/>
        <v>0.19230769230769232</v>
      </c>
      <c r="AF98" s="308">
        <f t="shared" si="83"/>
        <v>0.19230769230769232</v>
      </c>
      <c r="AG98" s="308">
        <f t="shared" si="83"/>
        <v>0.19230769230769232</v>
      </c>
      <c r="AH98" s="308">
        <f t="shared" si="83"/>
        <v>0.19230769230769232</v>
      </c>
      <c r="AI98" s="308">
        <f t="shared" si="83"/>
        <v>0.19230769230769232</v>
      </c>
      <c r="AJ98" s="308">
        <f t="shared" si="83"/>
        <v>0.19230769230769232</v>
      </c>
      <c r="AK98" s="308">
        <f t="shared" si="83"/>
        <v>0.19230769230769232</v>
      </c>
      <c r="AL98" s="308">
        <f t="shared" si="83"/>
        <v>0.19230769230769232</v>
      </c>
      <c r="AM98" s="308">
        <f t="shared" si="83"/>
        <v>0.19230769230769232</v>
      </c>
      <c r="AN98" s="308">
        <f t="shared" si="83"/>
        <v>0.19230769230769232</v>
      </c>
      <c r="AO98" s="308">
        <f t="shared" si="83"/>
        <v>0.19230769230769232</v>
      </c>
      <c r="AP98" s="308">
        <f t="shared" si="83"/>
        <v>0.19230769230769232</v>
      </c>
      <c r="AQ98" s="308">
        <f t="shared" si="83"/>
        <v>0.19230769230769232</v>
      </c>
      <c r="AR98" s="308">
        <f t="shared" si="83"/>
        <v>0.19230769230769232</v>
      </c>
      <c r="AS98" s="308">
        <f t="shared" si="83"/>
        <v>0.19230769230769232</v>
      </c>
      <c r="AT98" s="308">
        <f t="shared" si="83"/>
        <v>0.19230769230769232</v>
      </c>
      <c r="AU98" s="308">
        <f t="shared" si="83"/>
        <v>0.19230769230769232</v>
      </c>
      <c r="AV98" s="308">
        <f t="shared" si="83"/>
        <v>0.19230769230769232</v>
      </c>
      <c r="AW98" s="308">
        <f t="shared" si="83"/>
        <v>0.19230769230769232</v>
      </c>
      <c r="AX98" s="308">
        <f t="shared" si="83"/>
        <v>0.19230769230769232</v>
      </c>
      <c r="AY98" s="308">
        <f t="shared" si="83"/>
        <v>0.19230769230769232</v>
      </c>
      <c r="AZ98" s="308">
        <f t="shared" si="83"/>
        <v>0.19230769230769232</v>
      </c>
      <c r="BA98" s="308">
        <f t="shared" si="83"/>
        <v>0.19230769230769232</v>
      </c>
      <c r="BB98" s="308">
        <f t="shared" si="83"/>
        <v>0.19230769230769232</v>
      </c>
      <c r="BC98" s="308">
        <f t="shared" si="83"/>
        <v>0.19230769230769232</v>
      </c>
      <c r="BD98" s="308">
        <f t="shared" si="83"/>
        <v>0.19230769230769232</v>
      </c>
      <c r="BE98" s="308">
        <f t="shared" si="83"/>
        <v>0.19230769230769232</v>
      </c>
      <c r="BF98" s="308">
        <f t="shared" si="83"/>
        <v>0.19230769230769232</v>
      </c>
      <c r="BG98" s="308">
        <f t="shared" si="83"/>
        <v>0.19230769230769232</v>
      </c>
      <c r="BH98" s="308">
        <f t="shared" si="83"/>
        <v>0.19230769230769232</v>
      </c>
      <c r="BI98" s="308">
        <f t="shared" si="83"/>
        <v>0.19230769230769232</v>
      </c>
      <c r="BJ98" s="308">
        <f t="shared" si="83"/>
        <v>0.19230769230769232</v>
      </c>
      <c r="BK98" s="308">
        <f t="shared" si="83"/>
        <v>0.19230769230769232</v>
      </c>
      <c r="BL98" s="308">
        <f t="shared" si="83"/>
        <v>0.19230769230769232</v>
      </c>
      <c r="BM98" s="308">
        <f t="shared" si="83"/>
        <v>0.19230769230769232</v>
      </c>
      <c r="BN98" s="308">
        <f t="shared" si="83"/>
        <v>0.19230769230769232</v>
      </c>
      <c r="BO98" s="308">
        <f t="shared" si="83"/>
        <v>0.19230769230769232</v>
      </c>
      <c r="BP98" s="308">
        <f t="shared" si="83"/>
        <v>0.19230769230769232</v>
      </c>
      <c r="BQ98" s="308">
        <f t="shared" si="83"/>
        <v>0.19230769230769232</v>
      </c>
      <c r="BR98" s="308">
        <f t="shared" si="83"/>
        <v>0.19230769230769232</v>
      </c>
      <c r="BS98" s="308">
        <f t="shared" si="83"/>
        <v>0.19230769230769232</v>
      </c>
      <c r="BT98" s="308">
        <f t="shared" si="83"/>
        <v>0.19230769230769232</v>
      </c>
      <c r="BU98" s="308">
        <f t="shared" si="83"/>
        <v>0.19230769230769232</v>
      </c>
      <c r="BV98" s="308">
        <f t="shared" si="83"/>
        <v>0.19230769230769232</v>
      </c>
      <c r="BW98" s="308">
        <f t="shared" si="83"/>
        <v>0.19230769230769232</v>
      </c>
      <c r="BX98" s="308">
        <f t="shared" si="83"/>
        <v>0.19230769230769232</v>
      </c>
      <c r="BY98" s="308">
        <f t="shared" si="83"/>
        <v>0.19230769230769232</v>
      </c>
      <c r="BZ98" s="308">
        <f t="shared" si="83"/>
        <v>0.19230769230769232</v>
      </c>
      <c r="CA98" s="308">
        <f t="shared" si="83"/>
        <v>0.19230769230769232</v>
      </c>
      <c r="CB98" s="308">
        <f t="shared" si="83"/>
        <v>0.19230769230769232</v>
      </c>
      <c r="CC98" s="308">
        <f t="shared" si="83"/>
        <v>0.19230769230769232</v>
      </c>
      <c r="CD98" s="308">
        <f t="shared" si="83"/>
        <v>0.19230769230769232</v>
      </c>
      <c r="CE98" s="308">
        <f t="shared" si="83"/>
        <v>0.19230769230769232</v>
      </c>
      <c r="CF98" s="308">
        <f t="shared" si="83"/>
        <v>0.19230769230769232</v>
      </c>
      <c r="CG98" s="308">
        <f t="shared" si="83"/>
        <v>0.19230769230769232</v>
      </c>
      <c r="CH98" s="308">
        <f t="shared" si="83"/>
        <v>0.19230769230769232</v>
      </c>
      <c r="CI98" s="308">
        <f t="shared" si="83"/>
        <v>0.19230769230769232</v>
      </c>
      <c r="CJ98" s="308">
        <f t="shared" si="83"/>
        <v>0.19230769230769232</v>
      </c>
      <c r="CK98" s="308">
        <f t="shared" si="83"/>
        <v>0.19230769230769232</v>
      </c>
      <c r="CL98" s="308">
        <f t="shared" si="83"/>
        <v>0.19230769230769232</v>
      </c>
      <c r="CM98" s="308">
        <f t="shared" si="83"/>
        <v>0.19230769230769232</v>
      </c>
      <c r="CN98" s="308">
        <f t="shared" si="83"/>
        <v>0.19230769230769232</v>
      </c>
      <c r="CO98" s="308">
        <f t="shared" si="83"/>
        <v>0.19230769230769232</v>
      </c>
      <c r="CP98" s="308">
        <f t="shared" si="83"/>
        <v>0.19230769230769232</v>
      </c>
      <c r="CQ98" s="308">
        <f t="shared" si="83"/>
        <v>0.19230769230769232</v>
      </c>
      <c r="CR98" s="308">
        <f t="shared" si="83"/>
        <v>0.19230769230769232</v>
      </c>
      <c r="CS98" s="308">
        <f t="shared" si="83"/>
        <v>0.19230769230769232</v>
      </c>
      <c r="CT98" s="308">
        <f t="shared" si="83"/>
        <v>0.19230769230769232</v>
      </c>
      <c r="CU98" s="308">
        <f t="shared" si="83"/>
        <v>0.19230769230769232</v>
      </c>
      <c r="CV98" s="308">
        <f t="shared" si="83"/>
        <v>0.19230769230769232</v>
      </c>
      <c r="CW98" s="308">
        <f t="shared" si="83"/>
        <v>0.19230769230769232</v>
      </c>
      <c r="CX98" s="308">
        <f t="shared" si="83"/>
        <v>0.19230769230769232</v>
      </c>
      <c r="CY98" s="308">
        <f t="shared" si="83"/>
        <v>0.19230769230769232</v>
      </c>
      <c r="CZ98" s="308">
        <f t="shared" si="83"/>
        <v>0.19230769230769232</v>
      </c>
      <c r="DA98" s="308">
        <f t="shared" si="83"/>
        <v>0.19230769230769232</v>
      </c>
      <c r="DB98" s="308">
        <f t="shared" si="83"/>
        <v>0.19230769230769232</v>
      </c>
      <c r="DC98" s="308">
        <f t="shared" si="83"/>
        <v>0.19230769230769232</v>
      </c>
      <c r="DD98" s="308">
        <f t="shared" si="83"/>
        <v>0.19230769230769232</v>
      </c>
      <c r="DE98" s="308">
        <f t="shared" si="83"/>
        <v>0.19230769230769232</v>
      </c>
      <c r="DF98" s="308"/>
      <c r="DG98" s="308"/>
      <c r="DH98" s="308"/>
      <c r="DI98" s="308"/>
      <c r="DJ98" s="308"/>
      <c r="DK98" s="308"/>
      <c r="DL98" s="308"/>
    </row>
    <row r="99" spans="1:116" ht="15.75" customHeight="1" outlineLevel="1" x14ac:dyDescent="0.25">
      <c r="A99" s="751"/>
      <c r="B99" s="751"/>
      <c r="C99" s="321" t="s">
        <v>356</v>
      </c>
      <c r="D99" s="280" t="s">
        <v>342</v>
      </c>
      <c r="E99" s="280" t="s">
        <v>122</v>
      </c>
      <c r="F99" s="280"/>
      <c r="G99" s="280" t="s">
        <v>357</v>
      </c>
      <c r="H99" s="436">
        <f>5000*10*2</f>
        <v>100000</v>
      </c>
      <c r="I99" s="301">
        <f t="shared" ref="I99:DE99" si="84">H99</f>
        <v>100000</v>
      </c>
      <c r="J99" s="301">
        <f t="shared" si="84"/>
        <v>100000</v>
      </c>
      <c r="K99" s="301">
        <f t="shared" si="84"/>
        <v>100000</v>
      </c>
      <c r="L99" s="301">
        <f t="shared" si="84"/>
        <v>100000</v>
      </c>
      <c r="M99" s="301">
        <f t="shared" si="84"/>
        <v>100000</v>
      </c>
      <c r="N99" s="301">
        <f t="shared" si="84"/>
        <v>100000</v>
      </c>
      <c r="O99" s="301">
        <f t="shared" si="84"/>
        <v>100000</v>
      </c>
      <c r="P99" s="301">
        <f t="shared" si="84"/>
        <v>100000</v>
      </c>
      <c r="Q99" s="301">
        <f t="shared" si="84"/>
        <v>100000</v>
      </c>
      <c r="R99" s="301">
        <f t="shared" si="84"/>
        <v>100000</v>
      </c>
      <c r="S99" s="301">
        <f t="shared" si="84"/>
        <v>100000</v>
      </c>
      <c r="T99" s="301">
        <f t="shared" si="84"/>
        <v>100000</v>
      </c>
      <c r="U99" s="301">
        <f t="shared" si="84"/>
        <v>100000</v>
      </c>
      <c r="V99" s="301">
        <f t="shared" si="84"/>
        <v>100000</v>
      </c>
      <c r="W99" s="301">
        <f t="shared" si="84"/>
        <v>100000</v>
      </c>
      <c r="X99" s="301">
        <f t="shared" si="84"/>
        <v>100000</v>
      </c>
      <c r="Y99" s="301">
        <f t="shared" si="84"/>
        <v>100000</v>
      </c>
      <c r="Z99" s="301">
        <f t="shared" si="84"/>
        <v>100000</v>
      </c>
      <c r="AA99" s="301">
        <f t="shared" si="84"/>
        <v>100000</v>
      </c>
      <c r="AB99" s="301">
        <f t="shared" si="84"/>
        <v>100000</v>
      </c>
      <c r="AC99" s="301">
        <f t="shared" si="84"/>
        <v>100000</v>
      </c>
      <c r="AD99" s="301">
        <f t="shared" si="84"/>
        <v>100000</v>
      </c>
      <c r="AE99" s="301">
        <f t="shared" si="84"/>
        <v>100000</v>
      </c>
      <c r="AF99" s="301">
        <f t="shared" si="84"/>
        <v>100000</v>
      </c>
      <c r="AG99" s="301">
        <f t="shared" si="84"/>
        <v>100000</v>
      </c>
      <c r="AH99" s="301">
        <f t="shared" si="84"/>
        <v>100000</v>
      </c>
      <c r="AI99" s="301">
        <f t="shared" si="84"/>
        <v>100000</v>
      </c>
      <c r="AJ99" s="301">
        <f t="shared" si="84"/>
        <v>100000</v>
      </c>
      <c r="AK99" s="301">
        <f t="shared" si="84"/>
        <v>100000</v>
      </c>
      <c r="AL99" s="301">
        <f t="shared" si="84"/>
        <v>100000</v>
      </c>
      <c r="AM99" s="301">
        <f t="shared" si="84"/>
        <v>100000</v>
      </c>
      <c r="AN99" s="301">
        <f t="shared" si="84"/>
        <v>100000</v>
      </c>
      <c r="AO99" s="301">
        <f t="shared" si="84"/>
        <v>100000</v>
      </c>
      <c r="AP99" s="301">
        <f t="shared" si="84"/>
        <v>100000</v>
      </c>
      <c r="AQ99" s="301">
        <f t="shared" si="84"/>
        <v>100000</v>
      </c>
      <c r="AR99" s="301">
        <f t="shared" si="84"/>
        <v>100000</v>
      </c>
      <c r="AS99" s="301">
        <f t="shared" si="84"/>
        <v>100000</v>
      </c>
      <c r="AT99" s="301">
        <f t="shared" si="84"/>
        <v>100000</v>
      </c>
      <c r="AU99" s="301">
        <f t="shared" si="84"/>
        <v>100000</v>
      </c>
      <c r="AV99" s="301">
        <f t="shared" si="84"/>
        <v>100000</v>
      </c>
      <c r="AW99" s="301">
        <f t="shared" si="84"/>
        <v>100000</v>
      </c>
      <c r="AX99" s="301">
        <f t="shared" si="84"/>
        <v>100000</v>
      </c>
      <c r="AY99" s="301">
        <f t="shared" si="84"/>
        <v>100000</v>
      </c>
      <c r="AZ99" s="301">
        <f t="shared" si="84"/>
        <v>100000</v>
      </c>
      <c r="BA99" s="301">
        <f t="shared" si="84"/>
        <v>100000</v>
      </c>
      <c r="BB99" s="301">
        <f t="shared" si="84"/>
        <v>100000</v>
      </c>
      <c r="BC99" s="301">
        <f t="shared" si="84"/>
        <v>100000</v>
      </c>
      <c r="BD99" s="301">
        <f t="shared" si="84"/>
        <v>100000</v>
      </c>
      <c r="BE99" s="301">
        <f t="shared" si="84"/>
        <v>100000</v>
      </c>
      <c r="BF99" s="301">
        <f t="shared" si="84"/>
        <v>100000</v>
      </c>
      <c r="BG99" s="301">
        <f t="shared" si="84"/>
        <v>100000</v>
      </c>
      <c r="BH99" s="301">
        <f t="shared" si="84"/>
        <v>100000</v>
      </c>
      <c r="BI99" s="301">
        <f t="shared" si="84"/>
        <v>100000</v>
      </c>
      <c r="BJ99" s="301">
        <f t="shared" si="84"/>
        <v>100000</v>
      </c>
      <c r="BK99" s="301">
        <f t="shared" si="84"/>
        <v>100000</v>
      </c>
      <c r="BL99" s="301">
        <f t="shared" si="84"/>
        <v>100000</v>
      </c>
      <c r="BM99" s="301">
        <f t="shared" si="84"/>
        <v>100000</v>
      </c>
      <c r="BN99" s="301">
        <f t="shared" si="84"/>
        <v>100000</v>
      </c>
      <c r="BO99" s="301">
        <f t="shared" si="84"/>
        <v>100000</v>
      </c>
      <c r="BP99" s="301">
        <f t="shared" si="84"/>
        <v>100000</v>
      </c>
      <c r="BQ99" s="301">
        <f t="shared" si="84"/>
        <v>100000</v>
      </c>
      <c r="BR99" s="301">
        <f t="shared" si="84"/>
        <v>100000</v>
      </c>
      <c r="BS99" s="301">
        <f t="shared" si="84"/>
        <v>100000</v>
      </c>
      <c r="BT99" s="301">
        <f t="shared" si="84"/>
        <v>100000</v>
      </c>
      <c r="BU99" s="301">
        <f t="shared" si="84"/>
        <v>100000</v>
      </c>
      <c r="BV99" s="301">
        <f t="shared" si="84"/>
        <v>100000</v>
      </c>
      <c r="BW99" s="301">
        <f t="shared" si="84"/>
        <v>100000</v>
      </c>
      <c r="BX99" s="301">
        <f t="shared" si="84"/>
        <v>100000</v>
      </c>
      <c r="BY99" s="301">
        <f t="shared" si="84"/>
        <v>100000</v>
      </c>
      <c r="BZ99" s="301">
        <f t="shared" si="84"/>
        <v>100000</v>
      </c>
      <c r="CA99" s="301">
        <f t="shared" si="84"/>
        <v>100000</v>
      </c>
      <c r="CB99" s="301">
        <f t="shared" si="84"/>
        <v>100000</v>
      </c>
      <c r="CC99" s="301">
        <f t="shared" si="84"/>
        <v>100000</v>
      </c>
      <c r="CD99" s="301">
        <f t="shared" si="84"/>
        <v>100000</v>
      </c>
      <c r="CE99" s="301">
        <f t="shared" si="84"/>
        <v>100000</v>
      </c>
      <c r="CF99" s="301">
        <f t="shared" si="84"/>
        <v>100000</v>
      </c>
      <c r="CG99" s="301">
        <f t="shared" si="84"/>
        <v>100000</v>
      </c>
      <c r="CH99" s="301">
        <f t="shared" si="84"/>
        <v>100000</v>
      </c>
      <c r="CI99" s="301">
        <f t="shared" si="84"/>
        <v>100000</v>
      </c>
      <c r="CJ99" s="301">
        <f t="shared" si="84"/>
        <v>100000</v>
      </c>
      <c r="CK99" s="301">
        <f t="shared" si="84"/>
        <v>100000</v>
      </c>
      <c r="CL99" s="301">
        <f t="shared" si="84"/>
        <v>100000</v>
      </c>
      <c r="CM99" s="301">
        <f t="shared" si="84"/>
        <v>100000</v>
      </c>
      <c r="CN99" s="301">
        <f t="shared" si="84"/>
        <v>100000</v>
      </c>
      <c r="CO99" s="301">
        <f t="shared" si="84"/>
        <v>100000</v>
      </c>
      <c r="CP99" s="301">
        <f t="shared" si="84"/>
        <v>100000</v>
      </c>
      <c r="CQ99" s="301">
        <f t="shared" si="84"/>
        <v>100000</v>
      </c>
      <c r="CR99" s="301">
        <f t="shared" si="84"/>
        <v>100000</v>
      </c>
      <c r="CS99" s="301">
        <f t="shared" si="84"/>
        <v>100000</v>
      </c>
      <c r="CT99" s="301">
        <f t="shared" si="84"/>
        <v>100000</v>
      </c>
      <c r="CU99" s="301">
        <f t="shared" si="84"/>
        <v>100000</v>
      </c>
      <c r="CV99" s="301">
        <f t="shared" si="84"/>
        <v>100000</v>
      </c>
      <c r="CW99" s="301">
        <f t="shared" si="84"/>
        <v>100000</v>
      </c>
      <c r="CX99" s="301">
        <f t="shared" si="84"/>
        <v>100000</v>
      </c>
      <c r="CY99" s="301">
        <f t="shared" si="84"/>
        <v>100000</v>
      </c>
      <c r="CZ99" s="301">
        <f t="shared" si="84"/>
        <v>100000</v>
      </c>
      <c r="DA99" s="301">
        <f t="shared" si="84"/>
        <v>100000</v>
      </c>
      <c r="DB99" s="301">
        <f t="shared" si="84"/>
        <v>100000</v>
      </c>
      <c r="DC99" s="301">
        <f t="shared" si="84"/>
        <v>100000</v>
      </c>
      <c r="DD99" s="301">
        <f t="shared" si="84"/>
        <v>100000</v>
      </c>
      <c r="DE99" s="301">
        <f t="shared" si="84"/>
        <v>100000</v>
      </c>
      <c r="DF99" s="278"/>
      <c r="DG99" s="278"/>
      <c r="DH99" s="278"/>
      <c r="DI99" s="278"/>
      <c r="DJ99" s="278"/>
      <c r="DK99" s="278"/>
      <c r="DL99" s="278"/>
    </row>
    <row r="100" spans="1:116" ht="15.75" customHeight="1" outlineLevel="1" x14ac:dyDescent="0.25">
      <c r="A100" s="751"/>
      <c r="B100" s="751"/>
      <c r="C100" s="321" t="s">
        <v>358</v>
      </c>
      <c r="D100" s="280" t="s">
        <v>342</v>
      </c>
      <c r="E100" s="280" t="s">
        <v>122</v>
      </c>
      <c r="F100" s="280"/>
      <c r="G100" s="411">
        <f>500000*(1+2%)^3</f>
        <v>530604</v>
      </c>
      <c r="H100" s="436">
        <f t="shared" ref="H100:DE100" si="85">G100</f>
        <v>530604</v>
      </c>
      <c r="I100" s="301">
        <f t="shared" si="85"/>
        <v>530604</v>
      </c>
      <c r="J100" s="301">
        <f t="shared" si="85"/>
        <v>530604</v>
      </c>
      <c r="K100" s="301">
        <f t="shared" si="85"/>
        <v>530604</v>
      </c>
      <c r="L100" s="301">
        <f t="shared" si="85"/>
        <v>530604</v>
      </c>
      <c r="M100" s="301">
        <f t="shared" si="85"/>
        <v>530604</v>
      </c>
      <c r="N100" s="301">
        <f t="shared" si="85"/>
        <v>530604</v>
      </c>
      <c r="O100" s="301">
        <f t="shared" si="85"/>
        <v>530604</v>
      </c>
      <c r="P100" s="301">
        <f t="shared" si="85"/>
        <v>530604</v>
      </c>
      <c r="Q100" s="301">
        <f t="shared" si="85"/>
        <v>530604</v>
      </c>
      <c r="R100" s="301">
        <f t="shared" si="85"/>
        <v>530604</v>
      </c>
      <c r="S100" s="301">
        <f t="shared" si="85"/>
        <v>530604</v>
      </c>
      <c r="T100" s="301">
        <f t="shared" si="85"/>
        <v>530604</v>
      </c>
      <c r="U100" s="301">
        <f t="shared" si="85"/>
        <v>530604</v>
      </c>
      <c r="V100" s="301">
        <f t="shared" si="85"/>
        <v>530604</v>
      </c>
      <c r="W100" s="301">
        <f t="shared" si="85"/>
        <v>530604</v>
      </c>
      <c r="X100" s="301">
        <f t="shared" si="85"/>
        <v>530604</v>
      </c>
      <c r="Y100" s="301">
        <f t="shared" si="85"/>
        <v>530604</v>
      </c>
      <c r="Z100" s="301">
        <f t="shared" si="85"/>
        <v>530604</v>
      </c>
      <c r="AA100" s="301">
        <f t="shared" si="85"/>
        <v>530604</v>
      </c>
      <c r="AB100" s="301">
        <f t="shared" si="85"/>
        <v>530604</v>
      </c>
      <c r="AC100" s="301">
        <f t="shared" si="85"/>
        <v>530604</v>
      </c>
      <c r="AD100" s="301">
        <f t="shared" si="85"/>
        <v>530604</v>
      </c>
      <c r="AE100" s="301">
        <f t="shared" si="85"/>
        <v>530604</v>
      </c>
      <c r="AF100" s="301">
        <f t="shared" si="85"/>
        <v>530604</v>
      </c>
      <c r="AG100" s="301">
        <f t="shared" si="85"/>
        <v>530604</v>
      </c>
      <c r="AH100" s="301">
        <f t="shared" si="85"/>
        <v>530604</v>
      </c>
      <c r="AI100" s="301">
        <f t="shared" si="85"/>
        <v>530604</v>
      </c>
      <c r="AJ100" s="301">
        <f t="shared" si="85"/>
        <v>530604</v>
      </c>
      <c r="AK100" s="301">
        <f t="shared" si="85"/>
        <v>530604</v>
      </c>
      <c r="AL100" s="301">
        <f t="shared" si="85"/>
        <v>530604</v>
      </c>
      <c r="AM100" s="301">
        <f t="shared" si="85"/>
        <v>530604</v>
      </c>
      <c r="AN100" s="301">
        <f t="shared" si="85"/>
        <v>530604</v>
      </c>
      <c r="AO100" s="301">
        <f t="shared" si="85"/>
        <v>530604</v>
      </c>
      <c r="AP100" s="301">
        <f t="shared" si="85"/>
        <v>530604</v>
      </c>
      <c r="AQ100" s="301">
        <f t="shared" si="85"/>
        <v>530604</v>
      </c>
      <c r="AR100" s="301">
        <f t="shared" si="85"/>
        <v>530604</v>
      </c>
      <c r="AS100" s="301">
        <f t="shared" si="85"/>
        <v>530604</v>
      </c>
      <c r="AT100" s="301">
        <f t="shared" si="85"/>
        <v>530604</v>
      </c>
      <c r="AU100" s="301">
        <f t="shared" si="85"/>
        <v>530604</v>
      </c>
      <c r="AV100" s="301">
        <f t="shared" si="85"/>
        <v>530604</v>
      </c>
      <c r="AW100" s="301">
        <f t="shared" si="85"/>
        <v>530604</v>
      </c>
      <c r="AX100" s="301">
        <f t="shared" si="85"/>
        <v>530604</v>
      </c>
      <c r="AY100" s="301">
        <f t="shared" si="85"/>
        <v>530604</v>
      </c>
      <c r="AZ100" s="301">
        <f t="shared" si="85"/>
        <v>530604</v>
      </c>
      <c r="BA100" s="301">
        <f t="shared" si="85"/>
        <v>530604</v>
      </c>
      <c r="BB100" s="301">
        <f t="shared" si="85"/>
        <v>530604</v>
      </c>
      <c r="BC100" s="301">
        <f t="shared" si="85"/>
        <v>530604</v>
      </c>
      <c r="BD100" s="301">
        <f t="shared" si="85"/>
        <v>530604</v>
      </c>
      <c r="BE100" s="301">
        <f t="shared" si="85"/>
        <v>530604</v>
      </c>
      <c r="BF100" s="301">
        <f t="shared" si="85"/>
        <v>530604</v>
      </c>
      <c r="BG100" s="301">
        <f t="shared" si="85"/>
        <v>530604</v>
      </c>
      <c r="BH100" s="301">
        <f t="shared" si="85"/>
        <v>530604</v>
      </c>
      <c r="BI100" s="301">
        <f t="shared" si="85"/>
        <v>530604</v>
      </c>
      <c r="BJ100" s="301">
        <f t="shared" si="85"/>
        <v>530604</v>
      </c>
      <c r="BK100" s="301">
        <f t="shared" si="85"/>
        <v>530604</v>
      </c>
      <c r="BL100" s="301">
        <f t="shared" si="85"/>
        <v>530604</v>
      </c>
      <c r="BM100" s="301">
        <f t="shared" si="85"/>
        <v>530604</v>
      </c>
      <c r="BN100" s="301">
        <f t="shared" si="85"/>
        <v>530604</v>
      </c>
      <c r="BO100" s="301">
        <f t="shared" si="85"/>
        <v>530604</v>
      </c>
      <c r="BP100" s="301">
        <f t="shared" si="85"/>
        <v>530604</v>
      </c>
      <c r="BQ100" s="301">
        <f t="shared" si="85"/>
        <v>530604</v>
      </c>
      <c r="BR100" s="301">
        <f t="shared" si="85"/>
        <v>530604</v>
      </c>
      <c r="BS100" s="301">
        <f t="shared" si="85"/>
        <v>530604</v>
      </c>
      <c r="BT100" s="301">
        <f t="shared" si="85"/>
        <v>530604</v>
      </c>
      <c r="BU100" s="301">
        <f t="shared" si="85"/>
        <v>530604</v>
      </c>
      <c r="BV100" s="301">
        <f t="shared" si="85"/>
        <v>530604</v>
      </c>
      <c r="BW100" s="301">
        <f t="shared" si="85"/>
        <v>530604</v>
      </c>
      <c r="BX100" s="301">
        <f t="shared" si="85"/>
        <v>530604</v>
      </c>
      <c r="BY100" s="301">
        <f t="shared" si="85"/>
        <v>530604</v>
      </c>
      <c r="BZ100" s="301">
        <f t="shared" si="85"/>
        <v>530604</v>
      </c>
      <c r="CA100" s="301">
        <f t="shared" si="85"/>
        <v>530604</v>
      </c>
      <c r="CB100" s="301">
        <f t="shared" si="85"/>
        <v>530604</v>
      </c>
      <c r="CC100" s="301">
        <f t="shared" si="85"/>
        <v>530604</v>
      </c>
      <c r="CD100" s="301">
        <f t="shared" si="85"/>
        <v>530604</v>
      </c>
      <c r="CE100" s="301">
        <f t="shared" si="85"/>
        <v>530604</v>
      </c>
      <c r="CF100" s="301">
        <f t="shared" si="85"/>
        <v>530604</v>
      </c>
      <c r="CG100" s="301">
        <f t="shared" si="85"/>
        <v>530604</v>
      </c>
      <c r="CH100" s="301">
        <f t="shared" si="85"/>
        <v>530604</v>
      </c>
      <c r="CI100" s="301">
        <f t="shared" si="85"/>
        <v>530604</v>
      </c>
      <c r="CJ100" s="301">
        <f t="shared" si="85"/>
        <v>530604</v>
      </c>
      <c r="CK100" s="301">
        <f t="shared" si="85"/>
        <v>530604</v>
      </c>
      <c r="CL100" s="301">
        <f t="shared" si="85"/>
        <v>530604</v>
      </c>
      <c r="CM100" s="301">
        <f t="shared" si="85"/>
        <v>530604</v>
      </c>
      <c r="CN100" s="301">
        <f t="shared" si="85"/>
        <v>530604</v>
      </c>
      <c r="CO100" s="301">
        <f t="shared" si="85"/>
        <v>530604</v>
      </c>
      <c r="CP100" s="301">
        <f t="shared" si="85"/>
        <v>530604</v>
      </c>
      <c r="CQ100" s="301">
        <f t="shared" si="85"/>
        <v>530604</v>
      </c>
      <c r="CR100" s="301">
        <f t="shared" si="85"/>
        <v>530604</v>
      </c>
      <c r="CS100" s="301">
        <f t="shared" si="85"/>
        <v>530604</v>
      </c>
      <c r="CT100" s="301">
        <f t="shared" si="85"/>
        <v>530604</v>
      </c>
      <c r="CU100" s="301">
        <f t="shared" si="85"/>
        <v>530604</v>
      </c>
      <c r="CV100" s="301">
        <f t="shared" si="85"/>
        <v>530604</v>
      </c>
      <c r="CW100" s="301">
        <f t="shared" si="85"/>
        <v>530604</v>
      </c>
      <c r="CX100" s="301">
        <f t="shared" si="85"/>
        <v>530604</v>
      </c>
      <c r="CY100" s="301">
        <f t="shared" si="85"/>
        <v>530604</v>
      </c>
      <c r="CZ100" s="301">
        <f t="shared" si="85"/>
        <v>530604</v>
      </c>
      <c r="DA100" s="301">
        <f t="shared" si="85"/>
        <v>530604</v>
      </c>
      <c r="DB100" s="301">
        <f t="shared" si="85"/>
        <v>530604</v>
      </c>
      <c r="DC100" s="301">
        <f t="shared" si="85"/>
        <v>530604</v>
      </c>
      <c r="DD100" s="301">
        <f t="shared" si="85"/>
        <v>530604</v>
      </c>
      <c r="DE100" s="301">
        <f t="shared" si="85"/>
        <v>530604</v>
      </c>
      <c r="DF100" s="278"/>
      <c r="DG100" s="278"/>
      <c r="DH100" s="278"/>
      <c r="DI100" s="278"/>
      <c r="DJ100" s="278"/>
      <c r="DK100" s="278"/>
      <c r="DL100" s="278"/>
    </row>
    <row r="101" spans="1:116" ht="15.75" customHeight="1" outlineLevel="1" x14ac:dyDescent="0.25">
      <c r="A101" s="751"/>
      <c r="B101" s="751"/>
      <c r="C101" s="321" t="s">
        <v>347</v>
      </c>
      <c r="D101" s="280" t="s">
        <v>342</v>
      </c>
      <c r="E101" s="280" t="s">
        <v>348</v>
      </c>
      <c r="F101" s="280"/>
      <c r="G101" s="280" t="s">
        <v>359</v>
      </c>
      <c r="H101" s="436">
        <f>H95*3</f>
        <v>386472.85185600002</v>
      </c>
      <c r="I101" s="353">
        <f>H101</f>
        <v>386472.85185600002</v>
      </c>
      <c r="J101" s="353">
        <f t="shared" ref="J101:DE101" si="86">J95*3</f>
        <v>386472.85185600002</v>
      </c>
      <c r="K101" s="353">
        <f t="shared" si="86"/>
        <v>386472.85185600002</v>
      </c>
      <c r="L101" s="353">
        <f t="shared" si="86"/>
        <v>386472.85185600002</v>
      </c>
      <c r="M101" s="353">
        <f t="shared" si="86"/>
        <v>386472.85185600002</v>
      </c>
      <c r="N101" s="353">
        <f t="shared" si="86"/>
        <v>386472.85185600002</v>
      </c>
      <c r="O101" s="353">
        <f t="shared" si="86"/>
        <v>386472.85185600002</v>
      </c>
      <c r="P101" s="353">
        <f t="shared" si="86"/>
        <v>386472.85185600002</v>
      </c>
      <c r="Q101" s="353">
        <f t="shared" si="86"/>
        <v>386472.85185600002</v>
      </c>
      <c r="R101" s="353">
        <f t="shared" si="86"/>
        <v>386472.85185600002</v>
      </c>
      <c r="S101" s="353">
        <f t="shared" si="86"/>
        <v>386472.85185600002</v>
      </c>
      <c r="T101" s="353">
        <f t="shared" si="86"/>
        <v>386472.85185600002</v>
      </c>
      <c r="U101" s="353">
        <f t="shared" si="86"/>
        <v>386472.85185600002</v>
      </c>
      <c r="V101" s="353">
        <f t="shared" si="86"/>
        <v>386472.85185600002</v>
      </c>
      <c r="W101" s="353">
        <f t="shared" si="86"/>
        <v>386472.85185600002</v>
      </c>
      <c r="X101" s="353">
        <f t="shared" si="86"/>
        <v>386472.85185600002</v>
      </c>
      <c r="Y101" s="353">
        <f t="shared" si="86"/>
        <v>386472.85185600002</v>
      </c>
      <c r="Z101" s="353">
        <f t="shared" si="86"/>
        <v>386472.85185600002</v>
      </c>
      <c r="AA101" s="353">
        <f t="shared" si="86"/>
        <v>386472.85185600002</v>
      </c>
      <c r="AB101" s="353">
        <f t="shared" si="86"/>
        <v>386472.85185600002</v>
      </c>
      <c r="AC101" s="353">
        <f t="shared" si="86"/>
        <v>386472.85185600002</v>
      </c>
      <c r="AD101" s="353">
        <f t="shared" si="86"/>
        <v>386472.85185600002</v>
      </c>
      <c r="AE101" s="353">
        <f t="shared" si="86"/>
        <v>386472.85185600002</v>
      </c>
      <c r="AF101" s="353">
        <f t="shared" si="86"/>
        <v>386472.85185600002</v>
      </c>
      <c r="AG101" s="353">
        <f t="shared" si="86"/>
        <v>386472.85185600002</v>
      </c>
      <c r="AH101" s="353">
        <f t="shared" si="86"/>
        <v>386472.85185600002</v>
      </c>
      <c r="AI101" s="353">
        <f t="shared" si="86"/>
        <v>386472.85185600002</v>
      </c>
      <c r="AJ101" s="353">
        <f t="shared" si="86"/>
        <v>386472.85185600002</v>
      </c>
      <c r="AK101" s="353">
        <f t="shared" si="86"/>
        <v>386472.85185600002</v>
      </c>
      <c r="AL101" s="353">
        <f t="shared" si="86"/>
        <v>386472.85185600002</v>
      </c>
      <c r="AM101" s="353">
        <f t="shared" si="86"/>
        <v>386472.85185600002</v>
      </c>
      <c r="AN101" s="353">
        <f t="shared" si="86"/>
        <v>386472.85185600002</v>
      </c>
      <c r="AO101" s="353">
        <f t="shared" si="86"/>
        <v>386472.85185600002</v>
      </c>
      <c r="AP101" s="353">
        <f t="shared" si="86"/>
        <v>386472.85185600002</v>
      </c>
      <c r="AQ101" s="353">
        <f t="shared" si="86"/>
        <v>386472.85185600002</v>
      </c>
      <c r="AR101" s="353">
        <f t="shared" si="86"/>
        <v>386472.85185600002</v>
      </c>
      <c r="AS101" s="353">
        <f t="shared" si="86"/>
        <v>386472.85185600002</v>
      </c>
      <c r="AT101" s="353">
        <f t="shared" si="86"/>
        <v>386472.85185600002</v>
      </c>
      <c r="AU101" s="353">
        <f t="shared" si="86"/>
        <v>386472.85185600002</v>
      </c>
      <c r="AV101" s="353">
        <f t="shared" si="86"/>
        <v>386472.85185600002</v>
      </c>
      <c r="AW101" s="353">
        <f t="shared" si="86"/>
        <v>386472.85185600002</v>
      </c>
      <c r="AX101" s="353">
        <f t="shared" si="86"/>
        <v>386472.85185600002</v>
      </c>
      <c r="AY101" s="353">
        <f t="shared" si="86"/>
        <v>386472.85185600002</v>
      </c>
      <c r="AZ101" s="353">
        <f t="shared" si="86"/>
        <v>386472.85185600002</v>
      </c>
      <c r="BA101" s="353">
        <f t="shared" si="86"/>
        <v>386472.85185600002</v>
      </c>
      <c r="BB101" s="353">
        <f t="shared" si="86"/>
        <v>386472.85185600002</v>
      </c>
      <c r="BC101" s="353">
        <f t="shared" si="86"/>
        <v>386472.85185600002</v>
      </c>
      <c r="BD101" s="353">
        <f t="shared" si="86"/>
        <v>386472.85185600002</v>
      </c>
      <c r="BE101" s="353">
        <f t="shared" si="86"/>
        <v>386472.85185600002</v>
      </c>
      <c r="BF101" s="353">
        <f t="shared" si="86"/>
        <v>386472.85185600002</v>
      </c>
      <c r="BG101" s="353">
        <f t="shared" si="86"/>
        <v>386472.85185600002</v>
      </c>
      <c r="BH101" s="353">
        <f t="shared" si="86"/>
        <v>386472.85185600002</v>
      </c>
      <c r="BI101" s="353">
        <f t="shared" si="86"/>
        <v>386472.85185600002</v>
      </c>
      <c r="BJ101" s="353">
        <f t="shared" si="86"/>
        <v>386472.85185600002</v>
      </c>
      <c r="BK101" s="353">
        <f t="shared" si="86"/>
        <v>386472.85185600002</v>
      </c>
      <c r="BL101" s="353">
        <f t="shared" si="86"/>
        <v>386472.85185600002</v>
      </c>
      <c r="BM101" s="353">
        <f t="shared" si="86"/>
        <v>386472.85185600002</v>
      </c>
      <c r="BN101" s="353">
        <f t="shared" si="86"/>
        <v>386472.85185600002</v>
      </c>
      <c r="BO101" s="353">
        <f t="shared" si="86"/>
        <v>386472.85185600002</v>
      </c>
      <c r="BP101" s="353">
        <f t="shared" si="86"/>
        <v>386472.85185600002</v>
      </c>
      <c r="BQ101" s="353">
        <f t="shared" si="86"/>
        <v>386472.85185600002</v>
      </c>
      <c r="BR101" s="353">
        <f t="shared" si="86"/>
        <v>386472.85185600002</v>
      </c>
      <c r="BS101" s="353">
        <f t="shared" si="86"/>
        <v>386472.85185600002</v>
      </c>
      <c r="BT101" s="353">
        <f t="shared" si="86"/>
        <v>386472.85185600002</v>
      </c>
      <c r="BU101" s="353">
        <f t="shared" si="86"/>
        <v>386472.85185600002</v>
      </c>
      <c r="BV101" s="353">
        <f t="shared" si="86"/>
        <v>386472.85185600002</v>
      </c>
      <c r="BW101" s="353">
        <f t="shared" si="86"/>
        <v>386472.85185600002</v>
      </c>
      <c r="BX101" s="353">
        <f t="shared" si="86"/>
        <v>386472.85185600002</v>
      </c>
      <c r="BY101" s="353">
        <f t="shared" si="86"/>
        <v>386472.85185600002</v>
      </c>
      <c r="BZ101" s="353">
        <f t="shared" si="86"/>
        <v>386472.85185600002</v>
      </c>
      <c r="CA101" s="353">
        <f t="shared" si="86"/>
        <v>386472.85185600002</v>
      </c>
      <c r="CB101" s="353">
        <f t="shared" si="86"/>
        <v>386472.85185600002</v>
      </c>
      <c r="CC101" s="353">
        <f t="shared" si="86"/>
        <v>386472.85185600002</v>
      </c>
      <c r="CD101" s="353">
        <f t="shared" si="86"/>
        <v>386472.85185600002</v>
      </c>
      <c r="CE101" s="353">
        <f t="shared" si="86"/>
        <v>386472.85185600002</v>
      </c>
      <c r="CF101" s="353">
        <f t="shared" si="86"/>
        <v>386472.85185600002</v>
      </c>
      <c r="CG101" s="353">
        <f t="shared" si="86"/>
        <v>386472.85185600002</v>
      </c>
      <c r="CH101" s="353">
        <f t="shared" si="86"/>
        <v>386472.85185600002</v>
      </c>
      <c r="CI101" s="353">
        <f t="shared" si="86"/>
        <v>386472.85185600002</v>
      </c>
      <c r="CJ101" s="353">
        <f t="shared" si="86"/>
        <v>386472.85185600002</v>
      </c>
      <c r="CK101" s="353">
        <f t="shared" si="86"/>
        <v>386472.85185600002</v>
      </c>
      <c r="CL101" s="353">
        <f t="shared" si="86"/>
        <v>386472.85185600002</v>
      </c>
      <c r="CM101" s="353">
        <f t="shared" si="86"/>
        <v>386472.85185600002</v>
      </c>
      <c r="CN101" s="353">
        <f t="shared" si="86"/>
        <v>386472.85185600002</v>
      </c>
      <c r="CO101" s="353">
        <f t="shared" si="86"/>
        <v>386472.85185600002</v>
      </c>
      <c r="CP101" s="353">
        <f t="shared" si="86"/>
        <v>386472.85185600002</v>
      </c>
      <c r="CQ101" s="353">
        <f t="shared" si="86"/>
        <v>386472.85185600002</v>
      </c>
      <c r="CR101" s="353">
        <f t="shared" si="86"/>
        <v>386472.85185600002</v>
      </c>
      <c r="CS101" s="353">
        <f t="shared" si="86"/>
        <v>386472.85185600002</v>
      </c>
      <c r="CT101" s="353">
        <f t="shared" si="86"/>
        <v>386472.85185600002</v>
      </c>
      <c r="CU101" s="353">
        <f t="shared" si="86"/>
        <v>386472.85185600002</v>
      </c>
      <c r="CV101" s="353">
        <f t="shared" si="86"/>
        <v>386472.85185600002</v>
      </c>
      <c r="CW101" s="353">
        <f t="shared" si="86"/>
        <v>386472.85185600002</v>
      </c>
      <c r="CX101" s="353">
        <f t="shared" si="86"/>
        <v>386472.85185600002</v>
      </c>
      <c r="CY101" s="353">
        <f t="shared" si="86"/>
        <v>386472.85185600002</v>
      </c>
      <c r="CZ101" s="353">
        <f t="shared" si="86"/>
        <v>386472.85185600002</v>
      </c>
      <c r="DA101" s="353">
        <f t="shared" si="86"/>
        <v>386472.85185600002</v>
      </c>
      <c r="DB101" s="353">
        <f t="shared" si="86"/>
        <v>386472.85185600002</v>
      </c>
      <c r="DC101" s="353">
        <f t="shared" si="86"/>
        <v>386472.85185600002</v>
      </c>
      <c r="DD101" s="353">
        <f t="shared" si="86"/>
        <v>386472.85185600002</v>
      </c>
      <c r="DE101" s="353">
        <f t="shared" si="86"/>
        <v>386472.85185600002</v>
      </c>
      <c r="DF101" s="278"/>
      <c r="DG101" s="278"/>
      <c r="DH101" s="278"/>
      <c r="DI101" s="278"/>
      <c r="DJ101" s="278"/>
      <c r="DK101" s="278"/>
      <c r="DL101" s="278"/>
    </row>
    <row r="102" spans="1:116" ht="15.75" customHeight="1" outlineLevel="1" x14ac:dyDescent="0.25">
      <c r="A102" s="751"/>
      <c r="B102" s="751"/>
      <c r="C102" s="347" t="s">
        <v>360</v>
      </c>
      <c r="D102" s="349" t="s">
        <v>346</v>
      </c>
      <c r="E102" s="349"/>
      <c r="F102" s="349"/>
      <c r="G102" s="444">
        <f>'Unit Costs and Indicators'!D19</f>
        <v>4.7348484848484848E-5</v>
      </c>
      <c r="H102" s="372">
        <f>H98*(H99+H100+H101)*G102</f>
        <v>9.2609707518939413</v>
      </c>
      <c r="I102" s="373">
        <f t="shared" ref="I102:DE102" si="87">I98*(I99+I100+I101)*$G$102</f>
        <v>9.2609707518939413</v>
      </c>
      <c r="J102" s="373">
        <f t="shared" si="87"/>
        <v>9.2609707518939413</v>
      </c>
      <c r="K102" s="373">
        <f t="shared" si="87"/>
        <v>9.2609707518939413</v>
      </c>
      <c r="L102" s="373">
        <f t="shared" si="87"/>
        <v>9.2609707518939413</v>
      </c>
      <c r="M102" s="373">
        <f t="shared" si="87"/>
        <v>9.2609707518939413</v>
      </c>
      <c r="N102" s="373">
        <f t="shared" si="87"/>
        <v>9.2609707518939413</v>
      </c>
      <c r="O102" s="373">
        <f t="shared" si="87"/>
        <v>9.2609707518939413</v>
      </c>
      <c r="P102" s="373">
        <f t="shared" si="87"/>
        <v>9.2609707518939413</v>
      </c>
      <c r="Q102" s="373">
        <f t="shared" si="87"/>
        <v>9.2609707518939413</v>
      </c>
      <c r="R102" s="373">
        <f t="shared" si="87"/>
        <v>9.2609707518939413</v>
      </c>
      <c r="S102" s="373">
        <f t="shared" si="87"/>
        <v>9.2609707518939413</v>
      </c>
      <c r="T102" s="373">
        <f t="shared" si="87"/>
        <v>9.2609707518939413</v>
      </c>
      <c r="U102" s="373">
        <f t="shared" si="87"/>
        <v>9.2609707518939413</v>
      </c>
      <c r="V102" s="373">
        <f t="shared" si="87"/>
        <v>9.2609707518939413</v>
      </c>
      <c r="W102" s="373">
        <f t="shared" si="87"/>
        <v>9.2609707518939413</v>
      </c>
      <c r="X102" s="373">
        <f t="shared" si="87"/>
        <v>9.2609707518939413</v>
      </c>
      <c r="Y102" s="373">
        <f t="shared" si="87"/>
        <v>9.2609707518939413</v>
      </c>
      <c r="Z102" s="373">
        <f t="shared" si="87"/>
        <v>9.2609707518939413</v>
      </c>
      <c r="AA102" s="373">
        <f t="shared" si="87"/>
        <v>9.2609707518939413</v>
      </c>
      <c r="AB102" s="373">
        <f t="shared" si="87"/>
        <v>9.2609707518939413</v>
      </c>
      <c r="AC102" s="373">
        <f t="shared" si="87"/>
        <v>9.2609707518939413</v>
      </c>
      <c r="AD102" s="373">
        <f t="shared" si="87"/>
        <v>9.2609707518939413</v>
      </c>
      <c r="AE102" s="373">
        <f t="shared" si="87"/>
        <v>9.2609707518939413</v>
      </c>
      <c r="AF102" s="373">
        <f t="shared" si="87"/>
        <v>9.2609707518939413</v>
      </c>
      <c r="AG102" s="373">
        <f t="shared" si="87"/>
        <v>9.2609707518939413</v>
      </c>
      <c r="AH102" s="373">
        <f t="shared" si="87"/>
        <v>9.2609707518939413</v>
      </c>
      <c r="AI102" s="373">
        <f t="shared" si="87"/>
        <v>9.2609707518939413</v>
      </c>
      <c r="AJ102" s="373">
        <f t="shared" si="87"/>
        <v>9.2609707518939413</v>
      </c>
      <c r="AK102" s="373">
        <f t="shared" si="87"/>
        <v>9.2609707518939413</v>
      </c>
      <c r="AL102" s="373">
        <f t="shared" si="87"/>
        <v>9.2609707518939413</v>
      </c>
      <c r="AM102" s="373">
        <f t="shared" si="87"/>
        <v>9.2609707518939413</v>
      </c>
      <c r="AN102" s="373">
        <f t="shared" si="87"/>
        <v>9.2609707518939413</v>
      </c>
      <c r="AO102" s="373">
        <f t="shared" si="87"/>
        <v>9.2609707518939413</v>
      </c>
      <c r="AP102" s="373">
        <f t="shared" si="87"/>
        <v>9.2609707518939413</v>
      </c>
      <c r="AQ102" s="373">
        <f t="shared" si="87"/>
        <v>9.2609707518939413</v>
      </c>
      <c r="AR102" s="373">
        <f t="shared" si="87"/>
        <v>9.2609707518939413</v>
      </c>
      <c r="AS102" s="373">
        <f t="shared" si="87"/>
        <v>9.2609707518939413</v>
      </c>
      <c r="AT102" s="373">
        <f t="shared" si="87"/>
        <v>9.2609707518939413</v>
      </c>
      <c r="AU102" s="373">
        <f t="shared" si="87"/>
        <v>9.2609707518939413</v>
      </c>
      <c r="AV102" s="373">
        <f t="shared" si="87"/>
        <v>9.2609707518939413</v>
      </c>
      <c r="AW102" s="373">
        <f t="shared" si="87"/>
        <v>9.2609707518939413</v>
      </c>
      <c r="AX102" s="373">
        <f t="shared" si="87"/>
        <v>9.2609707518939413</v>
      </c>
      <c r="AY102" s="373">
        <f t="shared" si="87"/>
        <v>9.2609707518939413</v>
      </c>
      <c r="AZ102" s="373">
        <f t="shared" si="87"/>
        <v>9.2609707518939413</v>
      </c>
      <c r="BA102" s="373">
        <f t="shared" si="87"/>
        <v>9.2609707518939413</v>
      </c>
      <c r="BB102" s="373">
        <f t="shared" si="87"/>
        <v>9.2609707518939413</v>
      </c>
      <c r="BC102" s="373">
        <f t="shared" si="87"/>
        <v>9.2609707518939413</v>
      </c>
      <c r="BD102" s="373">
        <f t="shared" si="87"/>
        <v>9.2609707518939413</v>
      </c>
      <c r="BE102" s="373">
        <f t="shared" si="87"/>
        <v>9.2609707518939413</v>
      </c>
      <c r="BF102" s="373">
        <f t="shared" si="87"/>
        <v>9.2609707518939413</v>
      </c>
      <c r="BG102" s="373">
        <f t="shared" si="87"/>
        <v>9.2609707518939413</v>
      </c>
      <c r="BH102" s="373">
        <f t="shared" si="87"/>
        <v>9.2609707518939413</v>
      </c>
      <c r="BI102" s="373">
        <f t="shared" si="87"/>
        <v>9.2609707518939413</v>
      </c>
      <c r="BJ102" s="373">
        <f t="shared" si="87"/>
        <v>9.2609707518939413</v>
      </c>
      <c r="BK102" s="373">
        <f t="shared" si="87"/>
        <v>9.2609707518939413</v>
      </c>
      <c r="BL102" s="373">
        <f t="shared" si="87"/>
        <v>9.2609707518939413</v>
      </c>
      <c r="BM102" s="373">
        <f t="shared" si="87"/>
        <v>9.2609707518939413</v>
      </c>
      <c r="BN102" s="373">
        <f t="shared" si="87"/>
        <v>9.2609707518939413</v>
      </c>
      <c r="BO102" s="373">
        <f t="shared" si="87"/>
        <v>9.2609707518939413</v>
      </c>
      <c r="BP102" s="373">
        <f t="shared" si="87"/>
        <v>9.2609707518939413</v>
      </c>
      <c r="BQ102" s="373">
        <f t="shared" si="87"/>
        <v>9.2609707518939413</v>
      </c>
      <c r="BR102" s="373">
        <f t="shared" si="87"/>
        <v>9.2609707518939413</v>
      </c>
      <c r="BS102" s="373">
        <f t="shared" si="87"/>
        <v>9.2609707518939413</v>
      </c>
      <c r="BT102" s="373">
        <f t="shared" si="87"/>
        <v>9.2609707518939413</v>
      </c>
      <c r="BU102" s="373">
        <f t="shared" si="87"/>
        <v>9.2609707518939413</v>
      </c>
      <c r="BV102" s="373">
        <f t="shared" si="87"/>
        <v>9.2609707518939413</v>
      </c>
      <c r="BW102" s="373">
        <f t="shared" si="87"/>
        <v>9.2609707518939413</v>
      </c>
      <c r="BX102" s="373">
        <f t="shared" si="87"/>
        <v>9.2609707518939413</v>
      </c>
      <c r="BY102" s="373">
        <f t="shared" si="87"/>
        <v>9.2609707518939413</v>
      </c>
      <c r="BZ102" s="373">
        <f t="shared" si="87"/>
        <v>9.2609707518939413</v>
      </c>
      <c r="CA102" s="373">
        <f t="shared" si="87"/>
        <v>9.2609707518939413</v>
      </c>
      <c r="CB102" s="373">
        <f t="shared" si="87"/>
        <v>9.2609707518939413</v>
      </c>
      <c r="CC102" s="373">
        <f t="shared" si="87"/>
        <v>9.2609707518939413</v>
      </c>
      <c r="CD102" s="373">
        <f t="shared" si="87"/>
        <v>9.2609707518939413</v>
      </c>
      <c r="CE102" s="373">
        <f t="shared" si="87"/>
        <v>9.2609707518939413</v>
      </c>
      <c r="CF102" s="373">
        <f t="shared" si="87"/>
        <v>9.2609707518939413</v>
      </c>
      <c r="CG102" s="373">
        <f t="shared" si="87"/>
        <v>9.2609707518939413</v>
      </c>
      <c r="CH102" s="373">
        <f t="shared" si="87"/>
        <v>9.2609707518939413</v>
      </c>
      <c r="CI102" s="373">
        <f t="shared" si="87"/>
        <v>9.2609707518939413</v>
      </c>
      <c r="CJ102" s="373">
        <f t="shared" si="87"/>
        <v>9.2609707518939413</v>
      </c>
      <c r="CK102" s="373">
        <f t="shared" si="87"/>
        <v>9.2609707518939413</v>
      </c>
      <c r="CL102" s="373">
        <f t="shared" si="87"/>
        <v>9.2609707518939413</v>
      </c>
      <c r="CM102" s="373">
        <f t="shared" si="87"/>
        <v>9.2609707518939413</v>
      </c>
      <c r="CN102" s="373">
        <f t="shared" si="87"/>
        <v>9.2609707518939413</v>
      </c>
      <c r="CO102" s="373">
        <f t="shared" si="87"/>
        <v>9.2609707518939413</v>
      </c>
      <c r="CP102" s="373">
        <f t="shared" si="87"/>
        <v>9.2609707518939413</v>
      </c>
      <c r="CQ102" s="373">
        <f t="shared" si="87"/>
        <v>9.2609707518939413</v>
      </c>
      <c r="CR102" s="373">
        <f t="shared" si="87"/>
        <v>9.2609707518939413</v>
      </c>
      <c r="CS102" s="373">
        <f t="shared" si="87"/>
        <v>9.2609707518939413</v>
      </c>
      <c r="CT102" s="373">
        <f t="shared" si="87"/>
        <v>9.2609707518939413</v>
      </c>
      <c r="CU102" s="373">
        <f t="shared" si="87"/>
        <v>9.2609707518939413</v>
      </c>
      <c r="CV102" s="373">
        <f t="shared" si="87"/>
        <v>9.2609707518939413</v>
      </c>
      <c r="CW102" s="373">
        <f t="shared" si="87"/>
        <v>9.2609707518939413</v>
      </c>
      <c r="CX102" s="373">
        <f t="shared" si="87"/>
        <v>9.2609707518939413</v>
      </c>
      <c r="CY102" s="373">
        <f t="shared" si="87"/>
        <v>9.2609707518939413</v>
      </c>
      <c r="CZ102" s="373">
        <f t="shared" si="87"/>
        <v>9.2609707518939413</v>
      </c>
      <c r="DA102" s="373">
        <f t="shared" si="87"/>
        <v>9.2609707518939413</v>
      </c>
      <c r="DB102" s="373">
        <f t="shared" si="87"/>
        <v>9.2609707518939413</v>
      </c>
      <c r="DC102" s="373">
        <f t="shared" si="87"/>
        <v>9.2609707518939413</v>
      </c>
      <c r="DD102" s="373">
        <f t="shared" si="87"/>
        <v>9.2609707518939413</v>
      </c>
      <c r="DE102" s="373">
        <f t="shared" si="87"/>
        <v>9.2609707518939413</v>
      </c>
      <c r="DF102" s="278"/>
      <c r="DG102" s="278"/>
      <c r="DH102" s="278"/>
      <c r="DI102" s="278"/>
      <c r="DJ102" s="278"/>
      <c r="DK102" s="278"/>
      <c r="DL102" s="278"/>
    </row>
    <row r="103" spans="1:116" ht="15.75" customHeight="1" outlineLevel="1" x14ac:dyDescent="0.25">
      <c r="A103" s="751"/>
      <c r="B103" s="380" t="str">
        <f>B98</f>
        <v>Cost of Major Accidents</v>
      </c>
      <c r="C103" s="355" t="s">
        <v>244</v>
      </c>
      <c r="D103" s="356" t="s">
        <v>247</v>
      </c>
      <c r="E103" s="381"/>
      <c r="F103" s="316" t="s">
        <v>14</v>
      </c>
      <c r="G103" s="317">
        <f t="array" ref="G103">NPV($D$6, J103:DE103)+I103</f>
        <v>413.82037996418683</v>
      </c>
      <c r="H103" s="445">
        <f t="shared" ref="H103:I103" si="88">H102</f>
        <v>9.2609707518939413</v>
      </c>
      <c r="I103" s="446">
        <f t="shared" si="88"/>
        <v>9.2609707518939413</v>
      </c>
      <c r="J103" s="446">
        <f t="shared" ref="J103:AO103" si="89">J102*(1 + $D$5)^(J2 - $I$2)</f>
        <v>9.4461901669318209</v>
      </c>
      <c r="K103" s="446">
        <f t="shared" si="89"/>
        <v>9.6351139702704565</v>
      </c>
      <c r="L103" s="446">
        <f t="shared" si="89"/>
        <v>9.8278162496758643</v>
      </c>
      <c r="M103" s="446">
        <f t="shared" si="89"/>
        <v>10.024372574669382</v>
      </c>
      <c r="N103" s="446">
        <f t="shared" si="89"/>
        <v>10.224860026162771</v>
      </c>
      <c r="O103" s="446">
        <f t="shared" si="89"/>
        <v>10.429357226686026</v>
      </c>
      <c r="P103" s="446">
        <f t="shared" si="89"/>
        <v>10.637944371219746</v>
      </c>
      <c r="Q103" s="446">
        <f t="shared" si="89"/>
        <v>10.85070325864414</v>
      </c>
      <c r="R103" s="446">
        <f t="shared" si="89"/>
        <v>11.067717323817023</v>
      </c>
      <c r="S103" s="446">
        <f t="shared" si="89"/>
        <v>11.289071670293364</v>
      </c>
      <c r="T103" s="446">
        <f t="shared" si="89"/>
        <v>11.514853103699229</v>
      </c>
      <c r="U103" s="446">
        <f t="shared" si="89"/>
        <v>11.745150165773216</v>
      </c>
      <c r="V103" s="446">
        <f t="shared" si="89"/>
        <v>11.980053169088681</v>
      </c>
      <c r="W103" s="446">
        <f t="shared" si="89"/>
        <v>12.219654232470454</v>
      </c>
      <c r="X103" s="446">
        <f t="shared" si="89"/>
        <v>12.46404731711986</v>
      </c>
      <c r="Y103" s="446">
        <f t="shared" si="89"/>
        <v>12.713328263462259</v>
      </c>
      <c r="Z103" s="446">
        <f t="shared" si="89"/>
        <v>12.967594828731507</v>
      </c>
      <c r="AA103" s="446">
        <f t="shared" si="89"/>
        <v>13.226946725306135</v>
      </c>
      <c r="AB103" s="446">
        <f t="shared" si="89"/>
        <v>13.491485659812257</v>
      </c>
      <c r="AC103" s="446">
        <f t="shared" si="89"/>
        <v>13.761315373008504</v>
      </c>
      <c r="AD103" s="446">
        <f t="shared" si="89"/>
        <v>14.036541680468673</v>
      </c>
      <c r="AE103" s="446">
        <f t="shared" si="89"/>
        <v>14.317272514078047</v>
      </c>
      <c r="AF103" s="446">
        <f t="shared" si="89"/>
        <v>14.603617964359605</v>
      </c>
      <c r="AG103" s="446">
        <f t="shared" si="89"/>
        <v>14.895690323646798</v>
      </c>
      <c r="AH103" s="446">
        <f t="shared" si="89"/>
        <v>15.193604130119734</v>
      </c>
      <c r="AI103" s="446">
        <f t="shared" si="89"/>
        <v>15.49747621272213</v>
      </c>
      <c r="AJ103" s="446">
        <f t="shared" si="89"/>
        <v>15.807425736976569</v>
      </c>
      <c r="AK103" s="446">
        <f t="shared" si="89"/>
        <v>16.123574251716104</v>
      </c>
      <c r="AL103" s="446">
        <f t="shared" si="89"/>
        <v>16.446045736750424</v>
      </c>
      <c r="AM103" s="446">
        <f t="shared" si="89"/>
        <v>16.774966651485435</v>
      </c>
      <c r="AN103" s="446">
        <f t="shared" si="89"/>
        <v>17.110465984515137</v>
      </c>
      <c r="AO103" s="446">
        <f t="shared" si="89"/>
        <v>17.452675304205446</v>
      </c>
      <c r="AP103" s="446">
        <f t="shared" ref="AP103:BU103" si="90">AP102*(1 + $D$5)^(AP2 - $I$2)</f>
        <v>17.801728810289553</v>
      </c>
      <c r="AQ103" s="446">
        <f t="shared" si="90"/>
        <v>18.157763386495343</v>
      </c>
      <c r="AR103" s="446">
        <f t="shared" si="90"/>
        <v>18.520918654225252</v>
      </c>
      <c r="AS103" s="446">
        <f t="shared" si="90"/>
        <v>18.891337027309756</v>
      </c>
      <c r="AT103" s="446">
        <f t="shared" si="90"/>
        <v>19.269163767855954</v>
      </c>
      <c r="AU103" s="446">
        <f t="shared" si="90"/>
        <v>19.654547043213075</v>
      </c>
      <c r="AV103" s="446">
        <f t="shared" si="90"/>
        <v>20.047637984077326</v>
      </c>
      <c r="AW103" s="446">
        <f t="shared" si="90"/>
        <v>20.448590743758878</v>
      </c>
      <c r="AX103" s="446">
        <f t="shared" si="90"/>
        <v>20.857562558634058</v>
      </c>
      <c r="AY103" s="446">
        <f t="shared" si="90"/>
        <v>21.274713809806737</v>
      </c>
      <c r="AZ103" s="446">
        <f t="shared" si="90"/>
        <v>21.700208086002871</v>
      </c>
      <c r="BA103" s="446">
        <f t="shared" si="90"/>
        <v>22.134212247722932</v>
      </c>
      <c r="BB103" s="446">
        <f t="shared" si="90"/>
        <v>22.576896492677388</v>
      </c>
      <c r="BC103" s="446">
        <f t="shared" si="90"/>
        <v>23.028434422530939</v>
      </c>
      <c r="BD103" s="446">
        <f t="shared" si="90"/>
        <v>23.48900311098155</v>
      </c>
      <c r="BE103" s="446">
        <f t="shared" si="90"/>
        <v>23.958783173201184</v>
      </c>
      <c r="BF103" s="446">
        <f t="shared" si="90"/>
        <v>24.43795883666521</v>
      </c>
      <c r="BG103" s="446">
        <f t="shared" si="90"/>
        <v>24.926718013398514</v>
      </c>
      <c r="BH103" s="446">
        <f t="shared" si="90"/>
        <v>25.425252373666481</v>
      </c>
      <c r="BI103" s="446">
        <f t="shared" si="90"/>
        <v>25.933757421139813</v>
      </c>
      <c r="BJ103" s="446">
        <f t="shared" si="90"/>
        <v>26.452432569562607</v>
      </c>
      <c r="BK103" s="446">
        <f t="shared" si="90"/>
        <v>26.98148122095386</v>
      </c>
      <c r="BL103" s="446">
        <f t="shared" si="90"/>
        <v>27.521110845372931</v>
      </c>
      <c r="BM103" s="446">
        <f t="shared" si="90"/>
        <v>28.071533062280391</v>
      </c>
      <c r="BN103" s="446">
        <f t="shared" si="90"/>
        <v>28.632963723526</v>
      </c>
      <c r="BO103" s="446">
        <f t="shared" si="90"/>
        <v>29.205622997996521</v>
      </c>
      <c r="BP103" s="446">
        <f t="shared" si="90"/>
        <v>29.789735457956446</v>
      </c>
      <c r="BQ103" s="446">
        <f t="shared" si="90"/>
        <v>30.385530167115583</v>
      </c>
      <c r="BR103" s="446">
        <f t="shared" si="90"/>
        <v>30.993240770457891</v>
      </c>
      <c r="BS103" s="446">
        <f t="shared" si="90"/>
        <v>31.61310558586705</v>
      </c>
      <c r="BT103" s="446">
        <f t="shared" si="90"/>
        <v>32.245367697584385</v>
      </c>
      <c r="BU103" s="446">
        <f t="shared" si="90"/>
        <v>32.890275051536079</v>
      </c>
      <c r="BV103" s="446">
        <f t="shared" ref="BV103:DA103" si="91">BV102*(1 + $D$5)^(BV2 - $I$2)</f>
        <v>33.548080552566802</v>
      </c>
      <c r="BW103" s="446">
        <f t="shared" si="91"/>
        <v>34.219042163618134</v>
      </c>
      <c r="BX103" s="446">
        <f t="shared" si="91"/>
        <v>34.903423006890499</v>
      </c>
      <c r="BY103" s="446">
        <f t="shared" si="91"/>
        <v>35.60149146702831</v>
      </c>
      <c r="BZ103" s="446">
        <f t="shared" si="91"/>
        <v>36.313521296368876</v>
      </c>
      <c r="CA103" s="446">
        <f t="shared" si="91"/>
        <v>37.039791722296258</v>
      </c>
      <c r="CB103" s="446">
        <f t="shared" si="91"/>
        <v>37.780587556742177</v>
      </c>
      <c r="CC103" s="446">
        <f t="shared" si="91"/>
        <v>38.53619930787702</v>
      </c>
      <c r="CD103" s="446">
        <f t="shared" si="91"/>
        <v>39.306923294034561</v>
      </c>
      <c r="CE103" s="446">
        <f t="shared" si="91"/>
        <v>40.093061759915258</v>
      </c>
      <c r="CF103" s="446">
        <f t="shared" si="91"/>
        <v>40.894922995113546</v>
      </c>
      <c r="CG103" s="446">
        <f t="shared" si="91"/>
        <v>41.712821455015828</v>
      </c>
      <c r="CH103" s="446">
        <f t="shared" si="91"/>
        <v>42.547077884116149</v>
      </c>
      <c r="CI103" s="446">
        <f t="shared" si="91"/>
        <v>43.398019441798468</v>
      </c>
      <c r="CJ103" s="446">
        <f t="shared" si="91"/>
        <v>44.265979830634429</v>
      </c>
      <c r="CK103" s="446">
        <f t="shared" si="91"/>
        <v>45.151299427247125</v>
      </c>
      <c r="CL103" s="446">
        <f t="shared" si="91"/>
        <v>46.054325415792064</v>
      </c>
      <c r="CM103" s="446">
        <f t="shared" si="91"/>
        <v>46.975411924107902</v>
      </c>
      <c r="CN103" s="446">
        <f t="shared" si="91"/>
        <v>47.914920162590064</v>
      </c>
      <c r="CO103" s="446">
        <f t="shared" si="91"/>
        <v>48.873218565841867</v>
      </c>
      <c r="CP103" s="446">
        <f t="shared" si="91"/>
        <v>49.850682937158702</v>
      </c>
      <c r="CQ103" s="446">
        <f t="shared" si="91"/>
        <v>50.84769659590188</v>
      </c>
      <c r="CR103" s="446">
        <f t="shared" si="91"/>
        <v>51.864650527819904</v>
      </c>
      <c r="CS103" s="446">
        <f t="shared" si="91"/>
        <v>52.901943538376308</v>
      </c>
      <c r="CT103" s="446">
        <f t="shared" si="91"/>
        <v>53.959982409143834</v>
      </c>
      <c r="CU103" s="446">
        <f t="shared" si="91"/>
        <v>55.03918205732672</v>
      </c>
      <c r="CV103" s="446">
        <f t="shared" si="91"/>
        <v>56.13996569847324</v>
      </c>
      <c r="CW103" s="446">
        <f t="shared" si="91"/>
        <v>57.262765012442721</v>
      </c>
      <c r="CX103" s="446">
        <f t="shared" si="91"/>
        <v>58.408020312691562</v>
      </c>
      <c r="CY103" s="446">
        <f t="shared" si="91"/>
        <v>59.576180718945402</v>
      </c>
      <c r="CZ103" s="446">
        <f t="shared" si="91"/>
        <v>60.767704333324296</v>
      </c>
      <c r="DA103" s="446">
        <f t="shared" si="91"/>
        <v>61.98305841999079</v>
      </c>
      <c r="DB103" s="446">
        <f t="shared" ref="DB103:DE103" si="92">DB102*(1 + $D$5)^(DB2 - $I$2)</f>
        <v>63.222719588390611</v>
      </c>
      <c r="DC103" s="446">
        <f t="shared" si="92"/>
        <v>64.487173980158417</v>
      </c>
      <c r="DD103" s="446">
        <f t="shared" si="92"/>
        <v>65.776917459761592</v>
      </c>
      <c r="DE103" s="446">
        <f t="shared" si="92"/>
        <v>67.092455808956814</v>
      </c>
      <c r="DF103" s="447"/>
      <c r="DG103" s="447"/>
      <c r="DH103" s="447"/>
      <c r="DI103" s="447"/>
      <c r="DJ103" s="447"/>
      <c r="DK103" s="447"/>
      <c r="DL103" s="447"/>
    </row>
    <row r="104" spans="1:116" ht="15.75" customHeight="1" outlineLevel="1" x14ac:dyDescent="0.25">
      <c r="A104" s="448"/>
      <c r="B104" s="449"/>
      <c r="C104" s="450" t="s">
        <v>361</v>
      </c>
      <c r="D104" s="314" t="s">
        <v>247</v>
      </c>
      <c r="E104" s="451"/>
      <c r="F104" s="316" t="s">
        <v>14</v>
      </c>
      <c r="G104" s="317">
        <f>NPV($D$6, J104:DE104)+I104</f>
        <v>223838341.19123128</v>
      </c>
      <c r="H104" s="452">
        <f t="shared" ref="H104:DL104" si="93">H84+H89+H91+H97+H103</f>
        <v>4543937.7095567016</v>
      </c>
      <c r="I104" s="452">
        <f t="shared" si="93"/>
        <v>4566228.6683567008</v>
      </c>
      <c r="J104" s="452">
        <f t="shared" si="93"/>
        <v>4680403.9708221341</v>
      </c>
      <c r="K104" s="452">
        <f t="shared" si="93"/>
        <v>4797436.3312743586</v>
      </c>
      <c r="L104" s="452">
        <f t="shared" si="93"/>
        <v>4917397.286999478</v>
      </c>
      <c r="M104" s="452">
        <f t="shared" si="93"/>
        <v>5040360.167371559</v>
      </c>
      <c r="N104" s="452">
        <f t="shared" si="93"/>
        <v>5166400.1387640415</v>
      </c>
      <c r="O104" s="452">
        <f t="shared" si="93"/>
        <v>5295594.2505870732</v>
      </c>
      <c r="P104" s="452">
        <f t="shared" si="93"/>
        <v>5428021.4824789288</v>
      </c>
      <c r="Q104" s="452">
        <f t="shared" si="93"/>
        <v>5563762.7926804814</v>
      </c>
      <c r="R104" s="452">
        <f t="shared" si="93"/>
        <v>5702901.167622393</v>
      </c>
      <c r="S104" s="452">
        <f t="shared" si="93"/>
        <v>5845521.672755423</v>
      </c>
      <c r="T104" s="452">
        <f t="shared" si="93"/>
        <v>5991711.5046550296</v>
      </c>
      <c r="U104" s="452">
        <f t="shared" si="93"/>
        <v>6141560.0444322396</v>
      </c>
      <c r="V104" s="452">
        <f t="shared" si="93"/>
        <v>6295158.9124834826</v>
      </c>
      <c r="W104" s="452">
        <f t="shared" si="93"/>
        <v>6452602.0246130684</v>
      </c>
      <c r="X104" s="452">
        <f t="shared" si="93"/>
        <v>6613985.6495625917</v>
      </c>
      <c r="Y104" s="452">
        <f t="shared" si="93"/>
        <v>6779408.4679826852</v>
      </c>
      <c r="Z104" s="452">
        <f t="shared" si="93"/>
        <v>6948971.6328831818</v>
      </c>
      <c r="AA104" s="452">
        <f t="shared" si="93"/>
        <v>7122778.8315988118</v>
      </c>
      <c r="AB104" s="452">
        <f t="shared" si="93"/>
        <v>7300936.3493084433</v>
      </c>
      <c r="AC104" s="452">
        <f t="shared" si="93"/>
        <v>7483553.1341467788</v>
      </c>
      <c r="AD104" s="452">
        <f t="shared" si="93"/>
        <v>7670740.8639485054</v>
      </c>
      <c r="AE104" s="452">
        <f t="shared" si="93"/>
        <v>7862614.0146657703</v>
      </c>
      <c r="AF104" s="452">
        <f t="shared" si="93"/>
        <v>8059289.9305010019</v>
      </c>
      <c r="AG104" s="452">
        <f t="shared" si="93"/>
        <v>8260888.8957980471</v>
      </c>
      <c r="AH104" s="452">
        <f t="shared" si="93"/>
        <v>8467534.2087357454</v>
      </c>
      <c r="AI104" s="452">
        <f t="shared" si="93"/>
        <v>8636885.3313335683</v>
      </c>
      <c r="AJ104" s="452">
        <f t="shared" si="93"/>
        <v>8809623.4851518106</v>
      </c>
      <c r="AK104" s="452">
        <f t="shared" si="93"/>
        <v>8985816.4109902512</v>
      </c>
      <c r="AL104" s="452">
        <f t="shared" si="93"/>
        <v>9165533.2044681609</v>
      </c>
      <c r="AM104" s="452">
        <f t="shared" si="93"/>
        <v>9348844.3431207966</v>
      </c>
      <c r="AN104" s="452">
        <f t="shared" si="93"/>
        <v>9535821.7140377518</v>
      </c>
      <c r="AO104" s="452">
        <f t="shared" si="93"/>
        <v>9726538.6420541368</v>
      </c>
      <c r="AP104" s="452">
        <f t="shared" si="93"/>
        <v>9921069.9185055606</v>
      </c>
      <c r="AQ104" s="452">
        <f t="shared" si="93"/>
        <v>10119491.830558218</v>
      </c>
      <c r="AR104" s="452">
        <f t="shared" si="93"/>
        <v>10321882.191125581</v>
      </c>
      <c r="AS104" s="452">
        <f t="shared" si="93"/>
        <v>10528320.369383417</v>
      </c>
      <c r="AT104" s="452">
        <f t="shared" si="93"/>
        <v>10738887.321895115</v>
      </c>
      <c r="AU104" s="452">
        <f t="shared" si="93"/>
        <v>10953665.624359528</v>
      </c>
      <c r="AV104" s="452">
        <f t="shared" si="93"/>
        <v>11172739.503993753</v>
      </c>
      <c r="AW104" s="452">
        <f t="shared" si="93"/>
        <v>11396194.872563612</v>
      </c>
      <c r="AX104" s="452">
        <f t="shared" si="93"/>
        <v>11624119.360074665</v>
      </c>
      <c r="AY104" s="452">
        <f t="shared" si="93"/>
        <v>11856602.349137133</v>
      </c>
      <c r="AZ104" s="452">
        <f t="shared" si="93"/>
        <v>12093735.010018071</v>
      </c>
      <c r="BA104" s="452">
        <f t="shared" si="93"/>
        <v>12335610.336394593</v>
      </c>
      <c r="BB104" s="452">
        <f t="shared" si="93"/>
        <v>12582323.181822166</v>
      </c>
      <c r="BC104" s="452">
        <f t="shared" si="93"/>
        <v>12833970.296932288</v>
      </c>
      <c r="BD104" s="452">
        <f t="shared" si="93"/>
        <v>13090650.367374079</v>
      </c>
      <c r="BE104" s="452">
        <f t="shared" si="93"/>
        <v>13352464.052514777</v>
      </c>
      <c r="BF104" s="452">
        <f t="shared" si="93"/>
        <v>13619514.024914149</v>
      </c>
      <c r="BG104" s="452">
        <f t="shared" si="93"/>
        <v>13891905.010588491</v>
      </c>
      <c r="BH104" s="452">
        <f t="shared" si="93"/>
        <v>14169743.83007984</v>
      </c>
      <c r="BI104" s="452">
        <f t="shared" si="93"/>
        <v>14453139.440346608</v>
      </c>
      <c r="BJ104" s="452">
        <f t="shared" si="93"/>
        <v>14742202.977492012</v>
      </c>
      <c r="BK104" s="452">
        <f t="shared" si="93"/>
        <v>15037047.800347099</v>
      </c>
      <c r="BL104" s="452">
        <f t="shared" si="93"/>
        <v>15337789.534925386</v>
      </c>
      <c r="BM104" s="452">
        <f t="shared" si="93"/>
        <v>15644546.119766671</v>
      </c>
      <c r="BN104" s="452">
        <f t="shared" si="93"/>
        <v>15957437.852187637</v>
      </c>
      <c r="BO104" s="452">
        <f t="shared" si="93"/>
        <v>16276587.435457535</v>
      </c>
      <c r="BP104" s="452">
        <f t="shared" si="93"/>
        <v>16602120.026917351</v>
      </c>
      <c r="BQ104" s="452">
        <f t="shared" si="93"/>
        <v>16934163.287061382</v>
      </c>
      <c r="BR104" s="452">
        <f t="shared" si="93"/>
        <v>17272847.429600403</v>
      </c>
      <c r="BS104" s="452">
        <f t="shared" si="93"/>
        <v>17618305.27252616</v>
      </c>
      <c r="BT104" s="452">
        <f t="shared" si="93"/>
        <v>17970672.290197104</v>
      </c>
      <c r="BU104" s="452">
        <f t="shared" si="93"/>
        <v>18330086.666465882</v>
      </c>
      <c r="BV104" s="452">
        <f t="shared" si="93"/>
        <v>18696689.348869335</v>
      </c>
      <c r="BW104" s="452">
        <f t="shared" si="93"/>
        <v>19070624.103902329</v>
      </c>
      <c r="BX104" s="452">
        <f t="shared" si="93"/>
        <v>19452037.573397104</v>
      </c>
      <c r="BY104" s="452">
        <f t="shared" si="93"/>
        <v>19841079.332030103</v>
      </c>
      <c r="BZ104" s="452">
        <f t="shared" si="93"/>
        <v>20237901.94597907</v>
      </c>
      <c r="CA104" s="452">
        <f t="shared" si="93"/>
        <v>20642661.032753181</v>
      </c>
      <c r="CB104" s="452">
        <f t="shared" si="93"/>
        <v>21055515.32221986</v>
      </c>
      <c r="CC104" s="452">
        <f t="shared" si="93"/>
        <v>21476626.718852106</v>
      </c>
      <c r="CD104" s="452">
        <f t="shared" si="93"/>
        <v>21906160.365220755</v>
      </c>
      <c r="CE104" s="452">
        <f t="shared" si="93"/>
        <v>22344284.706756614</v>
      </c>
      <c r="CF104" s="452">
        <f t="shared" si="93"/>
        <v>22791171.557807807</v>
      </c>
      <c r="CG104" s="452">
        <f t="shared" si="93"/>
        <v>23246996.169018358</v>
      </c>
      <c r="CH104" s="452">
        <f t="shared" si="93"/>
        <v>23711937.296054207</v>
      </c>
      <c r="CI104" s="452">
        <f t="shared" si="93"/>
        <v>24186177.26970388</v>
      </c>
      <c r="CJ104" s="452">
        <f t="shared" si="93"/>
        <v>24669902.067381106</v>
      </c>
      <c r="CK104" s="452">
        <f t="shared" si="93"/>
        <v>25163301.386057556</v>
      </c>
      <c r="CL104" s="452">
        <f t="shared" si="93"/>
        <v>25666568.716654107</v>
      </c>
      <c r="CM104" s="452">
        <f t="shared" si="93"/>
        <v>26179901.419920094</v>
      </c>
      <c r="CN104" s="452">
        <f t="shared" si="93"/>
        <v>26703500.803830061</v>
      </c>
      <c r="CO104" s="452">
        <f t="shared" si="93"/>
        <v>27237572.202528458</v>
      </c>
      <c r="CP104" s="452">
        <f t="shared" si="93"/>
        <v>27782325.056853261</v>
      </c>
      <c r="CQ104" s="452">
        <f t="shared" si="93"/>
        <v>28337972.996470042</v>
      </c>
      <c r="CR104" s="452">
        <f t="shared" si="93"/>
        <v>28904733.923648749</v>
      </c>
      <c r="CS104" s="452">
        <f t="shared" si="93"/>
        <v>29482830.098716024</v>
      </c>
      <c r="CT104" s="452">
        <f t="shared" si="93"/>
        <v>30072488.227216534</v>
      </c>
      <c r="CU104" s="452">
        <f t="shared" si="93"/>
        <v>30673939.548817568</v>
      </c>
      <c r="CV104" s="452">
        <f t="shared" si="93"/>
        <v>31287419.927991755</v>
      </c>
      <c r="CW104" s="452">
        <f t="shared" si="93"/>
        <v>31913169.946513399</v>
      </c>
      <c r="CX104" s="452">
        <f t="shared" si="93"/>
        <v>32551434.997804698</v>
      </c>
      <c r="CY104" s="452">
        <f t="shared" si="93"/>
        <v>33202465.383169048</v>
      </c>
      <c r="CZ104" s="452">
        <f t="shared" si="93"/>
        <v>33866516.409948841</v>
      </c>
      <c r="DA104" s="452">
        <f t="shared" si="93"/>
        <v>34543848.491646573</v>
      </c>
      <c r="DB104" s="452">
        <f t="shared" si="93"/>
        <v>35234727.25004822</v>
      </c>
      <c r="DC104" s="452">
        <f t="shared" si="93"/>
        <v>35939423.619389288</v>
      </c>
      <c r="DD104" s="452">
        <f t="shared" si="93"/>
        <v>36658213.952603966</v>
      </c>
      <c r="DE104" s="452">
        <f t="shared" si="93"/>
        <v>37391380.129699484</v>
      </c>
      <c r="DF104" s="452">
        <f t="shared" si="93"/>
        <v>0</v>
      </c>
      <c r="DG104" s="452">
        <f t="shared" si="93"/>
        <v>0</v>
      </c>
      <c r="DH104" s="452">
        <f t="shared" si="93"/>
        <v>0</v>
      </c>
      <c r="DI104" s="452">
        <f t="shared" si="93"/>
        <v>0</v>
      </c>
      <c r="DJ104" s="452">
        <f t="shared" si="93"/>
        <v>0</v>
      </c>
      <c r="DK104" s="452">
        <f t="shared" si="93"/>
        <v>0</v>
      </c>
      <c r="DL104" s="452">
        <f t="shared" si="93"/>
        <v>0</v>
      </c>
    </row>
    <row r="105" spans="1:116" ht="15.75" customHeight="1" outlineLevel="1" x14ac:dyDescent="0.25">
      <c r="A105" s="766" t="s">
        <v>56</v>
      </c>
      <c r="B105" s="758" t="s">
        <v>319</v>
      </c>
      <c r="C105" s="321" t="s">
        <v>362</v>
      </c>
      <c r="D105" s="280" t="s">
        <v>239</v>
      </c>
      <c r="E105" s="280" t="s">
        <v>122</v>
      </c>
      <c r="F105" s="280"/>
      <c r="G105" s="280" t="s">
        <v>363</v>
      </c>
      <c r="H105" s="300">
        <f t="shared" ref="H105:I105" si="94">(1.9*10^9)*0.1</f>
        <v>190000000</v>
      </c>
      <c r="I105" s="301">
        <f t="shared" si="94"/>
        <v>190000000</v>
      </c>
      <c r="J105" s="301">
        <f t="shared" ref="J105:DE105" si="95">I105</f>
        <v>190000000</v>
      </c>
      <c r="K105" s="301">
        <f t="shared" si="95"/>
        <v>190000000</v>
      </c>
      <c r="L105" s="301">
        <f t="shared" si="95"/>
        <v>190000000</v>
      </c>
      <c r="M105" s="301">
        <f t="shared" si="95"/>
        <v>190000000</v>
      </c>
      <c r="N105" s="301">
        <f t="shared" si="95"/>
        <v>190000000</v>
      </c>
      <c r="O105" s="301">
        <f t="shared" si="95"/>
        <v>190000000</v>
      </c>
      <c r="P105" s="301">
        <f t="shared" si="95"/>
        <v>190000000</v>
      </c>
      <c r="Q105" s="301">
        <f t="shared" si="95"/>
        <v>190000000</v>
      </c>
      <c r="R105" s="301">
        <f t="shared" si="95"/>
        <v>190000000</v>
      </c>
      <c r="S105" s="301">
        <f t="shared" si="95"/>
        <v>190000000</v>
      </c>
      <c r="T105" s="301">
        <f t="shared" si="95"/>
        <v>190000000</v>
      </c>
      <c r="U105" s="301">
        <f t="shared" si="95"/>
        <v>190000000</v>
      </c>
      <c r="V105" s="301">
        <f t="shared" si="95"/>
        <v>190000000</v>
      </c>
      <c r="W105" s="301">
        <f t="shared" si="95"/>
        <v>190000000</v>
      </c>
      <c r="X105" s="301">
        <f t="shared" si="95"/>
        <v>190000000</v>
      </c>
      <c r="Y105" s="301">
        <f t="shared" si="95"/>
        <v>190000000</v>
      </c>
      <c r="Z105" s="301">
        <f t="shared" si="95"/>
        <v>190000000</v>
      </c>
      <c r="AA105" s="301">
        <f t="shared" si="95"/>
        <v>190000000</v>
      </c>
      <c r="AB105" s="301">
        <f t="shared" si="95"/>
        <v>190000000</v>
      </c>
      <c r="AC105" s="301">
        <f t="shared" si="95"/>
        <v>190000000</v>
      </c>
      <c r="AD105" s="301">
        <f t="shared" si="95"/>
        <v>190000000</v>
      </c>
      <c r="AE105" s="301">
        <f t="shared" si="95"/>
        <v>190000000</v>
      </c>
      <c r="AF105" s="301">
        <f t="shared" si="95"/>
        <v>190000000</v>
      </c>
      <c r="AG105" s="301">
        <f t="shared" si="95"/>
        <v>190000000</v>
      </c>
      <c r="AH105" s="301">
        <f t="shared" si="95"/>
        <v>190000000</v>
      </c>
      <c r="AI105" s="301">
        <f t="shared" si="95"/>
        <v>190000000</v>
      </c>
      <c r="AJ105" s="301">
        <f t="shared" si="95"/>
        <v>190000000</v>
      </c>
      <c r="AK105" s="301">
        <f t="shared" si="95"/>
        <v>190000000</v>
      </c>
      <c r="AL105" s="301">
        <f t="shared" si="95"/>
        <v>190000000</v>
      </c>
      <c r="AM105" s="301">
        <f t="shared" si="95"/>
        <v>190000000</v>
      </c>
      <c r="AN105" s="301">
        <f t="shared" si="95"/>
        <v>190000000</v>
      </c>
      <c r="AO105" s="301">
        <f t="shared" si="95"/>
        <v>190000000</v>
      </c>
      <c r="AP105" s="301">
        <f t="shared" si="95"/>
        <v>190000000</v>
      </c>
      <c r="AQ105" s="301">
        <f t="shared" si="95"/>
        <v>190000000</v>
      </c>
      <c r="AR105" s="301">
        <f t="shared" si="95"/>
        <v>190000000</v>
      </c>
      <c r="AS105" s="301">
        <f t="shared" si="95"/>
        <v>190000000</v>
      </c>
      <c r="AT105" s="301">
        <f t="shared" si="95"/>
        <v>190000000</v>
      </c>
      <c r="AU105" s="301">
        <f t="shared" si="95"/>
        <v>190000000</v>
      </c>
      <c r="AV105" s="301">
        <f t="shared" si="95"/>
        <v>190000000</v>
      </c>
      <c r="AW105" s="301">
        <f t="shared" si="95"/>
        <v>190000000</v>
      </c>
      <c r="AX105" s="301">
        <f t="shared" si="95"/>
        <v>190000000</v>
      </c>
      <c r="AY105" s="301">
        <f t="shared" si="95"/>
        <v>190000000</v>
      </c>
      <c r="AZ105" s="301">
        <f t="shared" si="95"/>
        <v>190000000</v>
      </c>
      <c r="BA105" s="301">
        <f t="shared" si="95"/>
        <v>190000000</v>
      </c>
      <c r="BB105" s="301">
        <f t="shared" si="95"/>
        <v>190000000</v>
      </c>
      <c r="BC105" s="301">
        <f t="shared" si="95"/>
        <v>190000000</v>
      </c>
      <c r="BD105" s="301">
        <f t="shared" si="95"/>
        <v>190000000</v>
      </c>
      <c r="BE105" s="301">
        <f t="shared" si="95"/>
        <v>190000000</v>
      </c>
      <c r="BF105" s="301">
        <f t="shared" si="95"/>
        <v>190000000</v>
      </c>
      <c r="BG105" s="301">
        <f t="shared" si="95"/>
        <v>190000000</v>
      </c>
      <c r="BH105" s="301">
        <f t="shared" si="95"/>
        <v>190000000</v>
      </c>
      <c r="BI105" s="301">
        <f t="shared" si="95"/>
        <v>190000000</v>
      </c>
      <c r="BJ105" s="301">
        <f t="shared" si="95"/>
        <v>190000000</v>
      </c>
      <c r="BK105" s="301">
        <f t="shared" si="95"/>
        <v>190000000</v>
      </c>
      <c r="BL105" s="301">
        <f t="shared" si="95"/>
        <v>190000000</v>
      </c>
      <c r="BM105" s="301">
        <f t="shared" si="95"/>
        <v>190000000</v>
      </c>
      <c r="BN105" s="301">
        <f t="shared" si="95"/>
        <v>190000000</v>
      </c>
      <c r="BO105" s="301">
        <f t="shared" si="95"/>
        <v>190000000</v>
      </c>
      <c r="BP105" s="301">
        <f t="shared" si="95"/>
        <v>190000000</v>
      </c>
      <c r="BQ105" s="301">
        <f t="shared" si="95"/>
        <v>190000000</v>
      </c>
      <c r="BR105" s="301">
        <f t="shared" si="95"/>
        <v>190000000</v>
      </c>
      <c r="BS105" s="301">
        <f t="shared" si="95"/>
        <v>190000000</v>
      </c>
      <c r="BT105" s="301">
        <f t="shared" si="95"/>
        <v>190000000</v>
      </c>
      <c r="BU105" s="301">
        <f t="shared" si="95"/>
        <v>190000000</v>
      </c>
      <c r="BV105" s="301">
        <f t="shared" si="95"/>
        <v>190000000</v>
      </c>
      <c r="BW105" s="301">
        <f t="shared" si="95"/>
        <v>190000000</v>
      </c>
      <c r="BX105" s="301">
        <f t="shared" si="95"/>
        <v>190000000</v>
      </c>
      <c r="BY105" s="301">
        <f t="shared" si="95"/>
        <v>190000000</v>
      </c>
      <c r="BZ105" s="301">
        <f t="shared" si="95"/>
        <v>190000000</v>
      </c>
      <c r="CA105" s="301">
        <f t="shared" si="95"/>
        <v>190000000</v>
      </c>
      <c r="CB105" s="301">
        <f t="shared" si="95"/>
        <v>190000000</v>
      </c>
      <c r="CC105" s="301">
        <f t="shared" si="95"/>
        <v>190000000</v>
      </c>
      <c r="CD105" s="301">
        <f t="shared" si="95"/>
        <v>190000000</v>
      </c>
      <c r="CE105" s="301">
        <f t="shared" si="95"/>
        <v>190000000</v>
      </c>
      <c r="CF105" s="301">
        <f t="shared" si="95"/>
        <v>190000000</v>
      </c>
      <c r="CG105" s="301">
        <f t="shared" si="95"/>
        <v>190000000</v>
      </c>
      <c r="CH105" s="301">
        <f t="shared" si="95"/>
        <v>190000000</v>
      </c>
      <c r="CI105" s="301">
        <f t="shared" si="95"/>
        <v>190000000</v>
      </c>
      <c r="CJ105" s="301">
        <f t="shared" si="95"/>
        <v>190000000</v>
      </c>
      <c r="CK105" s="301">
        <f t="shared" si="95"/>
        <v>190000000</v>
      </c>
      <c r="CL105" s="301">
        <f t="shared" si="95"/>
        <v>190000000</v>
      </c>
      <c r="CM105" s="301">
        <f t="shared" si="95"/>
        <v>190000000</v>
      </c>
      <c r="CN105" s="301">
        <f t="shared" si="95"/>
        <v>190000000</v>
      </c>
      <c r="CO105" s="301">
        <f t="shared" si="95"/>
        <v>190000000</v>
      </c>
      <c r="CP105" s="301">
        <f t="shared" si="95"/>
        <v>190000000</v>
      </c>
      <c r="CQ105" s="301">
        <f t="shared" si="95"/>
        <v>190000000</v>
      </c>
      <c r="CR105" s="301">
        <f t="shared" si="95"/>
        <v>190000000</v>
      </c>
      <c r="CS105" s="301">
        <f t="shared" si="95"/>
        <v>190000000</v>
      </c>
      <c r="CT105" s="301">
        <f t="shared" si="95"/>
        <v>190000000</v>
      </c>
      <c r="CU105" s="301">
        <f t="shared" si="95"/>
        <v>190000000</v>
      </c>
      <c r="CV105" s="301">
        <f t="shared" si="95"/>
        <v>190000000</v>
      </c>
      <c r="CW105" s="301">
        <f t="shared" si="95"/>
        <v>190000000</v>
      </c>
      <c r="CX105" s="301">
        <f t="shared" si="95"/>
        <v>190000000</v>
      </c>
      <c r="CY105" s="301">
        <f t="shared" si="95"/>
        <v>190000000</v>
      </c>
      <c r="CZ105" s="301">
        <f t="shared" si="95"/>
        <v>190000000</v>
      </c>
      <c r="DA105" s="301">
        <f t="shared" si="95"/>
        <v>190000000</v>
      </c>
      <c r="DB105" s="301">
        <f t="shared" si="95"/>
        <v>190000000</v>
      </c>
      <c r="DC105" s="301">
        <f t="shared" si="95"/>
        <v>190000000</v>
      </c>
      <c r="DD105" s="301">
        <f t="shared" si="95"/>
        <v>190000000</v>
      </c>
      <c r="DE105" s="301">
        <f t="shared" si="95"/>
        <v>190000000</v>
      </c>
      <c r="DF105" s="282"/>
      <c r="DG105" s="282"/>
      <c r="DH105" s="282"/>
      <c r="DI105" s="282"/>
      <c r="DJ105" s="282"/>
      <c r="DK105" s="282"/>
      <c r="DL105" s="282"/>
    </row>
    <row r="106" spans="1:116" ht="15.75" customHeight="1" outlineLevel="1" x14ac:dyDescent="0.25">
      <c r="A106" s="735"/>
      <c r="B106" s="751"/>
      <c r="C106" s="321" t="s">
        <v>323</v>
      </c>
      <c r="D106" s="280" t="s">
        <v>221</v>
      </c>
      <c r="E106" s="299" t="s">
        <v>324</v>
      </c>
      <c r="F106" s="280"/>
      <c r="G106" s="280"/>
      <c r="H106" s="281">
        <v>6300</v>
      </c>
      <c r="I106" s="284">
        <v>6300</v>
      </c>
      <c r="J106" s="284">
        <v>6300</v>
      </c>
      <c r="K106" s="284">
        <v>6300</v>
      </c>
      <c r="L106" s="284">
        <v>6300</v>
      </c>
      <c r="M106" s="284">
        <v>6300</v>
      </c>
      <c r="N106" s="284">
        <v>6300</v>
      </c>
      <c r="O106" s="284">
        <v>6300</v>
      </c>
      <c r="P106" s="284">
        <v>6300</v>
      </c>
      <c r="Q106" s="284">
        <v>6300</v>
      </c>
      <c r="R106" s="284">
        <v>6300</v>
      </c>
      <c r="S106" s="284">
        <v>6300</v>
      </c>
      <c r="T106" s="284">
        <v>6300</v>
      </c>
      <c r="U106" s="284">
        <v>6300</v>
      </c>
      <c r="V106" s="284">
        <v>6300</v>
      </c>
      <c r="W106" s="284">
        <v>6300</v>
      </c>
      <c r="X106" s="284">
        <v>6300</v>
      </c>
      <c r="Y106" s="284">
        <v>6300</v>
      </c>
      <c r="Z106" s="284">
        <v>6300</v>
      </c>
      <c r="AA106" s="284">
        <v>6300</v>
      </c>
      <c r="AB106" s="284">
        <v>6300</v>
      </c>
      <c r="AC106" s="284">
        <v>6300</v>
      </c>
      <c r="AD106" s="284">
        <v>6300</v>
      </c>
      <c r="AE106" s="284">
        <v>6300</v>
      </c>
      <c r="AF106" s="284">
        <v>6300</v>
      </c>
      <c r="AG106" s="284">
        <v>6300</v>
      </c>
      <c r="AH106" s="284">
        <v>6300</v>
      </c>
      <c r="AI106" s="284">
        <v>6300</v>
      </c>
      <c r="AJ106" s="284">
        <v>6300</v>
      </c>
      <c r="AK106" s="284">
        <v>6300</v>
      </c>
      <c r="AL106" s="284">
        <v>6300</v>
      </c>
      <c r="AM106" s="284">
        <v>6300</v>
      </c>
      <c r="AN106" s="284">
        <v>6300</v>
      </c>
      <c r="AO106" s="284">
        <v>6300</v>
      </c>
      <c r="AP106" s="284">
        <v>6300</v>
      </c>
      <c r="AQ106" s="284">
        <v>6300</v>
      </c>
      <c r="AR106" s="284">
        <v>6300</v>
      </c>
      <c r="AS106" s="284">
        <v>6300</v>
      </c>
      <c r="AT106" s="284">
        <v>6300</v>
      </c>
      <c r="AU106" s="284">
        <v>6300</v>
      </c>
      <c r="AV106" s="284">
        <v>6300</v>
      </c>
      <c r="AW106" s="284">
        <v>6300</v>
      </c>
      <c r="AX106" s="284">
        <v>6300</v>
      </c>
      <c r="AY106" s="284">
        <v>6300</v>
      </c>
      <c r="AZ106" s="284">
        <v>6300</v>
      </c>
      <c r="BA106" s="284">
        <v>6300</v>
      </c>
      <c r="BB106" s="284">
        <v>6300</v>
      </c>
      <c r="BC106" s="284">
        <v>6300</v>
      </c>
      <c r="BD106" s="284">
        <v>6300</v>
      </c>
      <c r="BE106" s="284">
        <v>6300</v>
      </c>
      <c r="BF106" s="284">
        <v>6300</v>
      </c>
      <c r="BG106" s="284">
        <v>6300</v>
      </c>
      <c r="BH106" s="284">
        <v>6300</v>
      </c>
      <c r="BI106" s="284">
        <v>6300</v>
      </c>
      <c r="BJ106" s="284">
        <v>6300</v>
      </c>
      <c r="BK106" s="284">
        <v>6300</v>
      </c>
      <c r="BL106" s="284">
        <v>6300</v>
      </c>
      <c r="BM106" s="284">
        <v>6300</v>
      </c>
      <c r="BN106" s="284">
        <v>6300</v>
      </c>
      <c r="BO106" s="284">
        <v>6300</v>
      </c>
      <c r="BP106" s="284">
        <v>6300</v>
      </c>
      <c r="BQ106" s="284">
        <v>6300</v>
      </c>
      <c r="BR106" s="284">
        <v>6300</v>
      </c>
      <c r="BS106" s="284">
        <v>6300</v>
      </c>
      <c r="BT106" s="284">
        <v>6300</v>
      </c>
      <c r="BU106" s="284">
        <v>6300</v>
      </c>
      <c r="BV106" s="284">
        <v>6300</v>
      </c>
      <c r="BW106" s="284">
        <v>6300</v>
      </c>
      <c r="BX106" s="284">
        <v>6300</v>
      </c>
      <c r="BY106" s="284">
        <v>6300</v>
      </c>
      <c r="BZ106" s="284">
        <v>6300</v>
      </c>
      <c r="CA106" s="284">
        <v>6300</v>
      </c>
      <c r="CB106" s="284">
        <v>6300</v>
      </c>
      <c r="CC106" s="284">
        <v>6300</v>
      </c>
      <c r="CD106" s="284">
        <v>6300</v>
      </c>
      <c r="CE106" s="284">
        <v>6300</v>
      </c>
      <c r="CF106" s="284">
        <v>6300</v>
      </c>
      <c r="CG106" s="284">
        <v>6300</v>
      </c>
      <c r="CH106" s="284">
        <v>6300</v>
      </c>
      <c r="CI106" s="284">
        <v>6300</v>
      </c>
      <c r="CJ106" s="284">
        <v>6300</v>
      </c>
      <c r="CK106" s="284">
        <v>6300</v>
      </c>
      <c r="CL106" s="284">
        <v>6300</v>
      </c>
      <c r="CM106" s="284">
        <v>6300</v>
      </c>
      <c r="CN106" s="284">
        <v>6300</v>
      </c>
      <c r="CO106" s="284">
        <v>6300</v>
      </c>
      <c r="CP106" s="284">
        <v>6300</v>
      </c>
      <c r="CQ106" s="284">
        <v>6300</v>
      </c>
      <c r="CR106" s="284">
        <v>6300</v>
      </c>
      <c r="CS106" s="284">
        <v>6300</v>
      </c>
      <c r="CT106" s="284">
        <v>6300</v>
      </c>
      <c r="CU106" s="284">
        <v>6300</v>
      </c>
      <c r="CV106" s="284">
        <v>6300</v>
      </c>
      <c r="CW106" s="284">
        <v>6300</v>
      </c>
      <c r="CX106" s="284">
        <v>6300</v>
      </c>
      <c r="CY106" s="284">
        <v>6300</v>
      </c>
      <c r="CZ106" s="284">
        <v>6300</v>
      </c>
      <c r="DA106" s="284">
        <v>6300</v>
      </c>
      <c r="DB106" s="284">
        <v>6300</v>
      </c>
      <c r="DC106" s="284">
        <v>6300</v>
      </c>
      <c r="DD106" s="284">
        <v>6300</v>
      </c>
      <c r="DE106" s="284">
        <v>6300</v>
      </c>
      <c r="DF106" s="284"/>
      <c r="DG106" s="284"/>
      <c r="DH106" s="284"/>
      <c r="DI106" s="284"/>
      <c r="DJ106" s="284"/>
      <c r="DK106" s="284"/>
      <c r="DL106" s="284"/>
    </row>
    <row r="107" spans="1:116" ht="15.75" customHeight="1" outlineLevel="1" x14ac:dyDescent="0.25">
      <c r="A107" s="735"/>
      <c r="B107" s="751"/>
      <c r="C107" s="347" t="s">
        <v>325</v>
      </c>
      <c r="D107" s="293" t="s">
        <v>326</v>
      </c>
      <c r="E107" s="293" t="str">
        <f ca="1">IFERROR(__xludf.DUMMYFUNCTION("SINGLE(FORMULATEXT(H111))"),"=H110*$G$111")</f>
        <v>=H110*$G$111</v>
      </c>
      <c r="F107" s="349"/>
      <c r="G107" s="349"/>
      <c r="H107" s="425">
        <f t="shared" ref="H107:DE107" si="96">H105/H106</f>
        <v>30158.730158730159</v>
      </c>
      <c r="I107" s="426">
        <f t="shared" si="96"/>
        <v>30158.730158730159</v>
      </c>
      <c r="J107" s="426">
        <f t="shared" si="96"/>
        <v>30158.730158730159</v>
      </c>
      <c r="K107" s="426">
        <f t="shared" si="96"/>
        <v>30158.730158730159</v>
      </c>
      <c r="L107" s="426">
        <f t="shared" si="96"/>
        <v>30158.730158730159</v>
      </c>
      <c r="M107" s="426">
        <f t="shared" si="96"/>
        <v>30158.730158730159</v>
      </c>
      <c r="N107" s="426">
        <f t="shared" si="96"/>
        <v>30158.730158730159</v>
      </c>
      <c r="O107" s="426">
        <f t="shared" si="96"/>
        <v>30158.730158730159</v>
      </c>
      <c r="P107" s="426">
        <f t="shared" si="96"/>
        <v>30158.730158730159</v>
      </c>
      <c r="Q107" s="426">
        <f t="shared" si="96"/>
        <v>30158.730158730159</v>
      </c>
      <c r="R107" s="426">
        <f t="shared" si="96"/>
        <v>30158.730158730159</v>
      </c>
      <c r="S107" s="426">
        <f t="shared" si="96"/>
        <v>30158.730158730159</v>
      </c>
      <c r="T107" s="426">
        <f t="shared" si="96"/>
        <v>30158.730158730159</v>
      </c>
      <c r="U107" s="426">
        <f t="shared" si="96"/>
        <v>30158.730158730159</v>
      </c>
      <c r="V107" s="426">
        <f t="shared" si="96"/>
        <v>30158.730158730159</v>
      </c>
      <c r="W107" s="426">
        <f t="shared" si="96"/>
        <v>30158.730158730159</v>
      </c>
      <c r="X107" s="426">
        <f t="shared" si="96"/>
        <v>30158.730158730159</v>
      </c>
      <c r="Y107" s="426">
        <f t="shared" si="96"/>
        <v>30158.730158730159</v>
      </c>
      <c r="Z107" s="426">
        <f t="shared" si="96"/>
        <v>30158.730158730159</v>
      </c>
      <c r="AA107" s="426">
        <f t="shared" si="96"/>
        <v>30158.730158730159</v>
      </c>
      <c r="AB107" s="426">
        <f t="shared" si="96"/>
        <v>30158.730158730159</v>
      </c>
      <c r="AC107" s="426">
        <f t="shared" si="96"/>
        <v>30158.730158730159</v>
      </c>
      <c r="AD107" s="426">
        <f t="shared" si="96"/>
        <v>30158.730158730159</v>
      </c>
      <c r="AE107" s="426">
        <f t="shared" si="96"/>
        <v>30158.730158730159</v>
      </c>
      <c r="AF107" s="426">
        <f t="shared" si="96"/>
        <v>30158.730158730159</v>
      </c>
      <c r="AG107" s="426">
        <f t="shared" si="96"/>
        <v>30158.730158730159</v>
      </c>
      <c r="AH107" s="426">
        <f t="shared" si="96"/>
        <v>30158.730158730159</v>
      </c>
      <c r="AI107" s="426">
        <f t="shared" si="96"/>
        <v>30158.730158730159</v>
      </c>
      <c r="AJ107" s="426">
        <f t="shared" si="96"/>
        <v>30158.730158730159</v>
      </c>
      <c r="AK107" s="426">
        <f t="shared" si="96"/>
        <v>30158.730158730159</v>
      </c>
      <c r="AL107" s="426">
        <f t="shared" si="96"/>
        <v>30158.730158730159</v>
      </c>
      <c r="AM107" s="426">
        <f t="shared" si="96"/>
        <v>30158.730158730159</v>
      </c>
      <c r="AN107" s="426">
        <f t="shared" si="96"/>
        <v>30158.730158730159</v>
      </c>
      <c r="AO107" s="426">
        <f t="shared" si="96"/>
        <v>30158.730158730159</v>
      </c>
      <c r="AP107" s="426">
        <f t="shared" si="96"/>
        <v>30158.730158730159</v>
      </c>
      <c r="AQ107" s="426">
        <f t="shared" si="96"/>
        <v>30158.730158730159</v>
      </c>
      <c r="AR107" s="426">
        <f t="shared" si="96"/>
        <v>30158.730158730159</v>
      </c>
      <c r="AS107" s="426">
        <f t="shared" si="96"/>
        <v>30158.730158730159</v>
      </c>
      <c r="AT107" s="426">
        <f t="shared" si="96"/>
        <v>30158.730158730159</v>
      </c>
      <c r="AU107" s="426">
        <f t="shared" si="96"/>
        <v>30158.730158730159</v>
      </c>
      <c r="AV107" s="426">
        <f t="shared" si="96"/>
        <v>30158.730158730159</v>
      </c>
      <c r="AW107" s="426">
        <f t="shared" si="96"/>
        <v>30158.730158730159</v>
      </c>
      <c r="AX107" s="426">
        <f t="shared" si="96"/>
        <v>30158.730158730159</v>
      </c>
      <c r="AY107" s="426">
        <f t="shared" si="96"/>
        <v>30158.730158730159</v>
      </c>
      <c r="AZ107" s="426">
        <f t="shared" si="96"/>
        <v>30158.730158730159</v>
      </c>
      <c r="BA107" s="426">
        <f t="shared" si="96"/>
        <v>30158.730158730159</v>
      </c>
      <c r="BB107" s="426">
        <f t="shared" si="96"/>
        <v>30158.730158730159</v>
      </c>
      <c r="BC107" s="426">
        <f t="shared" si="96"/>
        <v>30158.730158730159</v>
      </c>
      <c r="BD107" s="426">
        <f t="shared" si="96"/>
        <v>30158.730158730159</v>
      </c>
      <c r="BE107" s="426">
        <f t="shared" si="96"/>
        <v>30158.730158730159</v>
      </c>
      <c r="BF107" s="426">
        <f t="shared" si="96"/>
        <v>30158.730158730159</v>
      </c>
      <c r="BG107" s="426">
        <f t="shared" si="96"/>
        <v>30158.730158730159</v>
      </c>
      <c r="BH107" s="426">
        <f t="shared" si="96"/>
        <v>30158.730158730159</v>
      </c>
      <c r="BI107" s="426">
        <f t="shared" si="96"/>
        <v>30158.730158730159</v>
      </c>
      <c r="BJ107" s="426">
        <f t="shared" si="96"/>
        <v>30158.730158730159</v>
      </c>
      <c r="BK107" s="426">
        <f t="shared" si="96"/>
        <v>30158.730158730159</v>
      </c>
      <c r="BL107" s="426">
        <f t="shared" si="96"/>
        <v>30158.730158730159</v>
      </c>
      <c r="BM107" s="426">
        <f t="shared" si="96"/>
        <v>30158.730158730159</v>
      </c>
      <c r="BN107" s="426">
        <f t="shared" si="96"/>
        <v>30158.730158730159</v>
      </c>
      <c r="BO107" s="426">
        <f t="shared" si="96"/>
        <v>30158.730158730159</v>
      </c>
      <c r="BP107" s="426">
        <f t="shared" si="96"/>
        <v>30158.730158730159</v>
      </c>
      <c r="BQ107" s="426">
        <f t="shared" si="96"/>
        <v>30158.730158730159</v>
      </c>
      <c r="BR107" s="426">
        <f t="shared" si="96"/>
        <v>30158.730158730159</v>
      </c>
      <c r="BS107" s="426">
        <f t="shared" si="96"/>
        <v>30158.730158730159</v>
      </c>
      <c r="BT107" s="426">
        <f t="shared" si="96"/>
        <v>30158.730158730159</v>
      </c>
      <c r="BU107" s="426">
        <f t="shared" si="96"/>
        <v>30158.730158730159</v>
      </c>
      <c r="BV107" s="426">
        <f t="shared" si="96"/>
        <v>30158.730158730159</v>
      </c>
      <c r="BW107" s="426">
        <f t="shared" si="96"/>
        <v>30158.730158730159</v>
      </c>
      <c r="BX107" s="426">
        <f t="shared" si="96"/>
        <v>30158.730158730159</v>
      </c>
      <c r="BY107" s="426">
        <f t="shared" si="96"/>
        <v>30158.730158730159</v>
      </c>
      <c r="BZ107" s="426">
        <f t="shared" si="96"/>
        <v>30158.730158730159</v>
      </c>
      <c r="CA107" s="426">
        <f t="shared" si="96"/>
        <v>30158.730158730159</v>
      </c>
      <c r="CB107" s="426">
        <f t="shared" si="96"/>
        <v>30158.730158730159</v>
      </c>
      <c r="CC107" s="426">
        <f t="shared" si="96"/>
        <v>30158.730158730159</v>
      </c>
      <c r="CD107" s="426">
        <f t="shared" si="96"/>
        <v>30158.730158730159</v>
      </c>
      <c r="CE107" s="426">
        <f t="shared" si="96"/>
        <v>30158.730158730159</v>
      </c>
      <c r="CF107" s="426">
        <f t="shared" si="96"/>
        <v>30158.730158730159</v>
      </c>
      <c r="CG107" s="426">
        <f t="shared" si="96"/>
        <v>30158.730158730159</v>
      </c>
      <c r="CH107" s="426">
        <f t="shared" si="96"/>
        <v>30158.730158730159</v>
      </c>
      <c r="CI107" s="426">
        <f t="shared" si="96"/>
        <v>30158.730158730159</v>
      </c>
      <c r="CJ107" s="426">
        <f t="shared" si="96"/>
        <v>30158.730158730159</v>
      </c>
      <c r="CK107" s="426">
        <f t="shared" si="96"/>
        <v>30158.730158730159</v>
      </c>
      <c r="CL107" s="426">
        <f t="shared" si="96"/>
        <v>30158.730158730159</v>
      </c>
      <c r="CM107" s="426">
        <f t="shared" si="96"/>
        <v>30158.730158730159</v>
      </c>
      <c r="CN107" s="426">
        <f t="shared" si="96"/>
        <v>30158.730158730159</v>
      </c>
      <c r="CO107" s="426">
        <f t="shared" si="96"/>
        <v>30158.730158730159</v>
      </c>
      <c r="CP107" s="426">
        <f t="shared" si="96"/>
        <v>30158.730158730159</v>
      </c>
      <c r="CQ107" s="426">
        <f t="shared" si="96"/>
        <v>30158.730158730159</v>
      </c>
      <c r="CR107" s="426">
        <f t="shared" si="96"/>
        <v>30158.730158730159</v>
      </c>
      <c r="CS107" s="426">
        <f t="shared" si="96"/>
        <v>30158.730158730159</v>
      </c>
      <c r="CT107" s="426">
        <f t="shared" si="96"/>
        <v>30158.730158730159</v>
      </c>
      <c r="CU107" s="426">
        <f t="shared" si="96"/>
        <v>30158.730158730159</v>
      </c>
      <c r="CV107" s="426">
        <f t="shared" si="96"/>
        <v>30158.730158730159</v>
      </c>
      <c r="CW107" s="426">
        <f t="shared" si="96"/>
        <v>30158.730158730159</v>
      </c>
      <c r="CX107" s="426">
        <f t="shared" si="96"/>
        <v>30158.730158730159</v>
      </c>
      <c r="CY107" s="426">
        <f t="shared" si="96"/>
        <v>30158.730158730159</v>
      </c>
      <c r="CZ107" s="426">
        <f t="shared" si="96"/>
        <v>30158.730158730159</v>
      </c>
      <c r="DA107" s="426">
        <f t="shared" si="96"/>
        <v>30158.730158730159</v>
      </c>
      <c r="DB107" s="426">
        <f t="shared" si="96"/>
        <v>30158.730158730159</v>
      </c>
      <c r="DC107" s="426">
        <f t="shared" si="96"/>
        <v>30158.730158730159</v>
      </c>
      <c r="DD107" s="426">
        <f t="shared" si="96"/>
        <v>30158.730158730159</v>
      </c>
      <c r="DE107" s="426">
        <f t="shared" si="96"/>
        <v>30158.730158730159</v>
      </c>
      <c r="DF107" s="427"/>
      <c r="DG107" s="427"/>
      <c r="DH107" s="427"/>
      <c r="DI107" s="427"/>
      <c r="DJ107" s="427"/>
      <c r="DK107" s="427"/>
      <c r="DL107" s="427"/>
    </row>
    <row r="108" spans="1:116" ht="15.75" customHeight="1" outlineLevel="1" x14ac:dyDescent="0.25">
      <c r="A108" s="735"/>
      <c r="B108" s="751"/>
      <c r="C108" s="321" t="s">
        <v>327</v>
      </c>
      <c r="D108" s="280" t="s">
        <v>221</v>
      </c>
      <c r="E108" s="280" t="s">
        <v>328</v>
      </c>
      <c r="F108" s="280"/>
      <c r="G108" s="280"/>
      <c r="H108" s="297">
        <f>'Unit Costs and Indicators'!D18</f>
        <v>0.28409090909090912</v>
      </c>
      <c r="I108" s="298">
        <f t="shared" ref="I108:DE108" si="97">H108</f>
        <v>0.28409090909090912</v>
      </c>
      <c r="J108" s="298">
        <f t="shared" si="97"/>
        <v>0.28409090909090912</v>
      </c>
      <c r="K108" s="298">
        <f t="shared" si="97"/>
        <v>0.28409090909090912</v>
      </c>
      <c r="L108" s="298">
        <f t="shared" si="97"/>
        <v>0.28409090909090912</v>
      </c>
      <c r="M108" s="298">
        <f t="shared" si="97"/>
        <v>0.28409090909090912</v>
      </c>
      <c r="N108" s="298">
        <f t="shared" si="97"/>
        <v>0.28409090909090912</v>
      </c>
      <c r="O108" s="298">
        <f t="shared" si="97"/>
        <v>0.28409090909090912</v>
      </c>
      <c r="P108" s="298">
        <f t="shared" si="97"/>
        <v>0.28409090909090912</v>
      </c>
      <c r="Q108" s="298">
        <f t="shared" si="97"/>
        <v>0.28409090909090912</v>
      </c>
      <c r="R108" s="298">
        <f t="shared" si="97"/>
        <v>0.28409090909090912</v>
      </c>
      <c r="S108" s="298">
        <f t="shared" si="97"/>
        <v>0.28409090909090912</v>
      </c>
      <c r="T108" s="298">
        <f t="shared" si="97"/>
        <v>0.28409090909090912</v>
      </c>
      <c r="U108" s="298">
        <f t="shared" si="97"/>
        <v>0.28409090909090912</v>
      </c>
      <c r="V108" s="298">
        <f t="shared" si="97"/>
        <v>0.28409090909090912</v>
      </c>
      <c r="W108" s="298">
        <f t="shared" si="97"/>
        <v>0.28409090909090912</v>
      </c>
      <c r="X108" s="298">
        <f t="shared" si="97"/>
        <v>0.28409090909090912</v>
      </c>
      <c r="Y108" s="298">
        <f t="shared" si="97"/>
        <v>0.28409090909090912</v>
      </c>
      <c r="Z108" s="298">
        <f t="shared" si="97"/>
        <v>0.28409090909090912</v>
      </c>
      <c r="AA108" s="298">
        <f t="shared" si="97"/>
        <v>0.28409090909090912</v>
      </c>
      <c r="AB108" s="298">
        <f t="shared" si="97"/>
        <v>0.28409090909090912</v>
      </c>
      <c r="AC108" s="298">
        <f t="shared" si="97"/>
        <v>0.28409090909090912</v>
      </c>
      <c r="AD108" s="298">
        <f t="shared" si="97"/>
        <v>0.28409090909090912</v>
      </c>
      <c r="AE108" s="298">
        <f t="shared" si="97"/>
        <v>0.28409090909090912</v>
      </c>
      <c r="AF108" s="298">
        <f t="shared" si="97"/>
        <v>0.28409090909090912</v>
      </c>
      <c r="AG108" s="298">
        <f t="shared" si="97"/>
        <v>0.28409090909090912</v>
      </c>
      <c r="AH108" s="298">
        <f t="shared" si="97"/>
        <v>0.28409090909090912</v>
      </c>
      <c r="AI108" s="298">
        <f t="shared" si="97"/>
        <v>0.28409090909090912</v>
      </c>
      <c r="AJ108" s="298">
        <f t="shared" si="97"/>
        <v>0.28409090909090912</v>
      </c>
      <c r="AK108" s="298">
        <f t="shared" si="97"/>
        <v>0.28409090909090912</v>
      </c>
      <c r="AL108" s="298">
        <f t="shared" si="97"/>
        <v>0.28409090909090912</v>
      </c>
      <c r="AM108" s="298">
        <f t="shared" si="97"/>
        <v>0.28409090909090912</v>
      </c>
      <c r="AN108" s="298">
        <f t="shared" si="97"/>
        <v>0.28409090909090912</v>
      </c>
      <c r="AO108" s="298">
        <f t="shared" si="97"/>
        <v>0.28409090909090912</v>
      </c>
      <c r="AP108" s="298">
        <f t="shared" si="97"/>
        <v>0.28409090909090912</v>
      </c>
      <c r="AQ108" s="298">
        <f t="shared" si="97"/>
        <v>0.28409090909090912</v>
      </c>
      <c r="AR108" s="298">
        <f t="shared" si="97"/>
        <v>0.28409090909090912</v>
      </c>
      <c r="AS108" s="298">
        <f t="shared" si="97"/>
        <v>0.28409090909090912</v>
      </c>
      <c r="AT108" s="298">
        <f t="shared" si="97"/>
        <v>0.28409090909090912</v>
      </c>
      <c r="AU108" s="298">
        <f t="shared" si="97"/>
        <v>0.28409090909090912</v>
      </c>
      <c r="AV108" s="298">
        <f t="shared" si="97"/>
        <v>0.28409090909090912</v>
      </c>
      <c r="AW108" s="298">
        <f t="shared" si="97"/>
        <v>0.28409090909090912</v>
      </c>
      <c r="AX108" s="298">
        <f t="shared" si="97"/>
        <v>0.28409090909090912</v>
      </c>
      <c r="AY108" s="298">
        <f t="shared" si="97"/>
        <v>0.28409090909090912</v>
      </c>
      <c r="AZ108" s="298">
        <f t="shared" si="97"/>
        <v>0.28409090909090912</v>
      </c>
      <c r="BA108" s="298">
        <f t="shared" si="97"/>
        <v>0.28409090909090912</v>
      </c>
      <c r="BB108" s="298">
        <f t="shared" si="97"/>
        <v>0.28409090909090912</v>
      </c>
      <c r="BC108" s="298">
        <f t="shared" si="97"/>
        <v>0.28409090909090912</v>
      </c>
      <c r="BD108" s="298">
        <f t="shared" si="97"/>
        <v>0.28409090909090912</v>
      </c>
      <c r="BE108" s="298">
        <f t="shared" si="97"/>
        <v>0.28409090909090912</v>
      </c>
      <c r="BF108" s="298">
        <f t="shared" si="97"/>
        <v>0.28409090909090912</v>
      </c>
      <c r="BG108" s="298">
        <f t="shared" si="97"/>
        <v>0.28409090909090912</v>
      </c>
      <c r="BH108" s="298">
        <f t="shared" si="97"/>
        <v>0.28409090909090912</v>
      </c>
      <c r="BI108" s="298">
        <f t="shared" si="97"/>
        <v>0.28409090909090912</v>
      </c>
      <c r="BJ108" s="298">
        <f t="shared" si="97"/>
        <v>0.28409090909090912</v>
      </c>
      <c r="BK108" s="298">
        <f t="shared" si="97"/>
        <v>0.28409090909090912</v>
      </c>
      <c r="BL108" s="298">
        <f t="shared" si="97"/>
        <v>0.28409090909090912</v>
      </c>
      <c r="BM108" s="298">
        <f t="shared" si="97"/>
        <v>0.28409090909090912</v>
      </c>
      <c r="BN108" s="298">
        <f t="shared" si="97"/>
        <v>0.28409090909090912</v>
      </c>
      <c r="BO108" s="298">
        <f t="shared" si="97"/>
        <v>0.28409090909090912</v>
      </c>
      <c r="BP108" s="298">
        <f t="shared" si="97"/>
        <v>0.28409090909090912</v>
      </c>
      <c r="BQ108" s="298">
        <f t="shared" si="97"/>
        <v>0.28409090909090912</v>
      </c>
      <c r="BR108" s="298">
        <f t="shared" si="97"/>
        <v>0.28409090909090912</v>
      </c>
      <c r="BS108" s="298">
        <f t="shared" si="97"/>
        <v>0.28409090909090912</v>
      </c>
      <c r="BT108" s="298">
        <f t="shared" si="97"/>
        <v>0.28409090909090912</v>
      </c>
      <c r="BU108" s="298">
        <f t="shared" si="97"/>
        <v>0.28409090909090912</v>
      </c>
      <c r="BV108" s="298">
        <f t="shared" si="97"/>
        <v>0.28409090909090912</v>
      </c>
      <c r="BW108" s="298">
        <f t="shared" si="97"/>
        <v>0.28409090909090912</v>
      </c>
      <c r="BX108" s="298">
        <f t="shared" si="97"/>
        <v>0.28409090909090912</v>
      </c>
      <c r="BY108" s="298">
        <f t="shared" si="97"/>
        <v>0.28409090909090912</v>
      </c>
      <c r="BZ108" s="298">
        <f t="shared" si="97"/>
        <v>0.28409090909090912</v>
      </c>
      <c r="CA108" s="298">
        <f t="shared" si="97"/>
        <v>0.28409090909090912</v>
      </c>
      <c r="CB108" s="298">
        <f t="shared" si="97"/>
        <v>0.28409090909090912</v>
      </c>
      <c r="CC108" s="298">
        <f t="shared" si="97"/>
        <v>0.28409090909090912</v>
      </c>
      <c r="CD108" s="298">
        <f t="shared" si="97"/>
        <v>0.28409090909090912</v>
      </c>
      <c r="CE108" s="298">
        <f t="shared" si="97"/>
        <v>0.28409090909090912</v>
      </c>
      <c r="CF108" s="298">
        <f t="shared" si="97"/>
        <v>0.28409090909090912</v>
      </c>
      <c r="CG108" s="298">
        <f t="shared" si="97"/>
        <v>0.28409090909090912</v>
      </c>
      <c r="CH108" s="298">
        <f t="shared" si="97"/>
        <v>0.28409090909090912</v>
      </c>
      <c r="CI108" s="298">
        <f t="shared" si="97"/>
        <v>0.28409090909090912</v>
      </c>
      <c r="CJ108" s="298">
        <f t="shared" si="97"/>
        <v>0.28409090909090912</v>
      </c>
      <c r="CK108" s="298">
        <f t="shared" si="97"/>
        <v>0.28409090909090912</v>
      </c>
      <c r="CL108" s="298">
        <f t="shared" si="97"/>
        <v>0.28409090909090912</v>
      </c>
      <c r="CM108" s="298">
        <f t="shared" si="97"/>
        <v>0.28409090909090912</v>
      </c>
      <c r="CN108" s="298">
        <f t="shared" si="97"/>
        <v>0.28409090909090912</v>
      </c>
      <c r="CO108" s="298">
        <f t="shared" si="97"/>
        <v>0.28409090909090912</v>
      </c>
      <c r="CP108" s="298">
        <f t="shared" si="97"/>
        <v>0.28409090909090912</v>
      </c>
      <c r="CQ108" s="298">
        <f t="shared" si="97"/>
        <v>0.28409090909090912</v>
      </c>
      <c r="CR108" s="298">
        <f t="shared" si="97"/>
        <v>0.28409090909090912</v>
      </c>
      <c r="CS108" s="298">
        <f t="shared" si="97"/>
        <v>0.28409090909090912</v>
      </c>
      <c r="CT108" s="298">
        <f t="shared" si="97"/>
        <v>0.28409090909090912</v>
      </c>
      <c r="CU108" s="298">
        <f t="shared" si="97"/>
        <v>0.28409090909090912</v>
      </c>
      <c r="CV108" s="298">
        <f t="shared" si="97"/>
        <v>0.28409090909090912</v>
      </c>
      <c r="CW108" s="298">
        <f t="shared" si="97"/>
        <v>0.28409090909090912</v>
      </c>
      <c r="CX108" s="298">
        <f t="shared" si="97"/>
        <v>0.28409090909090912</v>
      </c>
      <c r="CY108" s="298">
        <f t="shared" si="97"/>
        <v>0.28409090909090912</v>
      </c>
      <c r="CZ108" s="298">
        <f t="shared" si="97"/>
        <v>0.28409090909090912</v>
      </c>
      <c r="DA108" s="298">
        <f t="shared" si="97"/>
        <v>0.28409090909090912</v>
      </c>
      <c r="DB108" s="298">
        <f t="shared" si="97"/>
        <v>0.28409090909090912</v>
      </c>
      <c r="DC108" s="298">
        <f t="shared" si="97"/>
        <v>0.28409090909090912</v>
      </c>
      <c r="DD108" s="298">
        <f t="shared" si="97"/>
        <v>0.28409090909090912</v>
      </c>
      <c r="DE108" s="298">
        <f t="shared" si="97"/>
        <v>0.28409090909090912</v>
      </c>
      <c r="DF108" s="298"/>
      <c r="DG108" s="298"/>
      <c r="DH108" s="298"/>
      <c r="DI108" s="298"/>
      <c r="DJ108" s="298"/>
      <c r="DK108" s="298"/>
      <c r="DL108" s="298"/>
    </row>
    <row r="109" spans="1:116" ht="15.75" customHeight="1" outlineLevel="1" x14ac:dyDescent="0.25">
      <c r="A109" s="735"/>
      <c r="B109" s="354"/>
      <c r="C109" s="355" t="s">
        <v>244</v>
      </c>
      <c r="D109" s="356" t="s">
        <v>247</v>
      </c>
      <c r="E109" s="381" t="str">
        <f ca="1">IFERROR(__xludf.DUMMYFUNCTION("SINGLE(FORMULATEXT(H113))"),"=H88")</f>
        <v>=H88</v>
      </c>
      <c r="F109" s="316" t="s">
        <v>14</v>
      </c>
      <c r="G109" s="317">
        <f t="array" ref="G109">NPV($D$6, J109:DE109)+I109</f>
        <v>218522.2677425539</v>
      </c>
      <c r="H109" s="359">
        <f t="shared" ref="H109:DE109" si="98">H107*H108</f>
        <v>8567.8210678210689</v>
      </c>
      <c r="I109" s="360">
        <f t="shared" si="98"/>
        <v>8567.8210678210689</v>
      </c>
      <c r="J109" s="360">
        <f t="shared" si="98"/>
        <v>8567.8210678210689</v>
      </c>
      <c r="K109" s="360">
        <f t="shared" si="98"/>
        <v>8567.8210678210689</v>
      </c>
      <c r="L109" s="360">
        <f t="shared" si="98"/>
        <v>8567.8210678210689</v>
      </c>
      <c r="M109" s="360">
        <f t="shared" si="98"/>
        <v>8567.8210678210689</v>
      </c>
      <c r="N109" s="360">
        <f t="shared" si="98"/>
        <v>8567.8210678210689</v>
      </c>
      <c r="O109" s="360">
        <f t="shared" si="98"/>
        <v>8567.8210678210689</v>
      </c>
      <c r="P109" s="360">
        <f t="shared" si="98"/>
        <v>8567.8210678210689</v>
      </c>
      <c r="Q109" s="360">
        <f t="shared" si="98"/>
        <v>8567.8210678210689</v>
      </c>
      <c r="R109" s="360">
        <f t="shared" si="98"/>
        <v>8567.8210678210689</v>
      </c>
      <c r="S109" s="360">
        <f t="shared" si="98"/>
        <v>8567.8210678210689</v>
      </c>
      <c r="T109" s="360">
        <f t="shared" si="98"/>
        <v>8567.8210678210689</v>
      </c>
      <c r="U109" s="360">
        <f t="shared" si="98"/>
        <v>8567.8210678210689</v>
      </c>
      <c r="V109" s="360">
        <f t="shared" si="98"/>
        <v>8567.8210678210689</v>
      </c>
      <c r="W109" s="360">
        <f t="shared" si="98"/>
        <v>8567.8210678210689</v>
      </c>
      <c r="X109" s="360">
        <f t="shared" si="98"/>
        <v>8567.8210678210689</v>
      </c>
      <c r="Y109" s="360">
        <f t="shared" si="98"/>
        <v>8567.8210678210689</v>
      </c>
      <c r="Z109" s="360">
        <f t="shared" si="98"/>
        <v>8567.8210678210689</v>
      </c>
      <c r="AA109" s="360">
        <f t="shared" si="98"/>
        <v>8567.8210678210689</v>
      </c>
      <c r="AB109" s="360">
        <f t="shared" si="98"/>
        <v>8567.8210678210689</v>
      </c>
      <c r="AC109" s="360">
        <f t="shared" si="98"/>
        <v>8567.8210678210689</v>
      </c>
      <c r="AD109" s="360">
        <f t="shared" si="98"/>
        <v>8567.8210678210689</v>
      </c>
      <c r="AE109" s="360">
        <f t="shared" si="98"/>
        <v>8567.8210678210689</v>
      </c>
      <c r="AF109" s="360">
        <f t="shared" si="98"/>
        <v>8567.8210678210689</v>
      </c>
      <c r="AG109" s="360">
        <f t="shared" si="98"/>
        <v>8567.8210678210689</v>
      </c>
      <c r="AH109" s="360">
        <f t="shared" si="98"/>
        <v>8567.8210678210689</v>
      </c>
      <c r="AI109" s="360">
        <f t="shared" si="98"/>
        <v>8567.8210678210689</v>
      </c>
      <c r="AJ109" s="360">
        <f t="shared" si="98"/>
        <v>8567.8210678210689</v>
      </c>
      <c r="AK109" s="360">
        <f t="shared" si="98"/>
        <v>8567.8210678210689</v>
      </c>
      <c r="AL109" s="360">
        <f t="shared" si="98"/>
        <v>8567.8210678210689</v>
      </c>
      <c r="AM109" s="360">
        <f t="shared" si="98"/>
        <v>8567.8210678210689</v>
      </c>
      <c r="AN109" s="360">
        <f t="shared" si="98"/>
        <v>8567.8210678210689</v>
      </c>
      <c r="AO109" s="360">
        <f t="shared" si="98"/>
        <v>8567.8210678210689</v>
      </c>
      <c r="AP109" s="360">
        <f t="shared" si="98"/>
        <v>8567.8210678210689</v>
      </c>
      <c r="AQ109" s="360">
        <f t="shared" si="98"/>
        <v>8567.8210678210689</v>
      </c>
      <c r="AR109" s="360">
        <f t="shared" si="98"/>
        <v>8567.8210678210689</v>
      </c>
      <c r="AS109" s="360">
        <f t="shared" si="98"/>
        <v>8567.8210678210689</v>
      </c>
      <c r="AT109" s="360">
        <f t="shared" si="98"/>
        <v>8567.8210678210689</v>
      </c>
      <c r="AU109" s="360">
        <f t="shared" si="98"/>
        <v>8567.8210678210689</v>
      </c>
      <c r="AV109" s="360">
        <f t="shared" si="98"/>
        <v>8567.8210678210689</v>
      </c>
      <c r="AW109" s="360">
        <f t="shared" si="98"/>
        <v>8567.8210678210689</v>
      </c>
      <c r="AX109" s="360">
        <f t="shared" si="98"/>
        <v>8567.8210678210689</v>
      </c>
      <c r="AY109" s="360">
        <f t="shared" si="98"/>
        <v>8567.8210678210689</v>
      </c>
      <c r="AZ109" s="360">
        <f t="shared" si="98"/>
        <v>8567.8210678210689</v>
      </c>
      <c r="BA109" s="360">
        <f t="shared" si="98"/>
        <v>8567.8210678210689</v>
      </c>
      <c r="BB109" s="360">
        <f t="shared" si="98"/>
        <v>8567.8210678210689</v>
      </c>
      <c r="BC109" s="360">
        <f t="shared" si="98"/>
        <v>8567.8210678210689</v>
      </c>
      <c r="BD109" s="360">
        <f t="shared" si="98"/>
        <v>8567.8210678210689</v>
      </c>
      <c r="BE109" s="360">
        <f t="shared" si="98"/>
        <v>8567.8210678210689</v>
      </c>
      <c r="BF109" s="360">
        <f t="shared" si="98"/>
        <v>8567.8210678210689</v>
      </c>
      <c r="BG109" s="360">
        <f t="shared" si="98"/>
        <v>8567.8210678210689</v>
      </c>
      <c r="BH109" s="360">
        <f t="shared" si="98"/>
        <v>8567.8210678210689</v>
      </c>
      <c r="BI109" s="360">
        <f t="shared" si="98"/>
        <v>8567.8210678210689</v>
      </c>
      <c r="BJ109" s="360">
        <f t="shared" si="98"/>
        <v>8567.8210678210689</v>
      </c>
      <c r="BK109" s="360">
        <f t="shared" si="98"/>
        <v>8567.8210678210689</v>
      </c>
      <c r="BL109" s="360">
        <f t="shared" si="98"/>
        <v>8567.8210678210689</v>
      </c>
      <c r="BM109" s="360">
        <f t="shared" si="98"/>
        <v>8567.8210678210689</v>
      </c>
      <c r="BN109" s="360">
        <f t="shared" si="98"/>
        <v>8567.8210678210689</v>
      </c>
      <c r="BO109" s="360">
        <f t="shared" si="98"/>
        <v>8567.8210678210689</v>
      </c>
      <c r="BP109" s="360">
        <f t="shared" si="98"/>
        <v>8567.8210678210689</v>
      </c>
      <c r="BQ109" s="360">
        <f t="shared" si="98"/>
        <v>8567.8210678210689</v>
      </c>
      <c r="BR109" s="360">
        <f t="shared" si="98"/>
        <v>8567.8210678210689</v>
      </c>
      <c r="BS109" s="360">
        <f t="shared" si="98"/>
        <v>8567.8210678210689</v>
      </c>
      <c r="BT109" s="360">
        <f t="shared" si="98"/>
        <v>8567.8210678210689</v>
      </c>
      <c r="BU109" s="360">
        <f t="shared" si="98"/>
        <v>8567.8210678210689</v>
      </c>
      <c r="BV109" s="360">
        <f t="shared" si="98"/>
        <v>8567.8210678210689</v>
      </c>
      <c r="BW109" s="360">
        <f t="shared" si="98"/>
        <v>8567.8210678210689</v>
      </c>
      <c r="BX109" s="360">
        <f t="shared" si="98"/>
        <v>8567.8210678210689</v>
      </c>
      <c r="BY109" s="360">
        <f t="shared" si="98"/>
        <v>8567.8210678210689</v>
      </c>
      <c r="BZ109" s="360">
        <f t="shared" si="98"/>
        <v>8567.8210678210689</v>
      </c>
      <c r="CA109" s="360">
        <f t="shared" si="98"/>
        <v>8567.8210678210689</v>
      </c>
      <c r="CB109" s="360">
        <f t="shared" si="98"/>
        <v>8567.8210678210689</v>
      </c>
      <c r="CC109" s="360">
        <f t="shared" si="98"/>
        <v>8567.8210678210689</v>
      </c>
      <c r="CD109" s="360">
        <f t="shared" si="98"/>
        <v>8567.8210678210689</v>
      </c>
      <c r="CE109" s="360">
        <f t="shared" si="98"/>
        <v>8567.8210678210689</v>
      </c>
      <c r="CF109" s="360">
        <f t="shared" si="98"/>
        <v>8567.8210678210689</v>
      </c>
      <c r="CG109" s="360">
        <f t="shared" si="98"/>
        <v>8567.8210678210689</v>
      </c>
      <c r="CH109" s="360">
        <f t="shared" si="98"/>
        <v>8567.8210678210689</v>
      </c>
      <c r="CI109" s="360">
        <f t="shared" si="98"/>
        <v>8567.8210678210689</v>
      </c>
      <c r="CJ109" s="360">
        <f t="shared" si="98"/>
        <v>8567.8210678210689</v>
      </c>
      <c r="CK109" s="360">
        <f t="shared" si="98"/>
        <v>8567.8210678210689</v>
      </c>
      <c r="CL109" s="360">
        <f t="shared" si="98"/>
        <v>8567.8210678210689</v>
      </c>
      <c r="CM109" s="360">
        <f t="shared" si="98"/>
        <v>8567.8210678210689</v>
      </c>
      <c r="CN109" s="360">
        <f t="shared" si="98"/>
        <v>8567.8210678210689</v>
      </c>
      <c r="CO109" s="360">
        <f t="shared" si="98"/>
        <v>8567.8210678210689</v>
      </c>
      <c r="CP109" s="360">
        <f t="shared" si="98"/>
        <v>8567.8210678210689</v>
      </c>
      <c r="CQ109" s="360">
        <f t="shared" si="98"/>
        <v>8567.8210678210689</v>
      </c>
      <c r="CR109" s="360">
        <f t="shared" si="98"/>
        <v>8567.8210678210689</v>
      </c>
      <c r="CS109" s="360">
        <f t="shared" si="98"/>
        <v>8567.8210678210689</v>
      </c>
      <c r="CT109" s="360">
        <f t="shared" si="98"/>
        <v>8567.8210678210689</v>
      </c>
      <c r="CU109" s="360">
        <f t="shared" si="98"/>
        <v>8567.8210678210689</v>
      </c>
      <c r="CV109" s="360">
        <f t="shared" si="98"/>
        <v>8567.8210678210689</v>
      </c>
      <c r="CW109" s="360">
        <f t="shared" si="98"/>
        <v>8567.8210678210689</v>
      </c>
      <c r="CX109" s="360">
        <f t="shared" si="98"/>
        <v>8567.8210678210689</v>
      </c>
      <c r="CY109" s="360">
        <f t="shared" si="98"/>
        <v>8567.8210678210689</v>
      </c>
      <c r="CZ109" s="360">
        <f t="shared" si="98"/>
        <v>8567.8210678210689</v>
      </c>
      <c r="DA109" s="360">
        <f t="shared" si="98"/>
        <v>8567.8210678210689</v>
      </c>
      <c r="DB109" s="360">
        <f t="shared" si="98"/>
        <v>8567.8210678210689</v>
      </c>
      <c r="DC109" s="360">
        <f t="shared" si="98"/>
        <v>8567.8210678210689</v>
      </c>
      <c r="DD109" s="360">
        <f t="shared" si="98"/>
        <v>8567.8210678210689</v>
      </c>
      <c r="DE109" s="360">
        <f t="shared" si="98"/>
        <v>8567.8210678210689</v>
      </c>
      <c r="DF109" s="428"/>
      <c r="DG109" s="428"/>
      <c r="DH109" s="428"/>
      <c r="DI109" s="428"/>
      <c r="DJ109" s="428"/>
      <c r="DK109" s="428"/>
      <c r="DL109" s="428"/>
    </row>
    <row r="110" spans="1:116" ht="15.75" customHeight="1" outlineLevel="1" x14ac:dyDescent="0.25">
      <c r="A110" s="735"/>
      <c r="B110" s="758" t="s">
        <v>79</v>
      </c>
      <c r="C110" s="278" t="str">
        <f t="shared" ref="C110:AH110" si="99">C16</f>
        <v>Actual number of Street Cuts</v>
      </c>
      <c r="D110" s="403" t="str">
        <f t="shared" si="99"/>
        <v>#</v>
      </c>
      <c r="E110" s="429" t="str">
        <f t="shared" si="99"/>
        <v>Rule of thumb assumtionMar/11/2020 Utilidor Working Group Meeting: DOT: 1/3 of total permits</v>
      </c>
      <c r="F110" s="403">
        <f t="shared" si="99"/>
        <v>0</v>
      </c>
      <c r="G110" s="429" t="str">
        <f t="shared" si="99"/>
        <v>1/3 of total permits</v>
      </c>
      <c r="H110" s="430">
        <f t="shared" si="99"/>
        <v>24.09</v>
      </c>
      <c r="I110" s="403">
        <f t="shared" si="99"/>
        <v>24.210449999999998</v>
      </c>
      <c r="J110" s="403">
        <f t="shared" si="99"/>
        <v>24.331502249999996</v>
      </c>
      <c r="K110" s="403">
        <f t="shared" si="99"/>
        <v>24.453159761249996</v>
      </c>
      <c r="L110" s="403">
        <f t="shared" si="99"/>
        <v>24.575425560056239</v>
      </c>
      <c r="M110" s="403">
        <f t="shared" si="99"/>
        <v>24.698302687856518</v>
      </c>
      <c r="N110" s="403">
        <f t="shared" si="99"/>
        <v>24.821794201295798</v>
      </c>
      <c r="O110" s="403">
        <f t="shared" si="99"/>
        <v>24.945903172302273</v>
      </c>
      <c r="P110" s="403">
        <f t="shared" si="99"/>
        <v>25.070632688163784</v>
      </c>
      <c r="Q110" s="403">
        <f t="shared" si="99"/>
        <v>25.1959858516046</v>
      </c>
      <c r="R110" s="403">
        <f t="shared" si="99"/>
        <v>25.32196578086262</v>
      </c>
      <c r="S110" s="403">
        <f t="shared" si="99"/>
        <v>25.44857560976693</v>
      </c>
      <c r="T110" s="403">
        <f t="shared" si="99"/>
        <v>25.575818487815763</v>
      </c>
      <c r="U110" s="403">
        <f t="shared" si="99"/>
        <v>25.70369758025484</v>
      </c>
      <c r="V110" s="403">
        <f t="shared" si="99"/>
        <v>25.832216068156111</v>
      </c>
      <c r="W110" s="403">
        <f t="shared" si="99"/>
        <v>25.961377148496886</v>
      </c>
      <c r="X110" s="403">
        <f t="shared" si="99"/>
        <v>26.091184034239369</v>
      </c>
      <c r="Y110" s="403">
        <f t="shared" si="99"/>
        <v>26.221639954410563</v>
      </c>
      <c r="Z110" s="403">
        <f t="shared" si="99"/>
        <v>26.35274815418261</v>
      </c>
      <c r="AA110" s="403">
        <f t="shared" si="99"/>
        <v>26.484511894953524</v>
      </c>
      <c r="AB110" s="403">
        <f t="shared" si="99"/>
        <v>26.616934454428289</v>
      </c>
      <c r="AC110" s="403">
        <f t="shared" si="99"/>
        <v>26.75001912670043</v>
      </c>
      <c r="AD110" s="403">
        <f t="shared" si="99"/>
        <v>26.883769222333928</v>
      </c>
      <c r="AE110" s="403">
        <f t="shared" si="99"/>
        <v>27.018188068445596</v>
      </c>
      <c r="AF110" s="403">
        <f t="shared" si="99"/>
        <v>27.15327900878782</v>
      </c>
      <c r="AG110" s="403">
        <f t="shared" si="99"/>
        <v>27.289045403831754</v>
      </c>
      <c r="AH110" s="403">
        <f t="shared" si="99"/>
        <v>27.425490630850909</v>
      </c>
      <c r="AI110" s="403">
        <f t="shared" ref="AI110:BN110" si="100">AI16</f>
        <v>27.425490630850909</v>
      </c>
      <c r="AJ110" s="403">
        <f t="shared" si="100"/>
        <v>27.425490630850909</v>
      </c>
      <c r="AK110" s="403">
        <f t="shared" si="100"/>
        <v>27.425490630850909</v>
      </c>
      <c r="AL110" s="403">
        <f t="shared" si="100"/>
        <v>27.425490630850909</v>
      </c>
      <c r="AM110" s="403">
        <f t="shared" si="100"/>
        <v>27.425490630850909</v>
      </c>
      <c r="AN110" s="403">
        <f t="shared" si="100"/>
        <v>27.425490630850909</v>
      </c>
      <c r="AO110" s="403">
        <f t="shared" si="100"/>
        <v>27.425490630850909</v>
      </c>
      <c r="AP110" s="403">
        <f t="shared" si="100"/>
        <v>27.425490630850909</v>
      </c>
      <c r="AQ110" s="403">
        <f t="shared" si="100"/>
        <v>27.425490630850909</v>
      </c>
      <c r="AR110" s="403">
        <f t="shared" si="100"/>
        <v>27.425490630850909</v>
      </c>
      <c r="AS110" s="403">
        <f t="shared" si="100"/>
        <v>27.425490630850909</v>
      </c>
      <c r="AT110" s="403">
        <f t="shared" si="100"/>
        <v>27.425490630850909</v>
      </c>
      <c r="AU110" s="403">
        <f t="shared" si="100"/>
        <v>27.425490630850909</v>
      </c>
      <c r="AV110" s="403">
        <f t="shared" si="100"/>
        <v>27.425490630850909</v>
      </c>
      <c r="AW110" s="403">
        <f t="shared" si="100"/>
        <v>27.425490630850909</v>
      </c>
      <c r="AX110" s="403">
        <f t="shared" si="100"/>
        <v>27.425490630850909</v>
      </c>
      <c r="AY110" s="403">
        <f t="shared" si="100"/>
        <v>27.425490630850909</v>
      </c>
      <c r="AZ110" s="403">
        <f t="shared" si="100"/>
        <v>27.425490630850909</v>
      </c>
      <c r="BA110" s="403">
        <f t="shared" si="100"/>
        <v>27.425490630850909</v>
      </c>
      <c r="BB110" s="403">
        <f t="shared" si="100"/>
        <v>27.425490630850909</v>
      </c>
      <c r="BC110" s="403">
        <f t="shared" si="100"/>
        <v>27.425490630850909</v>
      </c>
      <c r="BD110" s="403">
        <f t="shared" si="100"/>
        <v>27.425490630850909</v>
      </c>
      <c r="BE110" s="403">
        <f t="shared" si="100"/>
        <v>27.425490630850909</v>
      </c>
      <c r="BF110" s="403">
        <f t="shared" si="100"/>
        <v>27.425490630850909</v>
      </c>
      <c r="BG110" s="403">
        <f t="shared" si="100"/>
        <v>27.425490630850909</v>
      </c>
      <c r="BH110" s="403">
        <f t="shared" si="100"/>
        <v>27.425490630850909</v>
      </c>
      <c r="BI110" s="403">
        <f t="shared" si="100"/>
        <v>27.425490630850909</v>
      </c>
      <c r="BJ110" s="403">
        <f t="shared" si="100"/>
        <v>27.425490630850909</v>
      </c>
      <c r="BK110" s="403">
        <f t="shared" si="100"/>
        <v>27.425490630850909</v>
      </c>
      <c r="BL110" s="403">
        <f t="shared" si="100"/>
        <v>27.425490630850909</v>
      </c>
      <c r="BM110" s="403">
        <f t="shared" si="100"/>
        <v>27.425490630850909</v>
      </c>
      <c r="BN110" s="403">
        <f t="shared" si="100"/>
        <v>27.425490630850909</v>
      </c>
      <c r="BO110" s="403">
        <f t="shared" ref="BO110:CT110" si="101">BO16</f>
        <v>27.425490630850909</v>
      </c>
      <c r="BP110" s="403">
        <f t="shared" si="101"/>
        <v>27.425490630850909</v>
      </c>
      <c r="BQ110" s="403">
        <f t="shared" si="101"/>
        <v>27.425490630850909</v>
      </c>
      <c r="BR110" s="403">
        <f t="shared" si="101"/>
        <v>27.425490630850909</v>
      </c>
      <c r="BS110" s="403">
        <f t="shared" si="101"/>
        <v>27.425490630850909</v>
      </c>
      <c r="BT110" s="403">
        <f t="shared" si="101"/>
        <v>27.425490630850909</v>
      </c>
      <c r="BU110" s="403">
        <f t="shared" si="101"/>
        <v>27.425490630850909</v>
      </c>
      <c r="BV110" s="403">
        <f t="shared" si="101"/>
        <v>27.425490630850909</v>
      </c>
      <c r="BW110" s="403">
        <f t="shared" si="101"/>
        <v>27.425490630850909</v>
      </c>
      <c r="BX110" s="403">
        <f t="shared" si="101"/>
        <v>27.425490630850909</v>
      </c>
      <c r="BY110" s="403">
        <f t="shared" si="101"/>
        <v>27.425490630850909</v>
      </c>
      <c r="BZ110" s="403">
        <f t="shared" si="101"/>
        <v>27.425490630850909</v>
      </c>
      <c r="CA110" s="403">
        <f t="shared" si="101"/>
        <v>27.425490630850909</v>
      </c>
      <c r="CB110" s="403">
        <f t="shared" si="101"/>
        <v>27.425490630850909</v>
      </c>
      <c r="CC110" s="403">
        <f t="shared" si="101"/>
        <v>27.425490630850909</v>
      </c>
      <c r="CD110" s="403">
        <f t="shared" si="101"/>
        <v>27.425490630850909</v>
      </c>
      <c r="CE110" s="403">
        <f t="shared" si="101"/>
        <v>27.425490630850909</v>
      </c>
      <c r="CF110" s="403">
        <f t="shared" si="101"/>
        <v>27.425490630850909</v>
      </c>
      <c r="CG110" s="403">
        <f t="shared" si="101"/>
        <v>27.425490630850909</v>
      </c>
      <c r="CH110" s="403">
        <f t="shared" si="101"/>
        <v>27.425490630850909</v>
      </c>
      <c r="CI110" s="403">
        <f t="shared" si="101"/>
        <v>27.425490630850909</v>
      </c>
      <c r="CJ110" s="403">
        <f t="shared" si="101"/>
        <v>27.425490630850909</v>
      </c>
      <c r="CK110" s="403">
        <f t="shared" si="101"/>
        <v>27.425490630850909</v>
      </c>
      <c r="CL110" s="403">
        <f t="shared" si="101"/>
        <v>27.425490630850909</v>
      </c>
      <c r="CM110" s="403">
        <f t="shared" si="101"/>
        <v>27.425490630850909</v>
      </c>
      <c r="CN110" s="403">
        <f t="shared" si="101"/>
        <v>27.425490630850909</v>
      </c>
      <c r="CO110" s="403">
        <f t="shared" si="101"/>
        <v>27.425490630850909</v>
      </c>
      <c r="CP110" s="403">
        <f t="shared" si="101"/>
        <v>27.425490630850909</v>
      </c>
      <c r="CQ110" s="403">
        <f t="shared" si="101"/>
        <v>27.425490630850909</v>
      </c>
      <c r="CR110" s="403">
        <f t="shared" si="101"/>
        <v>27.425490630850909</v>
      </c>
      <c r="CS110" s="403">
        <f t="shared" si="101"/>
        <v>27.425490630850909</v>
      </c>
      <c r="CT110" s="403">
        <f t="shared" si="101"/>
        <v>27.425490630850909</v>
      </c>
      <c r="CU110" s="403">
        <f t="shared" ref="CU110:DE110" si="102">CU16</f>
        <v>27.425490630850909</v>
      </c>
      <c r="CV110" s="403">
        <f t="shared" si="102"/>
        <v>27.425490630850909</v>
      </c>
      <c r="CW110" s="403">
        <f t="shared" si="102"/>
        <v>27.425490630850909</v>
      </c>
      <c r="CX110" s="403">
        <f t="shared" si="102"/>
        <v>27.425490630850909</v>
      </c>
      <c r="CY110" s="403">
        <f t="shared" si="102"/>
        <v>27.425490630850909</v>
      </c>
      <c r="CZ110" s="403">
        <f t="shared" si="102"/>
        <v>27.425490630850909</v>
      </c>
      <c r="DA110" s="403">
        <f t="shared" si="102"/>
        <v>27.425490630850909</v>
      </c>
      <c r="DB110" s="403">
        <f t="shared" si="102"/>
        <v>27.425490630850909</v>
      </c>
      <c r="DC110" s="403">
        <f t="shared" si="102"/>
        <v>27.425490630850909</v>
      </c>
      <c r="DD110" s="403">
        <f t="shared" si="102"/>
        <v>27.425490630850909</v>
      </c>
      <c r="DE110" s="403">
        <f t="shared" si="102"/>
        <v>27.425490630850909</v>
      </c>
      <c r="DF110" s="284"/>
      <c r="DG110" s="284"/>
      <c r="DH110" s="284"/>
      <c r="DI110" s="284"/>
      <c r="DJ110" s="284"/>
      <c r="DK110" s="284"/>
      <c r="DL110" s="284"/>
    </row>
    <row r="111" spans="1:116" ht="15.75" customHeight="1" outlineLevel="1" x14ac:dyDescent="0.25">
      <c r="A111" s="735"/>
      <c r="B111" s="751"/>
      <c r="C111" s="278" t="s">
        <v>364</v>
      </c>
      <c r="D111" s="431" t="s">
        <v>204</v>
      </c>
      <c r="E111" s="280" t="s">
        <v>330</v>
      </c>
      <c r="F111" s="432"/>
      <c r="G111" s="433">
        <f>'Unit Costs and Indicators'!G185</f>
        <v>0.46200000000000002</v>
      </c>
      <c r="H111" s="281">
        <f t="shared" ref="H111:DE111" si="103">H110*$G$111</f>
        <v>11.129580000000001</v>
      </c>
      <c r="I111" s="284">
        <f t="shared" si="103"/>
        <v>11.185227899999999</v>
      </c>
      <c r="J111" s="284">
        <f t="shared" si="103"/>
        <v>11.2411540395</v>
      </c>
      <c r="K111" s="284">
        <f t="shared" si="103"/>
        <v>11.297359809697499</v>
      </c>
      <c r="L111" s="284">
        <f t="shared" si="103"/>
        <v>11.353846608745982</v>
      </c>
      <c r="M111" s="284">
        <f t="shared" si="103"/>
        <v>11.410615841789712</v>
      </c>
      <c r="N111" s="284">
        <f t="shared" si="103"/>
        <v>11.46766892099866</v>
      </c>
      <c r="O111" s="284">
        <f t="shared" si="103"/>
        <v>11.525007265603652</v>
      </c>
      <c r="P111" s="284">
        <f t="shared" si="103"/>
        <v>11.582632301931669</v>
      </c>
      <c r="Q111" s="284">
        <f t="shared" si="103"/>
        <v>11.640545463441326</v>
      </c>
      <c r="R111" s="284">
        <f t="shared" si="103"/>
        <v>11.698748190758531</v>
      </c>
      <c r="S111" s="284">
        <f t="shared" si="103"/>
        <v>11.757241931712322</v>
      </c>
      <c r="T111" s="284">
        <f t="shared" si="103"/>
        <v>11.816028141370882</v>
      </c>
      <c r="U111" s="284">
        <f t="shared" si="103"/>
        <v>11.875108282077736</v>
      </c>
      <c r="V111" s="284">
        <f t="shared" si="103"/>
        <v>11.934483823488124</v>
      </c>
      <c r="W111" s="284">
        <f t="shared" si="103"/>
        <v>11.994156242605563</v>
      </c>
      <c r="X111" s="284">
        <f t="shared" si="103"/>
        <v>12.054127023818589</v>
      </c>
      <c r="Y111" s="284">
        <f t="shared" si="103"/>
        <v>12.11439765893768</v>
      </c>
      <c r="Z111" s="284">
        <f t="shared" si="103"/>
        <v>12.174969647232366</v>
      </c>
      <c r="AA111" s="284">
        <f t="shared" si="103"/>
        <v>12.235844495468529</v>
      </c>
      <c r="AB111" s="284">
        <f t="shared" si="103"/>
        <v>12.297023717945871</v>
      </c>
      <c r="AC111" s="284">
        <f t="shared" si="103"/>
        <v>12.358508836535599</v>
      </c>
      <c r="AD111" s="284">
        <f t="shared" si="103"/>
        <v>12.420301380718275</v>
      </c>
      <c r="AE111" s="284">
        <f t="shared" si="103"/>
        <v>12.482402887621866</v>
      </c>
      <c r="AF111" s="284">
        <f t="shared" si="103"/>
        <v>12.544814902059974</v>
      </c>
      <c r="AG111" s="284">
        <f t="shared" si="103"/>
        <v>12.60753897657027</v>
      </c>
      <c r="AH111" s="284">
        <f t="shared" si="103"/>
        <v>12.670576671453121</v>
      </c>
      <c r="AI111" s="284">
        <f t="shared" si="103"/>
        <v>12.670576671453121</v>
      </c>
      <c r="AJ111" s="284">
        <f t="shared" si="103"/>
        <v>12.670576671453121</v>
      </c>
      <c r="AK111" s="284">
        <f t="shared" si="103"/>
        <v>12.670576671453121</v>
      </c>
      <c r="AL111" s="284">
        <f t="shared" si="103"/>
        <v>12.670576671453121</v>
      </c>
      <c r="AM111" s="284">
        <f t="shared" si="103"/>
        <v>12.670576671453121</v>
      </c>
      <c r="AN111" s="284">
        <f t="shared" si="103"/>
        <v>12.670576671453121</v>
      </c>
      <c r="AO111" s="284">
        <f t="shared" si="103"/>
        <v>12.670576671453121</v>
      </c>
      <c r="AP111" s="284">
        <f t="shared" si="103"/>
        <v>12.670576671453121</v>
      </c>
      <c r="AQ111" s="284">
        <f t="shared" si="103"/>
        <v>12.670576671453121</v>
      </c>
      <c r="AR111" s="284">
        <f t="shared" si="103"/>
        <v>12.670576671453121</v>
      </c>
      <c r="AS111" s="284">
        <f t="shared" si="103"/>
        <v>12.670576671453121</v>
      </c>
      <c r="AT111" s="284">
        <f t="shared" si="103"/>
        <v>12.670576671453121</v>
      </c>
      <c r="AU111" s="284">
        <f t="shared" si="103"/>
        <v>12.670576671453121</v>
      </c>
      <c r="AV111" s="284">
        <f t="shared" si="103"/>
        <v>12.670576671453121</v>
      </c>
      <c r="AW111" s="284">
        <f t="shared" si="103"/>
        <v>12.670576671453121</v>
      </c>
      <c r="AX111" s="284">
        <f t="shared" si="103"/>
        <v>12.670576671453121</v>
      </c>
      <c r="AY111" s="284">
        <f t="shared" si="103"/>
        <v>12.670576671453121</v>
      </c>
      <c r="AZ111" s="284">
        <f t="shared" si="103"/>
        <v>12.670576671453121</v>
      </c>
      <c r="BA111" s="284">
        <f t="shared" si="103"/>
        <v>12.670576671453121</v>
      </c>
      <c r="BB111" s="284">
        <f t="shared" si="103"/>
        <v>12.670576671453121</v>
      </c>
      <c r="BC111" s="284">
        <f t="shared" si="103"/>
        <v>12.670576671453121</v>
      </c>
      <c r="BD111" s="284">
        <f t="shared" si="103"/>
        <v>12.670576671453121</v>
      </c>
      <c r="BE111" s="284">
        <f t="shared" si="103"/>
        <v>12.670576671453121</v>
      </c>
      <c r="BF111" s="284">
        <f t="shared" si="103"/>
        <v>12.670576671453121</v>
      </c>
      <c r="BG111" s="284">
        <f t="shared" si="103"/>
        <v>12.670576671453121</v>
      </c>
      <c r="BH111" s="284">
        <f t="shared" si="103"/>
        <v>12.670576671453121</v>
      </c>
      <c r="BI111" s="284">
        <f t="shared" si="103"/>
        <v>12.670576671453121</v>
      </c>
      <c r="BJ111" s="284">
        <f t="shared" si="103"/>
        <v>12.670576671453121</v>
      </c>
      <c r="BK111" s="284">
        <f t="shared" si="103"/>
        <v>12.670576671453121</v>
      </c>
      <c r="BL111" s="284">
        <f t="shared" si="103"/>
        <v>12.670576671453121</v>
      </c>
      <c r="BM111" s="284">
        <f t="shared" si="103"/>
        <v>12.670576671453121</v>
      </c>
      <c r="BN111" s="284">
        <f t="shared" si="103"/>
        <v>12.670576671453121</v>
      </c>
      <c r="BO111" s="284">
        <f t="shared" si="103"/>
        <v>12.670576671453121</v>
      </c>
      <c r="BP111" s="284">
        <f t="shared" si="103"/>
        <v>12.670576671453121</v>
      </c>
      <c r="BQ111" s="284">
        <f t="shared" si="103"/>
        <v>12.670576671453121</v>
      </c>
      <c r="BR111" s="284">
        <f t="shared" si="103"/>
        <v>12.670576671453121</v>
      </c>
      <c r="BS111" s="284">
        <f t="shared" si="103"/>
        <v>12.670576671453121</v>
      </c>
      <c r="BT111" s="284">
        <f t="shared" si="103"/>
        <v>12.670576671453121</v>
      </c>
      <c r="BU111" s="284">
        <f t="shared" si="103"/>
        <v>12.670576671453121</v>
      </c>
      <c r="BV111" s="284">
        <f t="shared" si="103"/>
        <v>12.670576671453121</v>
      </c>
      <c r="BW111" s="284">
        <f t="shared" si="103"/>
        <v>12.670576671453121</v>
      </c>
      <c r="BX111" s="284">
        <f t="shared" si="103"/>
        <v>12.670576671453121</v>
      </c>
      <c r="BY111" s="284">
        <f t="shared" si="103"/>
        <v>12.670576671453121</v>
      </c>
      <c r="BZ111" s="284">
        <f t="shared" si="103"/>
        <v>12.670576671453121</v>
      </c>
      <c r="CA111" s="284">
        <f t="shared" si="103"/>
        <v>12.670576671453121</v>
      </c>
      <c r="CB111" s="284">
        <f t="shared" si="103"/>
        <v>12.670576671453121</v>
      </c>
      <c r="CC111" s="284">
        <f t="shared" si="103"/>
        <v>12.670576671453121</v>
      </c>
      <c r="CD111" s="284">
        <f t="shared" si="103"/>
        <v>12.670576671453121</v>
      </c>
      <c r="CE111" s="284">
        <f t="shared" si="103"/>
        <v>12.670576671453121</v>
      </c>
      <c r="CF111" s="284">
        <f t="shared" si="103"/>
        <v>12.670576671453121</v>
      </c>
      <c r="CG111" s="284">
        <f t="shared" si="103"/>
        <v>12.670576671453121</v>
      </c>
      <c r="CH111" s="284">
        <f t="shared" si="103"/>
        <v>12.670576671453121</v>
      </c>
      <c r="CI111" s="284">
        <f t="shared" si="103"/>
        <v>12.670576671453121</v>
      </c>
      <c r="CJ111" s="284">
        <f t="shared" si="103"/>
        <v>12.670576671453121</v>
      </c>
      <c r="CK111" s="284">
        <f t="shared" si="103"/>
        <v>12.670576671453121</v>
      </c>
      <c r="CL111" s="284">
        <f t="shared" si="103"/>
        <v>12.670576671453121</v>
      </c>
      <c r="CM111" s="284">
        <f t="shared" si="103"/>
        <v>12.670576671453121</v>
      </c>
      <c r="CN111" s="284">
        <f t="shared" si="103"/>
        <v>12.670576671453121</v>
      </c>
      <c r="CO111" s="284">
        <f t="shared" si="103"/>
        <v>12.670576671453121</v>
      </c>
      <c r="CP111" s="284">
        <f t="shared" si="103"/>
        <v>12.670576671453121</v>
      </c>
      <c r="CQ111" s="284">
        <f t="shared" si="103"/>
        <v>12.670576671453121</v>
      </c>
      <c r="CR111" s="284">
        <f t="shared" si="103"/>
        <v>12.670576671453121</v>
      </c>
      <c r="CS111" s="284">
        <f t="shared" si="103"/>
        <v>12.670576671453121</v>
      </c>
      <c r="CT111" s="284">
        <f t="shared" si="103"/>
        <v>12.670576671453121</v>
      </c>
      <c r="CU111" s="284">
        <f t="shared" si="103"/>
        <v>12.670576671453121</v>
      </c>
      <c r="CV111" s="284">
        <f t="shared" si="103"/>
        <v>12.670576671453121</v>
      </c>
      <c r="CW111" s="284">
        <f t="shared" si="103"/>
        <v>12.670576671453121</v>
      </c>
      <c r="CX111" s="284">
        <f t="shared" si="103"/>
        <v>12.670576671453121</v>
      </c>
      <c r="CY111" s="284">
        <f t="shared" si="103"/>
        <v>12.670576671453121</v>
      </c>
      <c r="CZ111" s="284">
        <f t="shared" si="103"/>
        <v>12.670576671453121</v>
      </c>
      <c r="DA111" s="284">
        <f t="shared" si="103"/>
        <v>12.670576671453121</v>
      </c>
      <c r="DB111" s="284">
        <f t="shared" si="103"/>
        <v>12.670576671453121</v>
      </c>
      <c r="DC111" s="284">
        <f t="shared" si="103"/>
        <v>12.670576671453121</v>
      </c>
      <c r="DD111" s="284">
        <f t="shared" si="103"/>
        <v>12.670576671453121</v>
      </c>
      <c r="DE111" s="284">
        <f t="shared" si="103"/>
        <v>12.670576671453121</v>
      </c>
      <c r="DF111" s="434"/>
      <c r="DG111" s="434"/>
      <c r="DH111" s="434"/>
      <c r="DI111" s="434"/>
      <c r="DJ111" s="434"/>
      <c r="DK111" s="434"/>
      <c r="DL111" s="434"/>
    </row>
    <row r="112" spans="1:116" ht="15.75" customHeight="1" outlineLevel="1" x14ac:dyDescent="0.25">
      <c r="A112" s="735"/>
      <c r="B112" s="751"/>
      <c r="C112" s="321" t="str">
        <f t="shared" ref="C112:DE112" si="104">C87</f>
        <v>Average size of a Road work</v>
      </c>
      <c r="D112" s="280" t="str">
        <f t="shared" si="104"/>
        <v>ft</v>
      </c>
      <c r="E112" s="280" t="str">
        <f t="shared" si="104"/>
        <v>Assumption</v>
      </c>
      <c r="F112" s="321">
        <f t="shared" si="104"/>
        <v>0</v>
      </c>
      <c r="G112" s="280">
        <f t="shared" si="104"/>
        <v>500.00000000000006</v>
      </c>
      <c r="H112" s="453">
        <f t="shared" si="104"/>
        <v>500.00000000000006</v>
      </c>
      <c r="I112" s="454">
        <f t="shared" si="104"/>
        <v>500.00000000000006</v>
      </c>
      <c r="J112" s="454">
        <f t="shared" si="104"/>
        <v>500.00000000000006</v>
      </c>
      <c r="K112" s="454">
        <f t="shared" si="104"/>
        <v>500.00000000000006</v>
      </c>
      <c r="L112" s="454">
        <f t="shared" si="104"/>
        <v>500.00000000000006</v>
      </c>
      <c r="M112" s="454">
        <f t="shared" si="104"/>
        <v>500.00000000000006</v>
      </c>
      <c r="N112" s="454">
        <f t="shared" si="104"/>
        <v>500.00000000000006</v>
      </c>
      <c r="O112" s="454">
        <f t="shared" si="104"/>
        <v>500.00000000000006</v>
      </c>
      <c r="P112" s="454">
        <f t="shared" si="104"/>
        <v>500.00000000000006</v>
      </c>
      <c r="Q112" s="454">
        <f t="shared" si="104"/>
        <v>500.00000000000006</v>
      </c>
      <c r="R112" s="454">
        <f t="shared" si="104"/>
        <v>500.00000000000006</v>
      </c>
      <c r="S112" s="454">
        <f t="shared" si="104"/>
        <v>500.00000000000006</v>
      </c>
      <c r="T112" s="454">
        <f t="shared" si="104"/>
        <v>500.00000000000006</v>
      </c>
      <c r="U112" s="454">
        <f t="shared" si="104"/>
        <v>500.00000000000006</v>
      </c>
      <c r="V112" s="454">
        <f t="shared" si="104"/>
        <v>500.00000000000006</v>
      </c>
      <c r="W112" s="454">
        <f t="shared" si="104"/>
        <v>500.00000000000006</v>
      </c>
      <c r="X112" s="454">
        <f t="shared" si="104"/>
        <v>500.00000000000006</v>
      </c>
      <c r="Y112" s="454">
        <f t="shared" si="104"/>
        <v>500.00000000000006</v>
      </c>
      <c r="Z112" s="454">
        <f t="shared" si="104"/>
        <v>500.00000000000006</v>
      </c>
      <c r="AA112" s="454">
        <f t="shared" si="104"/>
        <v>500.00000000000006</v>
      </c>
      <c r="AB112" s="454">
        <f t="shared" si="104"/>
        <v>500.00000000000006</v>
      </c>
      <c r="AC112" s="454">
        <f t="shared" si="104"/>
        <v>500.00000000000006</v>
      </c>
      <c r="AD112" s="454">
        <f t="shared" si="104"/>
        <v>500.00000000000006</v>
      </c>
      <c r="AE112" s="454">
        <f t="shared" si="104"/>
        <v>500.00000000000006</v>
      </c>
      <c r="AF112" s="454">
        <f t="shared" si="104"/>
        <v>500.00000000000006</v>
      </c>
      <c r="AG112" s="454">
        <f t="shared" si="104"/>
        <v>500.00000000000006</v>
      </c>
      <c r="AH112" s="454">
        <f t="shared" si="104"/>
        <v>500.00000000000006</v>
      </c>
      <c r="AI112" s="454">
        <f t="shared" si="104"/>
        <v>500.00000000000006</v>
      </c>
      <c r="AJ112" s="454">
        <f t="shared" si="104"/>
        <v>500.00000000000006</v>
      </c>
      <c r="AK112" s="454">
        <f t="shared" si="104"/>
        <v>500.00000000000006</v>
      </c>
      <c r="AL112" s="454">
        <f t="shared" si="104"/>
        <v>500.00000000000006</v>
      </c>
      <c r="AM112" s="454">
        <f t="shared" si="104"/>
        <v>500.00000000000006</v>
      </c>
      <c r="AN112" s="454">
        <f t="shared" si="104"/>
        <v>500.00000000000006</v>
      </c>
      <c r="AO112" s="454">
        <f t="shared" si="104"/>
        <v>500.00000000000006</v>
      </c>
      <c r="AP112" s="454">
        <f t="shared" si="104"/>
        <v>500.00000000000006</v>
      </c>
      <c r="AQ112" s="454">
        <f t="shared" si="104"/>
        <v>500.00000000000006</v>
      </c>
      <c r="AR112" s="454">
        <f t="shared" si="104"/>
        <v>500.00000000000006</v>
      </c>
      <c r="AS112" s="454">
        <f t="shared" si="104"/>
        <v>500.00000000000006</v>
      </c>
      <c r="AT112" s="454">
        <f t="shared" si="104"/>
        <v>500.00000000000006</v>
      </c>
      <c r="AU112" s="454">
        <f t="shared" si="104"/>
        <v>500.00000000000006</v>
      </c>
      <c r="AV112" s="454">
        <f t="shared" si="104"/>
        <v>500.00000000000006</v>
      </c>
      <c r="AW112" s="454">
        <f t="shared" si="104"/>
        <v>500.00000000000006</v>
      </c>
      <c r="AX112" s="454">
        <f t="shared" si="104"/>
        <v>500.00000000000006</v>
      </c>
      <c r="AY112" s="454">
        <f t="shared" si="104"/>
        <v>500.00000000000006</v>
      </c>
      <c r="AZ112" s="454">
        <f t="shared" si="104"/>
        <v>500.00000000000006</v>
      </c>
      <c r="BA112" s="454">
        <f t="shared" si="104"/>
        <v>500.00000000000006</v>
      </c>
      <c r="BB112" s="454">
        <f t="shared" si="104"/>
        <v>500.00000000000006</v>
      </c>
      <c r="BC112" s="454">
        <f t="shared" si="104"/>
        <v>500.00000000000006</v>
      </c>
      <c r="BD112" s="454">
        <f t="shared" si="104"/>
        <v>500.00000000000006</v>
      </c>
      <c r="BE112" s="454">
        <f t="shared" si="104"/>
        <v>500.00000000000006</v>
      </c>
      <c r="BF112" s="454">
        <f t="shared" si="104"/>
        <v>500.00000000000006</v>
      </c>
      <c r="BG112" s="454">
        <f t="shared" si="104"/>
        <v>500.00000000000006</v>
      </c>
      <c r="BH112" s="454">
        <f t="shared" si="104"/>
        <v>500.00000000000006</v>
      </c>
      <c r="BI112" s="454">
        <f t="shared" si="104"/>
        <v>500.00000000000006</v>
      </c>
      <c r="BJ112" s="454">
        <f t="shared" si="104"/>
        <v>500.00000000000006</v>
      </c>
      <c r="BK112" s="454">
        <f t="shared" si="104"/>
        <v>500.00000000000006</v>
      </c>
      <c r="BL112" s="454">
        <f t="shared" si="104"/>
        <v>500.00000000000006</v>
      </c>
      <c r="BM112" s="454">
        <f t="shared" si="104"/>
        <v>500.00000000000006</v>
      </c>
      <c r="BN112" s="454">
        <f t="shared" si="104"/>
        <v>500.00000000000006</v>
      </c>
      <c r="BO112" s="454">
        <f t="shared" si="104"/>
        <v>500.00000000000006</v>
      </c>
      <c r="BP112" s="454">
        <f t="shared" si="104"/>
        <v>500.00000000000006</v>
      </c>
      <c r="BQ112" s="454">
        <f t="shared" si="104"/>
        <v>500.00000000000006</v>
      </c>
      <c r="BR112" s="454">
        <f t="shared" si="104"/>
        <v>500.00000000000006</v>
      </c>
      <c r="BS112" s="454">
        <f t="shared" si="104"/>
        <v>500.00000000000006</v>
      </c>
      <c r="BT112" s="454">
        <f t="shared" si="104"/>
        <v>500.00000000000006</v>
      </c>
      <c r="BU112" s="454">
        <f t="shared" si="104"/>
        <v>500.00000000000006</v>
      </c>
      <c r="BV112" s="454">
        <f t="shared" si="104"/>
        <v>500.00000000000006</v>
      </c>
      <c r="BW112" s="454">
        <f t="shared" si="104"/>
        <v>500.00000000000006</v>
      </c>
      <c r="BX112" s="454">
        <f t="shared" si="104"/>
        <v>500.00000000000006</v>
      </c>
      <c r="BY112" s="454">
        <f t="shared" si="104"/>
        <v>500.00000000000006</v>
      </c>
      <c r="BZ112" s="454">
        <f t="shared" si="104"/>
        <v>500.00000000000006</v>
      </c>
      <c r="CA112" s="454">
        <f t="shared" si="104"/>
        <v>500.00000000000006</v>
      </c>
      <c r="CB112" s="454">
        <f t="shared" si="104"/>
        <v>500.00000000000006</v>
      </c>
      <c r="CC112" s="454">
        <f t="shared" si="104"/>
        <v>500.00000000000006</v>
      </c>
      <c r="CD112" s="454">
        <f t="shared" si="104"/>
        <v>500.00000000000006</v>
      </c>
      <c r="CE112" s="454">
        <f t="shared" si="104"/>
        <v>500.00000000000006</v>
      </c>
      <c r="CF112" s="454">
        <f t="shared" si="104"/>
        <v>500.00000000000006</v>
      </c>
      <c r="CG112" s="454">
        <f t="shared" si="104"/>
        <v>500.00000000000006</v>
      </c>
      <c r="CH112" s="454">
        <f t="shared" si="104"/>
        <v>500.00000000000006</v>
      </c>
      <c r="CI112" s="454">
        <f t="shared" si="104"/>
        <v>500.00000000000006</v>
      </c>
      <c r="CJ112" s="454">
        <f t="shared" si="104"/>
        <v>500.00000000000006</v>
      </c>
      <c r="CK112" s="454">
        <f t="shared" si="104"/>
        <v>500.00000000000006</v>
      </c>
      <c r="CL112" s="454">
        <f t="shared" si="104"/>
        <v>500.00000000000006</v>
      </c>
      <c r="CM112" s="454">
        <f t="shared" si="104"/>
        <v>500.00000000000006</v>
      </c>
      <c r="CN112" s="454">
        <f t="shared" si="104"/>
        <v>500.00000000000006</v>
      </c>
      <c r="CO112" s="454">
        <f t="shared" si="104"/>
        <v>500.00000000000006</v>
      </c>
      <c r="CP112" s="454">
        <f t="shared" si="104"/>
        <v>500.00000000000006</v>
      </c>
      <c r="CQ112" s="454">
        <f t="shared" si="104"/>
        <v>500.00000000000006</v>
      </c>
      <c r="CR112" s="454">
        <f t="shared" si="104"/>
        <v>500.00000000000006</v>
      </c>
      <c r="CS112" s="454">
        <f t="shared" si="104"/>
        <v>500.00000000000006</v>
      </c>
      <c r="CT112" s="454">
        <f t="shared" si="104"/>
        <v>500.00000000000006</v>
      </c>
      <c r="CU112" s="454">
        <f t="shared" si="104"/>
        <v>500.00000000000006</v>
      </c>
      <c r="CV112" s="454">
        <f t="shared" si="104"/>
        <v>500.00000000000006</v>
      </c>
      <c r="CW112" s="454">
        <f t="shared" si="104"/>
        <v>500.00000000000006</v>
      </c>
      <c r="CX112" s="454">
        <f t="shared" si="104"/>
        <v>500.00000000000006</v>
      </c>
      <c r="CY112" s="454">
        <f t="shared" si="104"/>
        <v>500.00000000000006</v>
      </c>
      <c r="CZ112" s="454">
        <f t="shared" si="104"/>
        <v>500.00000000000006</v>
      </c>
      <c r="DA112" s="454">
        <f t="shared" si="104"/>
        <v>500.00000000000006</v>
      </c>
      <c r="DB112" s="454">
        <f t="shared" si="104"/>
        <v>500.00000000000006</v>
      </c>
      <c r="DC112" s="454">
        <f t="shared" si="104"/>
        <v>500.00000000000006</v>
      </c>
      <c r="DD112" s="454">
        <f t="shared" si="104"/>
        <v>500.00000000000006</v>
      </c>
      <c r="DE112" s="454">
        <f t="shared" si="104"/>
        <v>500.00000000000006</v>
      </c>
      <c r="DF112" s="278"/>
      <c r="DG112" s="278"/>
      <c r="DH112" s="278"/>
      <c r="DI112" s="278"/>
      <c r="DJ112" s="278"/>
      <c r="DK112" s="278"/>
      <c r="DL112" s="278"/>
    </row>
    <row r="113" spans="1:122" ht="15.75" customHeight="1" outlineLevel="1" x14ac:dyDescent="0.25">
      <c r="A113" s="735"/>
      <c r="B113" s="751"/>
      <c r="C113" s="321" t="str">
        <f t="shared" ref="C113:DE113" si="105">C88</f>
        <v>Demolish, Repair and Repayment Cost per square foot</v>
      </c>
      <c r="D113" s="280" t="str">
        <f t="shared" si="105"/>
        <v>$/ft</v>
      </c>
      <c r="E113" s="280" t="str">
        <f t="shared" si="105"/>
        <v>Assumption</v>
      </c>
      <c r="F113" s="321">
        <f t="shared" si="105"/>
        <v>0</v>
      </c>
      <c r="G113" s="411">
        <f t="shared" si="105"/>
        <v>800</v>
      </c>
      <c r="H113" s="455">
        <f t="shared" si="105"/>
        <v>800</v>
      </c>
      <c r="I113" s="456">
        <f t="shared" si="105"/>
        <v>800</v>
      </c>
      <c r="J113" s="456">
        <f t="shared" si="105"/>
        <v>800</v>
      </c>
      <c r="K113" s="456">
        <f t="shared" si="105"/>
        <v>800</v>
      </c>
      <c r="L113" s="456">
        <f t="shared" si="105"/>
        <v>800</v>
      </c>
      <c r="M113" s="456">
        <f t="shared" si="105"/>
        <v>800</v>
      </c>
      <c r="N113" s="456">
        <f t="shared" si="105"/>
        <v>800</v>
      </c>
      <c r="O113" s="456">
        <f t="shared" si="105"/>
        <v>800</v>
      </c>
      <c r="P113" s="456">
        <f t="shared" si="105"/>
        <v>800</v>
      </c>
      <c r="Q113" s="456">
        <f t="shared" si="105"/>
        <v>800</v>
      </c>
      <c r="R113" s="456">
        <f t="shared" si="105"/>
        <v>800</v>
      </c>
      <c r="S113" s="456">
        <f t="shared" si="105"/>
        <v>800</v>
      </c>
      <c r="T113" s="456">
        <f t="shared" si="105"/>
        <v>800</v>
      </c>
      <c r="U113" s="456">
        <f t="shared" si="105"/>
        <v>800</v>
      </c>
      <c r="V113" s="456">
        <f t="shared" si="105"/>
        <v>800</v>
      </c>
      <c r="W113" s="456">
        <f t="shared" si="105"/>
        <v>800</v>
      </c>
      <c r="X113" s="456">
        <f t="shared" si="105"/>
        <v>800</v>
      </c>
      <c r="Y113" s="456">
        <f t="shared" si="105"/>
        <v>800</v>
      </c>
      <c r="Z113" s="456">
        <f t="shared" si="105"/>
        <v>800</v>
      </c>
      <c r="AA113" s="456">
        <f t="shared" si="105"/>
        <v>800</v>
      </c>
      <c r="AB113" s="456">
        <f t="shared" si="105"/>
        <v>800</v>
      </c>
      <c r="AC113" s="456">
        <f t="shared" si="105"/>
        <v>800</v>
      </c>
      <c r="AD113" s="456">
        <f t="shared" si="105"/>
        <v>800</v>
      </c>
      <c r="AE113" s="456">
        <f t="shared" si="105"/>
        <v>800</v>
      </c>
      <c r="AF113" s="456">
        <f t="shared" si="105"/>
        <v>800</v>
      </c>
      <c r="AG113" s="456">
        <f t="shared" si="105"/>
        <v>800</v>
      </c>
      <c r="AH113" s="456">
        <f t="shared" si="105"/>
        <v>800</v>
      </c>
      <c r="AI113" s="456">
        <f t="shared" si="105"/>
        <v>800</v>
      </c>
      <c r="AJ113" s="456">
        <f t="shared" si="105"/>
        <v>800</v>
      </c>
      <c r="AK113" s="456">
        <f t="shared" si="105"/>
        <v>800</v>
      </c>
      <c r="AL113" s="456">
        <f t="shared" si="105"/>
        <v>800</v>
      </c>
      <c r="AM113" s="456">
        <f t="shared" si="105"/>
        <v>800</v>
      </c>
      <c r="AN113" s="456">
        <f t="shared" si="105"/>
        <v>800</v>
      </c>
      <c r="AO113" s="456">
        <f t="shared" si="105"/>
        <v>800</v>
      </c>
      <c r="AP113" s="456">
        <f t="shared" si="105"/>
        <v>800</v>
      </c>
      <c r="AQ113" s="456">
        <f t="shared" si="105"/>
        <v>800</v>
      </c>
      <c r="AR113" s="456">
        <f t="shared" si="105"/>
        <v>800</v>
      </c>
      <c r="AS113" s="456">
        <f t="shared" si="105"/>
        <v>800</v>
      </c>
      <c r="AT113" s="456">
        <f t="shared" si="105"/>
        <v>800</v>
      </c>
      <c r="AU113" s="456">
        <f t="shared" si="105"/>
        <v>800</v>
      </c>
      <c r="AV113" s="456">
        <f t="shared" si="105"/>
        <v>800</v>
      </c>
      <c r="AW113" s="456">
        <f t="shared" si="105"/>
        <v>800</v>
      </c>
      <c r="AX113" s="456">
        <f t="shared" si="105"/>
        <v>800</v>
      </c>
      <c r="AY113" s="456">
        <f t="shared" si="105"/>
        <v>800</v>
      </c>
      <c r="AZ113" s="456">
        <f t="shared" si="105"/>
        <v>800</v>
      </c>
      <c r="BA113" s="456">
        <f t="shared" si="105"/>
        <v>800</v>
      </c>
      <c r="BB113" s="456">
        <f t="shared" si="105"/>
        <v>800</v>
      </c>
      <c r="BC113" s="456">
        <f t="shared" si="105"/>
        <v>800</v>
      </c>
      <c r="BD113" s="456">
        <f t="shared" si="105"/>
        <v>800</v>
      </c>
      <c r="BE113" s="456">
        <f t="shared" si="105"/>
        <v>800</v>
      </c>
      <c r="BF113" s="456">
        <f t="shared" si="105"/>
        <v>800</v>
      </c>
      <c r="BG113" s="456">
        <f t="shared" si="105"/>
        <v>800</v>
      </c>
      <c r="BH113" s="456">
        <f t="shared" si="105"/>
        <v>800</v>
      </c>
      <c r="BI113" s="456">
        <f t="shared" si="105"/>
        <v>800</v>
      </c>
      <c r="BJ113" s="456">
        <f t="shared" si="105"/>
        <v>800</v>
      </c>
      <c r="BK113" s="456">
        <f t="shared" si="105"/>
        <v>800</v>
      </c>
      <c r="BL113" s="456">
        <f t="shared" si="105"/>
        <v>800</v>
      </c>
      <c r="BM113" s="456">
        <f t="shared" si="105"/>
        <v>800</v>
      </c>
      <c r="BN113" s="456">
        <f t="shared" si="105"/>
        <v>800</v>
      </c>
      <c r="BO113" s="456">
        <f t="shared" si="105"/>
        <v>800</v>
      </c>
      <c r="BP113" s="456">
        <f t="shared" si="105"/>
        <v>800</v>
      </c>
      <c r="BQ113" s="456">
        <f t="shared" si="105"/>
        <v>800</v>
      </c>
      <c r="BR113" s="456">
        <f t="shared" si="105"/>
        <v>800</v>
      </c>
      <c r="BS113" s="456">
        <f t="shared" si="105"/>
        <v>800</v>
      </c>
      <c r="BT113" s="456">
        <f t="shared" si="105"/>
        <v>800</v>
      </c>
      <c r="BU113" s="456">
        <f t="shared" si="105"/>
        <v>800</v>
      </c>
      <c r="BV113" s="456">
        <f t="shared" si="105"/>
        <v>800</v>
      </c>
      <c r="BW113" s="456">
        <f t="shared" si="105"/>
        <v>800</v>
      </c>
      <c r="BX113" s="456">
        <f t="shared" si="105"/>
        <v>800</v>
      </c>
      <c r="BY113" s="456">
        <f t="shared" si="105"/>
        <v>800</v>
      </c>
      <c r="BZ113" s="456">
        <f t="shared" si="105"/>
        <v>800</v>
      </c>
      <c r="CA113" s="456">
        <f t="shared" si="105"/>
        <v>800</v>
      </c>
      <c r="CB113" s="456">
        <f t="shared" si="105"/>
        <v>800</v>
      </c>
      <c r="CC113" s="456">
        <f t="shared" si="105"/>
        <v>800</v>
      </c>
      <c r="CD113" s="456">
        <f t="shared" si="105"/>
        <v>800</v>
      </c>
      <c r="CE113" s="456">
        <f t="shared" si="105"/>
        <v>800</v>
      </c>
      <c r="CF113" s="456">
        <f t="shared" si="105"/>
        <v>800</v>
      </c>
      <c r="CG113" s="456">
        <f t="shared" si="105"/>
        <v>800</v>
      </c>
      <c r="CH113" s="456">
        <f t="shared" si="105"/>
        <v>800</v>
      </c>
      <c r="CI113" s="456">
        <f t="shared" si="105"/>
        <v>800</v>
      </c>
      <c r="CJ113" s="456">
        <f t="shared" si="105"/>
        <v>800</v>
      </c>
      <c r="CK113" s="456">
        <f t="shared" si="105"/>
        <v>800</v>
      </c>
      <c r="CL113" s="456">
        <f t="shared" si="105"/>
        <v>800</v>
      </c>
      <c r="CM113" s="456">
        <f t="shared" si="105"/>
        <v>800</v>
      </c>
      <c r="CN113" s="456">
        <f t="shared" si="105"/>
        <v>800</v>
      </c>
      <c r="CO113" s="456">
        <f t="shared" si="105"/>
        <v>800</v>
      </c>
      <c r="CP113" s="456">
        <f t="shared" si="105"/>
        <v>800</v>
      </c>
      <c r="CQ113" s="456">
        <f t="shared" si="105"/>
        <v>800</v>
      </c>
      <c r="CR113" s="456">
        <f t="shared" si="105"/>
        <v>800</v>
      </c>
      <c r="CS113" s="456">
        <f t="shared" si="105"/>
        <v>800</v>
      </c>
      <c r="CT113" s="456">
        <f t="shared" si="105"/>
        <v>800</v>
      </c>
      <c r="CU113" s="456">
        <f t="shared" si="105"/>
        <v>800</v>
      </c>
      <c r="CV113" s="456">
        <f t="shared" si="105"/>
        <v>800</v>
      </c>
      <c r="CW113" s="456">
        <f t="shared" si="105"/>
        <v>800</v>
      </c>
      <c r="CX113" s="456">
        <f t="shared" si="105"/>
        <v>800</v>
      </c>
      <c r="CY113" s="456">
        <f t="shared" si="105"/>
        <v>800</v>
      </c>
      <c r="CZ113" s="456">
        <f t="shared" si="105"/>
        <v>800</v>
      </c>
      <c r="DA113" s="456">
        <f t="shared" si="105"/>
        <v>800</v>
      </c>
      <c r="DB113" s="456">
        <f t="shared" si="105"/>
        <v>800</v>
      </c>
      <c r="DC113" s="456">
        <f t="shared" si="105"/>
        <v>800</v>
      </c>
      <c r="DD113" s="456">
        <f t="shared" si="105"/>
        <v>800</v>
      </c>
      <c r="DE113" s="456">
        <f t="shared" si="105"/>
        <v>800</v>
      </c>
      <c r="DF113" s="278"/>
      <c r="DG113" s="278"/>
      <c r="DH113" s="278"/>
      <c r="DI113" s="278"/>
      <c r="DJ113" s="278"/>
      <c r="DK113" s="278"/>
      <c r="DL113" s="278"/>
    </row>
    <row r="114" spans="1:122" ht="15.75" customHeight="1" outlineLevel="1" x14ac:dyDescent="0.25">
      <c r="A114" s="735"/>
      <c r="B114" s="354"/>
      <c r="C114" s="355" t="s">
        <v>244</v>
      </c>
      <c r="D114" s="356" t="s">
        <v>247</v>
      </c>
      <c r="E114" s="381"/>
      <c r="F114" s="316" t="s">
        <v>14</v>
      </c>
      <c r="G114" s="317">
        <f t="array" ref="G114">NPV($D$6, J114:DE114)+I114</f>
        <v>219692589.8658219</v>
      </c>
      <c r="H114" s="445">
        <f t="shared" ref="H114:I114" si="106">H111*H112*H113</f>
        <v>4451832.0000000009</v>
      </c>
      <c r="I114" s="446">
        <f t="shared" si="106"/>
        <v>4474091.16</v>
      </c>
      <c r="J114" s="446">
        <f t="shared" ref="J114:AO114" si="107">J111*J112*J113*(1 + $D$5)^(J2 - $I$2)</f>
        <v>4586390.8481160011</v>
      </c>
      <c r="K114" s="446">
        <f t="shared" si="107"/>
        <v>4701509.258403712</v>
      </c>
      <c r="L114" s="446">
        <f t="shared" si="107"/>
        <v>4819517.1407896429</v>
      </c>
      <c r="M114" s="446">
        <f t="shared" si="107"/>
        <v>4940487.0210234635</v>
      </c>
      <c r="N114" s="446">
        <f t="shared" si="107"/>
        <v>5064493.2452511517</v>
      </c>
      <c r="O114" s="446">
        <f t="shared" si="107"/>
        <v>5191612.0257069562</v>
      </c>
      <c r="P114" s="446">
        <f t="shared" si="107"/>
        <v>5321921.4875521995</v>
      </c>
      <c r="Q114" s="446">
        <f t="shared" si="107"/>
        <v>5455501.7168897577</v>
      </c>
      <c r="R114" s="446">
        <f t="shared" si="107"/>
        <v>5592434.8099836893</v>
      </c>
      <c r="S114" s="446">
        <f t="shared" si="107"/>
        <v>5732804.9237142811</v>
      </c>
      <c r="T114" s="446">
        <f t="shared" si="107"/>
        <v>5876698.3272995073</v>
      </c>
      <c r="U114" s="446">
        <f t="shared" si="107"/>
        <v>6024203.4553147247</v>
      </c>
      <c r="V114" s="446">
        <f t="shared" si="107"/>
        <v>6175410.9620431252</v>
      </c>
      <c r="W114" s="446">
        <f t="shared" si="107"/>
        <v>6330413.7771904068</v>
      </c>
      <c r="X114" s="446">
        <f t="shared" si="107"/>
        <v>6489307.1629978828</v>
      </c>
      <c r="Y114" s="446">
        <f t="shared" si="107"/>
        <v>6652188.7727891291</v>
      </c>
      <c r="Z114" s="446">
        <f t="shared" si="107"/>
        <v>6819158.7109861374</v>
      </c>
      <c r="AA114" s="446">
        <f t="shared" si="107"/>
        <v>6990319.594631887</v>
      </c>
      <c r="AB114" s="446">
        <f t="shared" si="107"/>
        <v>7165776.6164571475</v>
      </c>
      <c r="AC114" s="446">
        <f t="shared" si="107"/>
        <v>7345637.6095302217</v>
      </c>
      <c r="AD114" s="446">
        <f t="shared" si="107"/>
        <v>7530013.1135294288</v>
      </c>
      <c r="AE114" s="446">
        <f t="shared" si="107"/>
        <v>7719016.4426790178</v>
      </c>
      <c r="AF114" s="446">
        <f t="shared" si="107"/>
        <v>7912763.7553902594</v>
      </c>
      <c r="AG114" s="446">
        <f t="shared" si="107"/>
        <v>8111374.1256505512</v>
      </c>
      <c r="AH114" s="446">
        <f t="shared" si="107"/>
        <v>8314969.616204381</v>
      </c>
      <c r="AI114" s="446">
        <f t="shared" si="107"/>
        <v>8481269.0085284691</v>
      </c>
      <c r="AJ114" s="446">
        <f t="shared" si="107"/>
        <v>8650894.388699038</v>
      </c>
      <c r="AK114" s="446">
        <f t="shared" si="107"/>
        <v>8823912.2764730211</v>
      </c>
      <c r="AL114" s="446">
        <f t="shared" si="107"/>
        <v>9000390.5220024791</v>
      </c>
      <c r="AM114" s="446">
        <f t="shared" si="107"/>
        <v>9180398.3324425295</v>
      </c>
      <c r="AN114" s="446">
        <f t="shared" si="107"/>
        <v>9364006.2990913782</v>
      </c>
      <c r="AO114" s="446">
        <f t="shared" si="107"/>
        <v>9551286.4250732083</v>
      </c>
      <c r="AP114" s="446">
        <f t="shared" ref="AP114:BU114" si="108">AP111*AP112*AP113*(1 + $D$5)^(AP2 - $I$2)</f>
        <v>9742312.1535746735</v>
      </c>
      <c r="AQ114" s="446">
        <f t="shared" si="108"/>
        <v>9937158.3966461644</v>
      </c>
      <c r="AR114" s="446">
        <f t="shared" si="108"/>
        <v>10135901.564579088</v>
      </c>
      <c r="AS114" s="446">
        <f t="shared" si="108"/>
        <v>10338619.59587067</v>
      </c>
      <c r="AT114" s="446">
        <f t="shared" si="108"/>
        <v>10545391.987788085</v>
      </c>
      <c r="AU114" s="446">
        <f t="shared" si="108"/>
        <v>10756299.827543847</v>
      </c>
      <c r="AV114" s="446">
        <f t="shared" si="108"/>
        <v>10971425.82409472</v>
      </c>
      <c r="AW114" s="446">
        <f t="shared" si="108"/>
        <v>11190854.340576617</v>
      </c>
      <c r="AX114" s="446">
        <f t="shared" si="108"/>
        <v>11414671.427388148</v>
      </c>
      <c r="AY114" s="446">
        <f t="shared" si="108"/>
        <v>11642964.855935911</v>
      </c>
      <c r="AZ114" s="446">
        <f t="shared" si="108"/>
        <v>11875824.153054629</v>
      </c>
      <c r="BA114" s="446">
        <f t="shared" si="108"/>
        <v>12113340.636115724</v>
      </c>
      <c r="BB114" s="446">
        <f t="shared" si="108"/>
        <v>12355607.448838037</v>
      </c>
      <c r="BC114" s="446">
        <f t="shared" si="108"/>
        <v>12602719.597814798</v>
      </c>
      <c r="BD114" s="446">
        <f t="shared" si="108"/>
        <v>12854773.98977109</v>
      </c>
      <c r="BE114" s="446">
        <f t="shared" si="108"/>
        <v>13111869.469566515</v>
      </c>
      <c r="BF114" s="446">
        <f t="shared" si="108"/>
        <v>13374106.858957846</v>
      </c>
      <c r="BG114" s="446">
        <f t="shared" si="108"/>
        <v>13641588.996137002</v>
      </c>
      <c r="BH114" s="446">
        <f t="shared" si="108"/>
        <v>13914420.776059741</v>
      </c>
      <c r="BI114" s="446">
        <f t="shared" si="108"/>
        <v>14192709.191580938</v>
      </c>
      <c r="BJ114" s="446">
        <f t="shared" si="108"/>
        <v>14476563.375412554</v>
      </c>
      <c r="BK114" s="446">
        <f t="shared" si="108"/>
        <v>14766094.642920807</v>
      </c>
      <c r="BL114" s="446">
        <f t="shared" si="108"/>
        <v>15061416.535779219</v>
      </c>
      <c r="BM114" s="446">
        <f t="shared" si="108"/>
        <v>15362644.866494805</v>
      </c>
      <c r="BN114" s="446">
        <f t="shared" si="108"/>
        <v>15669897.763824701</v>
      </c>
      <c r="BO114" s="446">
        <f t="shared" si="108"/>
        <v>15983295.719101196</v>
      </c>
      <c r="BP114" s="446">
        <f t="shared" si="108"/>
        <v>16302961.633483218</v>
      </c>
      <c r="BQ114" s="446">
        <f t="shared" si="108"/>
        <v>16629020.866152886</v>
      </c>
      <c r="BR114" s="446">
        <f t="shared" si="108"/>
        <v>16961601.283475943</v>
      </c>
      <c r="BS114" s="446">
        <f t="shared" si="108"/>
        <v>17300833.309145462</v>
      </c>
      <c r="BT114" s="446">
        <f t="shared" si="108"/>
        <v>17646849.975328367</v>
      </c>
      <c r="BU114" s="446">
        <f t="shared" si="108"/>
        <v>17999786.974834938</v>
      </c>
      <c r="BV114" s="446">
        <f t="shared" ref="BV114:DA114" si="109">BV111*BV112*BV113*(1 + $D$5)^(BV2 - $I$2)</f>
        <v>18359782.714331638</v>
      </c>
      <c r="BW114" s="446">
        <f t="shared" si="109"/>
        <v>18726978.368618269</v>
      </c>
      <c r="BX114" s="446">
        <f t="shared" si="109"/>
        <v>19101517.935990635</v>
      </c>
      <c r="BY114" s="446">
        <f t="shared" si="109"/>
        <v>19483548.294710446</v>
      </c>
      <c r="BZ114" s="446">
        <f t="shared" si="109"/>
        <v>19873219.260604657</v>
      </c>
      <c r="CA114" s="446">
        <f t="shared" si="109"/>
        <v>20270683.645816751</v>
      </c>
      <c r="CB114" s="446">
        <f t="shared" si="109"/>
        <v>20676097.318733085</v>
      </c>
      <c r="CC114" s="446">
        <f t="shared" si="109"/>
        <v>21089619.265107747</v>
      </c>
      <c r="CD114" s="446">
        <f t="shared" si="109"/>
        <v>21511411.6504099</v>
      </c>
      <c r="CE114" s="446">
        <f t="shared" si="109"/>
        <v>21941639.883418098</v>
      </c>
      <c r="CF114" s="446">
        <f t="shared" si="109"/>
        <v>22380472.681086455</v>
      </c>
      <c r="CG114" s="446">
        <f t="shared" si="109"/>
        <v>22828082.134708192</v>
      </c>
      <c r="CH114" s="446">
        <f t="shared" si="109"/>
        <v>23284643.777402353</v>
      </c>
      <c r="CI114" s="446">
        <f t="shared" si="109"/>
        <v>23750336.652950402</v>
      </c>
      <c r="CJ114" s="446">
        <f t="shared" si="109"/>
        <v>24225343.386009403</v>
      </c>
      <c r="CK114" s="446">
        <f t="shared" si="109"/>
        <v>24709850.253729597</v>
      </c>
      <c r="CL114" s="446">
        <f t="shared" si="109"/>
        <v>25204047.258804187</v>
      </c>
      <c r="CM114" s="446">
        <f t="shared" si="109"/>
        <v>25708128.203980267</v>
      </c>
      <c r="CN114" s="446">
        <f t="shared" si="109"/>
        <v>26222290.768059872</v>
      </c>
      <c r="CO114" s="446">
        <f t="shared" si="109"/>
        <v>26746736.583421074</v>
      </c>
      <c r="CP114" s="446">
        <f t="shared" si="109"/>
        <v>27281671.315089494</v>
      </c>
      <c r="CQ114" s="446">
        <f t="shared" si="109"/>
        <v>27827304.741391286</v>
      </c>
      <c r="CR114" s="446">
        <f t="shared" si="109"/>
        <v>28383850.836219106</v>
      </c>
      <c r="CS114" s="446">
        <f t="shared" si="109"/>
        <v>28951527.852943487</v>
      </c>
      <c r="CT114" s="446">
        <f t="shared" si="109"/>
        <v>29530558.410002362</v>
      </c>
      <c r="CU114" s="446">
        <f t="shared" si="109"/>
        <v>30121169.578202408</v>
      </c>
      <c r="CV114" s="446">
        <f t="shared" si="109"/>
        <v>30723592.969766453</v>
      </c>
      <c r="CW114" s="446">
        <f t="shared" si="109"/>
        <v>31338064.829161789</v>
      </c>
      <c r="CX114" s="446">
        <f t="shared" si="109"/>
        <v>31964826.125745021</v>
      </c>
      <c r="CY114" s="446">
        <f t="shared" si="109"/>
        <v>32604122.648259923</v>
      </c>
      <c r="CZ114" s="446">
        <f t="shared" si="109"/>
        <v>33256205.101225112</v>
      </c>
      <c r="DA114" s="446">
        <f t="shared" si="109"/>
        <v>33921329.203249618</v>
      </c>
      <c r="DB114" s="446">
        <f t="shared" ref="DB114:DE114" si="110">DB111*DB112*DB113*(1 + $D$5)^(DB2 - $I$2)</f>
        <v>34599755.787314616</v>
      </c>
      <c r="DC114" s="446">
        <f t="shared" si="110"/>
        <v>35291750.903060906</v>
      </c>
      <c r="DD114" s="446">
        <f t="shared" si="110"/>
        <v>35997585.921122126</v>
      </c>
      <c r="DE114" s="446">
        <f t="shared" si="110"/>
        <v>36717537.639544562</v>
      </c>
      <c r="DF114" s="447"/>
      <c r="DG114" s="447"/>
      <c r="DH114" s="447"/>
      <c r="DI114" s="447"/>
      <c r="DJ114" s="447"/>
      <c r="DK114" s="447"/>
      <c r="DL114" s="447"/>
    </row>
    <row r="115" spans="1:122" ht="15.75" customHeight="1" outlineLevel="1" x14ac:dyDescent="0.25">
      <c r="A115" s="735"/>
      <c r="B115" s="424" t="s">
        <v>365</v>
      </c>
      <c r="C115" s="321" t="str">
        <f t="shared" ref="C115:DE115" si="111">C90</f>
        <v>Same as DEP measurement</v>
      </c>
      <c r="D115" s="280" t="str">
        <f t="shared" si="111"/>
        <v>$/Year</v>
      </c>
      <c r="E115" s="321">
        <f t="shared" si="111"/>
        <v>0</v>
      </c>
      <c r="F115" s="321">
        <f t="shared" si="111"/>
        <v>0</v>
      </c>
      <c r="G115" s="280">
        <f t="shared" si="111"/>
        <v>0</v>
      </c>
      <c r="H115" s="455">
        <f>H90</f>
        <v>27.506210581776202</v>
      </c>
      <c r="I115" s="456">
        <f t="shared" si="111"/>
        <v>27.506210581776202</v>
      </c>
      <c r="J115" s="456">
        <f t="shared" si="111"/>
        <v>28.323567212334815</v>
      </c>
      <c r="K115" s="456">
        <f t="shared" si="111"/>
        <v>29.162615623883063</v>
      </c>
      <c r="L115" s="456">
        <f t="shared" si="111"/>
        <v>30.023896545008306</v>
      </c>
      <c r="M115" s="456">
        <f t="shared" si="111"/>
        <v>30.907963656729006</v>
      </c>
      <c r="N115" s="456">
        <f t="shared" si="111"/>
        <v>31.815383894300531</v>
      </c>
      <c r="O115" s="456">
        <f t="shared" si="111"/>
        <v>32.746737755912228</v>
      </c>
      <c r="P115" s="456">
        <f t="shared" si="111"/>
        <v>33.70261961843066</v>
      </c>
      <c r="Q115" s="456">
        <f t="shared" si="111"/>
        <v>34.683638060347484</v>
      </c>
      <c r="R115" s="456">
        <f t="shared" si="111"/>
        <v>35.690416192093593</v>
      </c>
      <c r="S115" s="456">
        <f t="shared" si="111"/>
        <v>36.723591993885421</v>
      </c>
      <c r="T115" s="456">
        <f t="shared" si="111"/>
        <v>37.783818661272065</v>
      </c>
      <c r="U115" s="456">
        <f t="shared" si="111"/>
        <v>38.871764958556639</v>
      </c>
      <c r="V115" s="456">
        <f t="shared" si="111"/>
        <v>39.988115580268079</v>
      </c>
      <c r="W115" s="456">
        <f t="shared" si="111"/>
        <v>41.133571520864564</v>
      </c>
      <c r="X115" s="456">
        <f t="shared" si="111"/>
        <v>42.308850452852781</v>
      </c>
      <c r="Y115" s="456">
        <f t="shared" si="111"/>
        <v>43.514687113512203</v>
      </c>
      <c r="Z115" s="456">
        <f t="shared" si="111"/>
        <v>44.751833700416853</v>
      </c>
      <c r="AA115" s="456">
        <f t="shared" si="111"/>
        <v>46.021060275952273</v>
      </c>
      <c r="AB115" s="456">
        <f t="shared" si="111"/>
        <v>47.323155181028945</v>
      </c>
      <c r="AC115" s="456">
        <f t="shared" si="111"/>
        <v>48.658925458198318</v>
      </c>
      <c r="AD115" s="456">
        <f t="shared" si="111"/>
        <v>50.029197284382043</v>
      </c>
      <c r="AE115" s="456">
        <f t="shared" si="111"/>
        <v>51.434816413429843</v>
      </c>
      <c r="AF115" s="456">
        <f t="shared" si="111"/>
        <v>52.876648628725789</v>
      </c>
      <c r="AG115" s="456">
        <f t="shared" si="111"/>
        <v>54.355580206068218</v>
      </c>
      <c r="AH115" s="456">
        <f t="shared" si="111"/>
        <v>55.872518387052843</v>
      </c>
      <c r="AI115" s="456">
        <f t="shared" si="111"/>
        <v>57.428391863194442</v>
      </c>
      <c r="AJ115" s="456">
        <f t="shared" si="111"/>
        <v>59.024151271026859</v>
      </c>
      <c r="AK115" s="456">
        <f t="shared" si="111"/>
        <v>60.660769698427323</v>
      </c>
      <c r="AL115" s="456">
        <f t="shared" si="111"/>
        <v>62.339243202415368</v>
      </c>
      <c r="AM115" s="456">
        <f t="shared" si="111"/>
        <v>64.060591338683579</v>
      </c>
      <c r="AN115" s="456">
        <f t="shared" si="111"/>
        <v>65.825857703121528</v>
      </c>
      <c r="AO115" s="456">
        <f t="shared" si="111"/>
        <v>67.636110485601577</v>
      </c>
      <c r="AP115" s="456">
        <f t="shared" si="111"/>
        <v>69.492443036299534</v>
      </c>
      <c r="AQ115" s="456">
        <f t="shared" si="111"/>
        <v>71.395974444831182</v>
      </c>
      <c r="AR115" s="456">
        <f t="shared" si="111"/>
        <v>73.347850132489569</v>
      </c>
      <c r="AS115" s="456">
        <f t="shared" si="111"/>
        <v>75.349242457876358</v>
      </c>
      <c r="AT115" s="456">
        <f t="shared" si="111"/>
        <v>77.40135133622563</v>
      </c>
      <c r="AU115" s="456">
        <f t="shared" si="111"/>
        <v>79.505404872725748</v>
      </c>
      <c r="AV115" s="456">
        <f t="shared" si="111"/>
        <v>81.662660010151313</v>
      </c>
      <c r="AW115" s="456">
        <f t="shared" si="111"/>
        <v>83.874403191124884</v>
      </c>
      <c r="AX115" s="456">
        <f t="shared" si="111"/>
        <v>86.141951035333292</v>
      </c>
      <c r="AY115" s="456">
        <f t="shared" si="111"/>
        <v>88.466651032033596</v>
      </c>
      <c r="AZ115" s="456">
        <f t="shared" si="111"/>
        <v>90.849882248187768</v>
      </c>
      <c r="BA115" s="456">
        <f t="shared" si="111"/>
        <v>93.293056052575324</v>
      </c>
      <c r="BB115" s="456">
        <f t="shared" si="111"/>
        <v>95.797616856239074</v>
      </c>
      <c r="BC115" s="456">
        <f t="shared" si="111"/>
        <v>98.365042869628383</v>
      </c>
      <c r="BD115" s="456">
        <f t="shared" si="111"/>
        <v>100.99684687681071</v>
      </c>
      <c r="BE115" s="456">
        <f t="shared" si="111"/>
        <v>103.69457702713254</v>
      </c>
      <c r="BF115" s="456">
        <f t="shared" si="111"/>
        <v>106.45981764471648</v>
      </c>
      <c r="BG115" s="456">
        <f t="shared" si="111"/>
        <v>109.29419005619295</v>
      </c>
      <c r="BH115" s="456">
        <f t="shared" si="111"/>
        <v>112.19935343707056</v>
      </c>
      <c r="BI115" s="456">
        <f t="shared" si="111"/>
        <v>115.17700567716085</v>
      </c>
      <c r="BJ115" s="456">
        <f t="shared" si="111"/>
        <v>118.22888426547986</v>
      </c>
      <c r="BK115" s="456">
        <f t="shared" si="111"/>
        <v>121.35676719506083</v>
      </c>
      <c r="BL115" s="456">
        <f t="shared" si="111"/>
        <v>124.56247388811876</v>
      </c>
      <c r="BM115" s="456">
        <f t="shared" si="111"/>
        <v>127.84786614202105</v>
      </c>
      <c r="BN115" s="456">
        <f t="shared" si="111"/>
        <v>131.21484909652415</v>
      </c>
      <c r="BO115" s="456">
        <f t="shared" si="111"/>
        <v>134.66537222275062</v>
      </c>
      <c r="BP115" s="456">
        <f t="shared" si="111"/>
        <v>138.20143033438748</v>
      </c>
      <c r="BQ115" s="456">
        <f t="shared" si="111"/>
        <v>141.82506462160077</v>
      </c>
      <c r="BR115" s="456">
        <f t="shared" si="111"/>
        <v>145.53836370816879</v>
      </c>
      <c r="BS115" s="456">
        <f t="shared" si="111"/>
        <v>149.3434647323509</v>
      </c>
      <c r="BT115" s="456">
        <f t="shared" si="111"/>
        <v>153.242554452017</v>
      </c>
      <c r="BU115" s="456">
        <f t="shared" si="111"/>
        <v>157.23787037457689</v>
      </c>
      <c r="BV115" s="456">
        <f t="shared" si="111"/>
        <v>161.33170191225832</v>
      </c>
      <c r="BW115" s="456">
        <f t="shared" si="111"/>
        <v>165.52639156329715</v>
      </c>
      <c r="BX115" s="456">
        <f t="shared" si="111"/>
        <v>169.82433611961267</v>
      </c>
      <c r="BY115" s="456">
        <f t="shared" si="111"/>
        <v>174.22798790155548</v>
      </c>
      <c r="BZ115" s="456">
        <f t="shared" si="111"/>
        <v>178.73985602032815</v>
      </c>
      <c r="CA115" s="456">
        <f t="shared" si="111"/>
        <v>183.36250766869108</v>
      </c>
      <c r="CB115" s="456">
        <f t="shared" si="111"/>
        <v>188.09856944058043</v>
      </c>
      <c r="CC115" s="456">
        <f t="shared" si="111"/>
        <v>192.9507286802779</v>
      </c>
      <c r="CD115" s="456">
        <f t="shared" si="111"/>
        <v>197.92173486178697</v>
      </c>
      <c r="CE115" s="456">
        <f t="shared" si="111"/>
        <v>203.01440099908433</v>
      </c>
      <c r="CF115" s="456">
        <f t="shared" si="111"/>
        <v>208.23160508792884</v>
      </c>
      <c r="CG115" s="456">
        <f t="shared" si="111"/>
        <v>213.57629157992758</v>
      </c>
      <c r="CH115" s="456">
        <f t="shared" si="111"/>
        <v>219.05147288957102</v>
      </c>
      <c r="CI115" s="456">
        <f t="shared" si="111"/>
        <v>224.66023093496824</v>
      </c>
      <c r="CJ115" s="456">
        <f t="shared" si="111"/>
        <v>230.40571871302549</v>
      </c>
      <c r="CK115" s="456">
        <f t="shared" si="111"/>
        <v>236.29116190983112</v>
      </c>
      <c r="CL115" s="456">
        <f t="shared" si="111"/>
        <v>242.31986054702372</v>
      </c>
      <c r="CM115" s="456">
        <f t="shared" si="111"/>
        <v>248.49519066494005</v>
      </c>
      <c r="CN115" s="456">
        <f t="shared" si="111"/>
        <v>254.8206060433543</v>
      </c>
      <c r="CO115" s="456">
        <f t="shared" si="111"/>
        <v>261.29963996063913</v>
      </c>
      <c r="CP115" s="456">
        <f t="shared" si="111"/>
        <v>267.935906992198</v>
      </c>
      <c r="CQ115" s="456">
        <f t="shared" si="111"/>
        <v>274.73310484903499</v>
      </c>
      <c r="CR115" s="456">
        <f t="shared" si="111"/>
        <v>281.69501625734847</v>
      </c>
      <c r="CS115" s="456">
        <f t="shared" si="111"/>
        <v>288.82551088005499</v>
      </c>
      <c r="CT115" s="456">
        <f t="shared" si="111"/>
        <v>296.12854728116685</v>
      </c>
      <c r="CU115" s="456">
        <f t="shared" si="111"/>
        <v>303.6081749339711</v>
      </c>
      <c r="CV115" s="456">
        <f t="shared" si="111"/>
        <v>311.26853627397503</v>
      </c>
      <c r="CW115" s="456">
        <f t="shared" si="111"/>
        <v>319.11386879760568</v>
      </c>
      <c r="CX115" s="456">
        <f t="shared" si="111"/>
        <v>327.1485072076718</v>
      </c>
      <c r="CY115" s="456">
        <f t="shared" si="111"/>
        <v>335.37688560662156</v>
      </c>
      <c r="CZ115" s="456">
        <f t="shared" si="111"/>
        <v>343.80353973864618</v>
      </c>
      <c r="DA115" s="456">
        <f t="shared" si="111"/>
        <v>352.43310928170928</v>
      </c>
      <c r="DB115" s="456">
        <f t="shared" si="111"/>
        <v>361.27034019059943</v>
      </c>
      <c r="DC115" s="456">
        <f t="shared" si="111"/>
        <v>370.32008709213238</v>
      </c>
      <c r="DD115" s="456">
        <f t="shared" si="111"/>
        <v>379.58731573365048</v>
      </c>
      <c r="DE115" s="456">
        <f t="shared" si="111"/>
        <v>389.07710548599249</v>
      </c>
      <c r="DF115" s="278"/>
      <c r="DG115" s="278"/>
      <c r="DH115" s="278"/>
      <c r="DI115" s="278"/>
      <c r="DJ115" s="278"/>
      <c r="DK115" s="278"/>
      <c r="DL115" s="278"/>
    </row>
    <row r="116" spans="1:122" ht="15.75" customHeight="1" outlineLevel="1" x14ac:dyDescent="0.25">
      <c r="A116" s="740"/>
      <c r="B116" s="457"/>
      <c r="C116" s="355" t="s">
        <v>244</v>
      </c>
      <c r="D116" s="381" t="s">
        <v>247</v>
      </c>
      <c r="E116" s="357"/>
      <c r="F116" s="316" t="s">
        <v>14</v>
      </c>
      <c r="G116" s="317">
        <f t="array" ref="G116">NPV($D$6, J116:DE116)+I116</f>
        <v>1632.5706787423292</v>
      </c>
      <c r="H116" s="359">
        <f t="shared" ref="H116:DE116" si="112">H115</f>
        <v>27.506210581776202</v>
      </c>
      <c r="I116" s="360">
        <f t="shared" si="112"/>
        <v>27.506210581776202</v>
      </c>
      <c r="J116" s="360">
        <f t="shared" si="112"/>
        <v>28.323567212334815</v>
      </c>
      <c r="K116" s="360">
        <f t="shared" si="112"/>
        <v>29.162615623883063</v>
      </c>
      <c r="L116" s="360">
        <f t="shared" si="112"/>
        <v>30.023896545008306</v>
      </c>
      <c r="M116" s="360">
        <f t="shared" si="112"/>
        <v>30.907963656729006</v>
      </c>
      <c r="N116" s="360">
        <f t="shared" si="112"/>
        <v>31.815383894300531</v>
      </c>
      <c r="O116" s="360">
        <f t="shared" si="112"/>
        <v>32.746737755912228</v>
      </c>
      <c r="P116" s="360">
        <f t="shared" si="112"/>
        <v>33.70261961843066</v>
      </c>
      <c r="Q116" s="360">
        <f t="shared" si="112"/>
        <v>34.683638060347484</v>
      </c>
      <c r="R116" s="360">
        <f t="shared" si="112"/>
        <v>35.690416192093593</v>
      </c>
      <c r="S116" s="360">
        <f t="shared" si="112"/>
        <v>36.723591993885421</v>
      </c>
      <c r="T116" s="360">
        <f t="shared" si="112"/>
        <v>37.783818661272065</v>
      </c>
      <c r="U116" s="360">
        <f t="shared" si="112"/>
        <v>38.871764958556639</v>
      </c>
      <c r="V116" s="360">
        <f t="shared" si="112"/>
        <v>39.988115580268079</v>
      </c>
      <c r="W116" s="360">
        <f t="shared" si="112"/>
        <v>41.133571520864564</v>
      </c>
      <c r="X116" s="360">
        <f t="shared" si="112"/>
        <v>42.308850452852781</v>
      </c>
      <c r="Y116" s="360">
        <f t="shared" si="112"/>
        <v>43.514687113512203</v>
      </c>
      <c r="Z116" s="360">
        <f t="shared" si="112"/>
        <v>44.751833700416853</v>
      </c>
      <c r="AA116" s="360">
        <f t="shared" si="112"/>
        <v>46.021060275952273</v>
      </c>
      <c r="AB116" s="360">
        <f t="shared" si="112"/>
        <v>47.323155181028945</v>
      </c>
      <c r="AC116" s="360">
        <f t="shared" si="112"/>
        <v>48.658925458198318</v>
      </c>
      <c r="AD116" s="360">
        <f t="shared" si="112"/>
        <v>50.029197284382043</v>
      </c>
      <c r="AE116" s="360">
        <f t="shared" si="112"/>
        <v>51.434816413429843</v>
      </c>
      <c r="AF116" s="360">
        <f t="shared" si="112"/>
        <v>52.876648628725789</v>
      </c>
      <c r="AG116" s="360">
        <f t="shared" si="112"/>
        <v>54.355580206068218</v>
      </c>
      <c r="AH116" s="360">
        <f t="shared" si="112"/>
        <v>55.872518387052843</v>
      </c>
      <c r="AI116" s="360">
        <f t="shared" si="112"/>
        <v>57.428391863194442</v>
      </c>
      <c r="AJ116" s="360">
        <f t="shared" si="112"/>
        <v>59.024151271026859</v>
      </c>
      <c r="AK116" s="360">
        <f t="shared" si="112"/>
        <v>60.660769698427323</v>
      </c>
      <c r="AL116" s="360">
        <f t="shared" si="112"/>
        <v>62.339243202415368</v>
      </c>
      <c r="AM116" s="360">
        <f t="shared" si="112"/>
        <v>64.060591338683579</v>
      </c>
      <c r="AN116" s="360">
        <f t="shared" si="112"/>
        <v>65.825857703121528</v>
      </c>
      <c r="AO116" s="360">
        <f t="shared" si="112"/>
        <v>67.636110485601577</v>
      </c>
      <c r="AP116" s="360">
        <f t="shared" si="112"/>
        <v>69.492443036299534</v>
      </c>
      <c r="AQ116" s="360">
        <f t="shared" si="112"/>
        <v>71.395974444831182</v>
      </c>
      <c r="AR116" s="360">
        <f t="shared" si="112"/>
        <v>73.347850132489569</v>
      </c>
      <c r="AS116" s="360">
        <f t="shared" si="112"/>
        <v>75.349242457876358</v>
      </c>
      <c r="AT116" s="360">
        <f t="shared" si="112"/>
        <v>77.40135133622563</v>
      </c>
      <c r="AU116" s="360">
        <f t="shared" si="112"/>
        <v>79.505404872725748</v>
      </c>
      <c r="AV116" s="360">
        <f t="shared" si="112"/>
        <v>81.662660010151313</v>
      </c>
      <c r="AW116" s="360">
        <f t="shared" si="112"/>
        <v>83.874403191124884</v>
      </c>
      <c r="AX116" s="360">
        <f t="shared" si="112"/>
        <v>86.141951035333292</v>
      </c>
      <c r="AY116" s="360">
        <f t="shared" si="112"/>
        <v>88.466651032033596</v>
      </c>
      <c r="AZ116" s="360">
        <f t="shared" si="112"/>
        <v>90.849882248187768</v>
      </c>
      <c r="BA116" s="360">
        <f t="shared" si="112"/>
        <v>93.293056052575324</v>
      </c>
      <c r="BB116" s="360">
        <f t="shared" si="112"/>
        <v>95.797616856239074</v>
      </c>
      <c r="BC116" s="360">
        <f t="shared" si="112"/>
        <v>98.365042869628383</v>
      </c>
      <c r="BD116" s="360">
        <f t="shared" si="112"/>
        <v>100.99684687681071</v>
      </c>
      <c r="BE116" s="360">
        <f t="shared" si="112"/>
        <v>103.69457702713254</v>
      </c>
      <c r="BF116" s="360">
        <f t="shared" si="112"/>
        <v>106.45981764471648</v>
      </c>
      <c r="BG116" s="360">
        <f t="shared" si="112"/>
        <v>109.29419005619295</v>
      </c>
      <c r="BH116" s="360">
        <f t="shared" si="112"/>
        <v>112.19935343707056</v>
      </c>
      <c r="BI116" s="360">
        <f t="shared" si="112"/>
        <v>115.17700567716085</v>
      </c>
      <c r="BJ116" s="360">
        <f t="shared" si="112"/>
        <v>118.22888426547986</v>
      </c>
      <c r="BK116" s="360">
        <f t="shared" si="112"/>
        <v>121.35676719506083</v>
      </c>
      <c r="BL116" s="360">
        <f t="shared" si="112"/>
        <v>124.56247388811876</v>
      </c>
      <c r="BM116" s="360">
        <f t="shared" si="112"/>
        <v>127.84786614202105</v>
      </c>
      <c r="BN116" s="360">
        <f t="shared" si="112"/>
        <v>131.21484909652415</v>
      </c>
      <c r="BO116" s="360">
        <f t="shared" si="112"/>
        <v>134.66537222275062</v>
      </c>
      <c r="BP116" s="360">
        <f t="shared" si="112"/>
        <v>138.20143033438748</v>
      </c>
      <c r="BQ116" s="360">
        <f t="shared" si="112"/>
        <v>141.82506462160077</v>
      </c>
      <c r="BR116" s="360">
        <f t="shared" si="112"/>
        <v>145.53836370816879</v>
      </c>
      <c r="BS116" s="360">
        <f t="shared" si="112"/>
        <v>149.3434647323509</v>
      </c>
      <c r="BT116" s="360">
        <f t="shared" si="112"/>
        <v>153.242554452017</v>
      </c>
      <c r="BU116" s="360">
        <f t="shared" si="112"/>
        <v>157.23787037457689</v>
      </c>
      <c r="BV116" s="360">
        <f t="shared" si="112"/>
        <v>161.33170191225832</v>
      </c>
      <c r="BW116" s="360">
        <f t="shared" si="112"/>
        <v>165.52639156329715</v>
      </c>
      <c r="BX116" s="360">
        <f t="shared" si="112"/>
        <v>169.82433611961267</v>
      </c>
      <c r="BY116" s="360">
        <f t="shared" si="112"/>
        <v>174.22798790155548</v>
      </c>
      <c r="BZ116" s="360">
        <f t="shared" si="112"/>
        <v>178.73985602032815</v>
      </c>
      <c r="CA116" s="360">
        <f t="shared" si="112"/>
        <v>183.36250766869108</v>
      </c>
      <c r="CB116" s="360">
        <f t="shared" si="112"/>
        <v>188.09856944058043</v>
      </c>
      <c r="CC116" s="360">
        <f t="shared" si="112"/>
        <v>192.9507286802779</v>
      </c>
      <c r="CD116" s="360">
        <f t="shared" si="112"/>
        <v>197.92173486178697</v>
      </c>
      <c r="CE116" s="360">
        <f t="shared" si="112"/>
        <v>203.01440099908433</v>
      </c>
      <c r="CF116" s="360">
        <f t="shared" si="112"/>
        <v>208.23160508792884</v>
      </c>
      <c r="CG116" s="360">
        <f t="shared" si="112"/>
        <v>213.57629157992758</v>
      </c>
      <c r="CH116" s="360">
        <f t="shared" si="112"/>
        <v>219.05147288957102</v>
      </c>
      <c r="CI116" s="360">
        <f t="shared" si="112"/>
        <v>224.66023093496824</v>
      </c>
      <c r="CJ116" s="360">
        <f t="shared" si="112"/>
        <v>230.40571871302549</v>
      </c>
      <c r="CK116" s="360">
        <f t="shared" si="112"/>
        <v>236.29116190983112</v>
      </c>
      <c r="CL116" s="360">
        <f t="shared" si="112"/>
        <v>242.31986054702372</v>
      </c>
      <c r="CM116" s="360">
        <f t="shared" si="112"/>
        <v>248.49519066494005</v>
      </c>
      <c r="CN116" s="360">
        <f t="shared" si="112"/>
        <v>254.8206060433543</v>
      </c>
      <c r="CO116" s="360">
        <f t="shared" si="112"/>
        <v>261.29963996063913</v>
      </c>
      <c r="CP116" s="360">
        <f t="shared" si="112"/>
        <v>267.935906992198</v>
      </c>
      <c r="CQ116" s="360">
        <f t="shared" si="112"/>
        <v>274.73310484903499</v>
      </c>
      <c r="CR116" s="360">
        <f t="shared" si="112"/>
        <v>281.69501625734847</v>
      </c>
      <c r="CS116" s="360">
        <f t="shared" si="112"/>
        <v>288.82551088005499</v>
      </c>
      <c r="CT116" s="360">
        <f t="shared" si="112"/>
        <v>296.12854728116685</v>
      </c>
      <c r="CU116" s="360">
        <f t="shared" si="112"/>
        <v>303.6081749339711</v>
      </c>
      <c r="CV116" s="360">
        <f t="shared" si="112"/>
        <v>311.26853627397503</v>
      </c>
      <c r="CW116" s="360">
        <f t="shared" si="112"/>
        <v>319.11386879760568</v>
      </c>
      <c r="CX116" s="360">
        <f t="shared" si="112"/>
        <v>327.1485072076718</v>
      </c>
      <c r="CY116" s="360">
        <f t="shared" si="112"/>
        <v>335.37688560662156</v>
      </c>
      <c r="CZ116" s="360">
        <f t="shared" si="112"/>
        <v>343.80353973864618</v>
      </c>
      <c r="DA116" s="360">
        <f t="shared" si="112"/>
        <v>352.43310928170928</v>
      </c>
      <c r="DB116" s="360">
        <f t="shared" si="112"/>
        <v>361.27034019059943</v>
      </c>
      <c r="DC116" s="360">
        <f t="shared" si="112"/>
        <v>370.32008709213238</v>
      </c>
      <c r="DD116" s="360">
        <f t="shared" si="112"/>
        <v>379.58731573365048</v>
      </c>
      <c r="DE116" s="360">
        <f t="shared" si="112"/>
        <v>389.07710548599249</v>
      </c>
      <c r="DF116" s="435"/>
      <c r="DG116" s="435"/>
      <c r="DH116" s="435"/>
      <c r="DI116" s="435"/>
      <c r="DJ116" s="435"/>
      <c r="DK116" s="435"/>
      <c r="DL116" s="435"/>
      <c r="DM116" s="221"/>
      <c r="DN116" s="221"/>
      <c r="DO116" s="221"/>
      <c r="DP116" s="221"/>
      <c r="DQ116" s="221"/>
      <c r="DR116" s="221"/>
    </row>
    <row r="117" spans="1:122" ht="15.75" customHeight="1" x14ac:dyDescent="0.25">
      <c r="A117" s="448"/>
      <c r="B117" s="449"/>
      <c r="C117" s="450" t="s">
        <v>585</v>
      </c>
      <c r="D117" s="458" t="s">
        <v>247</v>
      </c>
      <c r="E117" s="451"/>
      <c r="F117" s="316" t="s">
        <v>14</v>
      </c>
      <c r="G117" s="317">
        <f>NPV($D$6, J117:DE617)+I117</f>
        <v>219912746.12747794</v>
      </c>
      <c r="H117" s="318">
        <f>H109+H114+H116</f>
        <v>4460427.3272784036</v>
      </c>
      <c r="I117" s="318">
        <f t="shared" ref="I117:DL117" si="113">I109+I114+I116</f>
        <v>4482686.4872784028</v>
      </c>
      <c r="J117" s="318">
        <f t="shared" si="113"/>
        <v>4594986.9927510349</v>
      </c>
      <c r="K117" s="318">
        <f t="shared" si="113"/>
        <v>4710106.2420871574</v>
      </c>
      <c r="L117" s="318">
        <f t="shared" si="113"/>
        <v>4828114.9857540093</v>
      </c>
      <c r="M117" s="318">
        <f t="shared" si="113"/>
        <v>4949085.7500549415</v>
      </c>
      <c r="N117" s="318">
        <f t="shared" si="113"/>
        <v>5073092.8817028673</v>
      </c>
      <c r="O117" s="318">
        <f t="shared" si="113"/>
        <v>5200212.5935125332</v>
      </c>
      <c r="P117" s="318">
        <f t="shared" si="113"/>
        <v>5330523.0112396395</v>
      </c>
      <c r="Q117" s="318">
        <f t="shared" si="113"/>
        <v>5464104.2215956394</v>
      </c>
      <c r="R117" s="318">
        <f t="shared" si="113"/>
        <v>5601038.3214677023</v>
      </c>
      <c r="S117" s="318">
        <f t="shared" si="113"/>
        <v>5741409.4683740959</v>
      </c>
      <c r="T117" s="318">
        <f t="shared" si="113"/>
        <v>5885303.9321859898</v>
      </c>
      <c r="U117" s="318">
        <f t="shared" si="113"/>
        <v>6032810.1481475048</v>
      </c>
      <c r="V117" s="318">
        <f t="shared" si="113"/>
        <v>6184018.7712265262</v>
      </c>
      <c r="W117" s="318">
        <f t="shared" si="113"/>
        <v>6339022.7318297485</v>
      </c>
      <c r="X117" s="318">
        <f t="shared" si="113"/>
        <v>6497917.2929161573</v>
      </c>
      <c r="Y117" s="318">
        <f t="shared" si="113"/>
        <v>6660800.1085440638</v>
      </c>
      <c r="Z117" s="318">
        <f t="shared" si="113"/>
        <v>6827771.2838876592</v>
      </c>
      <c r="AA117" s="318">
        <f t="shared" si="113"/>
        <v>6998933.4367599841</v>
      </c>
      <c r="AB117" s="318">
        <f t="shared" si="113"/>
        <v>7174391.7606801502</v>
      </c>
      <c r="AC117" s="318">
        <f t="shared" si="113"/>
        <v>7354254.0895235008</v>
      </c>
      <c r="AD117" s="318">
        <f t="shared" si="113"/>
        <v>7538630.9637945341</v>
      </c>
      <c r="AE117" s="318">
        <f t="shared" si="113"/>
        <v>7727635.6985632526</v>
      </c>
      <c r="AF117" s="318">
        <f t="shared" si="113"/>
        <v>7921384.4531067098</v>
      </c>
      <c r="AG117" s="318">
        <f t="shared" si="113"/>
        <v>8119996.3022985784</v>
      </c>
      <c r="AH117" s="318">
        <f t="shared" si="113"/>
        <v>8323593.3097905889</v>
      </c>
      <c r="AI117" s="318">
        <f t="shared" si="113"/>
        <v>8489894.257988153</v>
      </c>
      <c r="AJ117" s="318">
        <f t="shared" si="113"/>
        <v>8659521.2339181304</v>
      </c>
      <c r="AK117" s="318">
        <f t="shared" si="113"/>
        <v>8832540.7583105415</v>
      </c>
      <c r="AL117" s="318">
        <f t="shared" si="113"/>
        <v>9009020.6823135018</v>
      </c>
      <c r="AM117" s="318">
        <f t="shared" si="113"/>
        <v>9189030.2141016889</v>
      </c>
      <c r="AN117" s="318">
        <f t="shared" si="113"/>
        <v>9372639.9460169021</v>
      </c>
      <c r="AO117" s="318">
        <f t="shared" si="113"/>
        <v>9559921.882251516</v>
      </c>
      <c r="AP117" s="318">
        <f t="shared" si="113"/>
        <v>9750949.467085531</v>
      </c>
      <c r="AQ117" s="318">
        <f t="shared" si="113"/>
        <v>9945797.6136884298</v>
      </c>
      <c r="AR117" s="318">
        <f t="shared" si="113"/>
        <v>10144542.733497042</v>
      </c>
      <c r="AS117" s="318">
        <f t="shared" si="113"/>
        <v>10347262.766180949</v>
      </c>
      <c r="AT117" s="318">
        <f t="shared" si="113"/>
        <v>10554037.210207243</v>
      </c>
      <c r="AU117" s="318">
        <f t="shared" si="113"/>
        <v>10764947.154016541</v>
      </c>
      <c r="AV117" s="318">
        <f t="shared" si="113"/>
        <v>10980075.307822552</v>
      </c>
      <c r="AW117" s="318">
        <f t="shared" si="113"/>
        <v>11199506.03604763</v>
      </c>
      <c r="AX117" s="318">
        <f t="shared" si="113"/>
        <v>11423325.390407005</v>
      </c>
      <c r="AY117" s="318">
        <f t="shared" si="113"/>
        <v>11651621.143654764</v>
      </c>
      <c r="AZ117" s="318">
        <f t="shared" si="113"/>
        <v>11884482.824004699</v>
      </c>
      <c r="BA117" s="318">
        <f t="shared" si="113"/>
        <v>12122001.750239598</v>
      </c>
      <c r="BB117" s="318">
        <f t="shared" si="113"/>
        <v>12364271.067522714</v>
      </c>
      <c r="BC117" s="318">
        <f t="shared" si="113"/>
        <v>12611385.783925489</v>
      </c>
      <c r="BD117" s="318">
        <f t="shared" si="113"/>
        <v>12863442.807685789</v>
      </c>
      <c r="BE117" s="318">
        <f t="shared" si="113"/>
        <v>13120540.985211363</v>
      </c>
      <c r="BF117" s="318">
        <f t="shared" si="113"/>
        <v>13382781.139843311</v>
      </c>
      <c r="BG117" s="318">
        <f t="shared" si="113"/>
        <v>13650266.11139488</v>
      </c>
      <c r="BH117" s="318">
        <f t="shared" si="113"/>
        <v>13923100.796481</v>
      </c>
      <c r="BI117" s="318">
        <f t="shared" si="113"/>
        <v>14201392.189654436</v>
      </c>
      <c r="BJ117" s="318">
        <f t="shared" si="113"/>
        <v>14485249.42536464</v>
      </c>
      <c r="BK117" s="318">
        <f t="shared" si="113"/>
        <v>14774783.820755823</v>
      </c>
      <c r="BL117" s="318">
        <f t="shared" si="113"/>
        <v>15070108.919320928</v>
      </c>
      <c r="BM117" s="318">
        <f t="shared" si="113"/>
        <v>15371340.535428768</v>
      </c>
      <c r="BN117" s="318">
        <f t="shared" si="113"/>
        <v>15678596.799741618</v>
      </c>
      <c r="BO117" s="318">
        <f t="shared" si="113"/>
        <v>15991998.20554124</v>
      </c>
      <c r="BP117" s="318">
        <f t="shared" si="113"/>
        <v>16311667.655981373</v>
      </c>
      <c r="BQ117" s="318">
        <f t="shared" si="113"/>
        <v>16637730.512285329</v>
      </c>
      <c r="BR117" s="318">
        <f t="shared" si="113"/>
        <v>16970314.64290747</v>
      </c>
      <c r="BS117" s="318">
        <f t="shared" si="113"/>
        <v>17309550.473678015</v>
      </c>
      <c r="BT117" s="318">
        <f t="shared" si="113"/>
        <v>17655571.038950641</v>
      </c>
      <c r="BU117" s="318">
        <f t="shared" si="113"/>
        <v>18008512.033773132</v>
      </c>
      <c r="BV117" s="318">
        <f t="shared" si="113"/>
        <v>18368511.867101371</v>
      </c>
      <c r="BW117" s="318">
        <f t="shared" si="113"/>
        <v>18735711.716077652</v>
      </c>
      <c r="BX117" s="318">
        <f t="shared" si="113"/>
        <v>19110255.581394576</v>
      </c>
      <c r="BY117" s="318">
        <f t="shared" si="113"/>
        <v>19492290.343766168</v>
      </c>
      <c r="BZ117" s="318">
        <f t="shared" si="113"/>
        <v>19881965.821528498</v>
      </c>
      <c r="CA117" s="318">
        <f t="shared" si="113"/>
        <v>20279434.829392239</v>
      </c>
      <c r="CB117" s="318">
        <f t="shared" si="113"/>
        <v>20684853.238370348</v>
      </c>
      <c r="CC117" s="318">
        <f t="shared" si="113"/>
        <v>21098380.036904249</v>
      </c>
      <c r="CD117" s="318">
        <f t="shared" si="113"/>
        <v>21520177.393212583</v>
      </c>
      <c r="CE117" s="318">
        <f t="shared" si="113"/>
        <v>21950410.718886919</v>
      </c>
      <c r="CF117" s="318">
        <f t="shared" si="113"/>
        <v>22389248.733759362</v>
      </c>
      <c r="CG117" s="318">
        <f t="shared" si="113"/>
        <v>22836863.532067593</v>
      </c>
      <c r="CH117" s="318">
        <f t="shared" si="113"/>
        <v>23293430.649943065</v>
      </c>
      <c r="CI117" s="318">
        <f t="shared" si="113"/>
        <v>23759129.134249158</v>
      </c>
      <c r="CJ117" s="318">
        <f t="shared" si="113"/>
        <v>24234141.612795938</v>
      </c>
      <c r="CK117" s="318">
        <f t="shared" si="113"/>
        <v>24718654.365959328</v>
      </c>
      <c r="CL117" s="318">
        <f t="shared" si="113"/>
        <v>25212857.399732556</v>
      </c>
      <c r="CM117" s="318">
        <f t="shared" si="113"/>
        <v>25716944.520238753</v>
      </c>
      <c r="CN117" s="318">
        <f t="shared" si="113"/>
        <v>26231113.409733735</v>
      </c>
      <c r="CO117" s="318">
        <f t="shared" si="113"/>
        <v>26755565.704128854</v>
      </c>
      <c r="CP117" s="318">
        <f t="shared" si="113"/>
        <v>27290507.072064307</v>
      </c>
      <c r="CQ117" s="318">
        <f t="shared" si="113"/>
        <v>27836147.295563955</v>
      </c>
      <c r="CR117" s="318">
        <f t="shared" si="113"/>
        <v>28392700.352303185</v>
      </c>
      <c r="CS117" s="318">
        <f t="shared" si="113"/>
        <v>28960384.499522191</v>
      </c>
      <c r="CT117" s="318">
        <f t="shared" si="113"/>
        <v>29539422.359617464</v>
      </c>
      <c r="CU117" s="318">
        <f t="shared" si="113"/>
        <v>30130041.007445164</v>
      </c>
      <c r="CV117" s="318">
        <f t="shared" si="113"/>
        <v>30732472.059370548</v>
      </c>
      <c r="CW117" s="318">
        <f t="shared" si="113"/>
        <v>31346951.76409841</v>
      </c>
      <c r="CX117" s="318">
        <f t="shared" si="113"/>
        <v>31973721.09532005</v>
      </c>
      <c r="CY117" s="318">
        <f t="shared" si="113"/>
        <v>32613025.846213352</v>
      </c>
      <c r="CZ117" s="318">
        <f t="shared" si="113"/>
        <v>33265116.725832671</v>
      </c>
      <c r="DA117" s="318">
        <f t="shared" si="113"/>
        <v>33930249.457426719</v>
      </c>
      <c r="DB117" s="318">
        <f t="shared" si="113"/>
        <v>34608684.878722623</v>
      </c>
      <c r="DC117" s="318">
        <f t="shared" si="113"/>
        <v>35300689.044215813</v>
      </c>
      <c r="DD117" s="318">
        <f t="shared" si="113"/>
        <v>36006533.329505675</v>
      </c>
      <c r="DE117" s="318">
        <f t="shared" si="113"/>
        <v>36726494.537717864</v>
      </c>
      <c r="DF117" s="318">
        <f t="shared" si="113"/>
        <v>0</v>
      </c>
      <c r="DG117" s="318">
        <f t="shared" si="113"/>
        <v>0</v>
      </c>
      <c r="DH117" s="318">
        <f t="shared" si="113"/>
        <v>0</v>
      </c>
      <c r="DI117" s="318">
        <f t="shared" si="113"/>
        <v>0</v>
      </c>
      <c r="DJ117" s="318">
        <f t="shared" si="113"/>
        <v>0</v>
      </c>
      <c r="DK117" s="318">
        <f t="shared" si="113"/>
        <v>0</v>
      </c>
      <c r="DL117" s="318">
        <f t="shared" si="113"/>
        <v>0</v>
      </c>
      <c r="DM117" s="221"/>
      <c r="DN117" s="221"/>
      <c r="DO117" s="221"/>
      <c r="DP117" s="221"/>
      <c r="DQ117" s="221"/>
      <c r="DR117" s="221"/>
    </row>
    <row r="118" spans="1:122" ht="15.75" customHeight="1" outlineLevel="1" x14ac:dyDescent="0.25">
      <c r="A118" s="754" t="s">
        <v>367</v>
      </c>
      <c r="B118" s="755" t="s">
        <v>368</v>
      </c>
      <c r="C118" s="338" t="s">
        <v>258</v>
      </c>
      <c r="D118" s="339" t="s">
        <v>259</v>
      </c>
      <c r="E118" s="459">
        <f>(2.08/1000)</f>
        <v>2.0800000000000003E-3</v>
      </c>
      <c r="F118" s="460" t="s">
        <v>260</v>
      </c>
      <c r="G118" s="342">
        <v>0.02</v>
      </c>
      <c r="H118" s="343">
        <f>E118*(1+$G$118)</f>
        <v>2.1216000000000004E-3</v>
      </c>
      <c r="I118" s="343">
        <f t="shared" ref="I118:AG118" si="114">H118*(1+$G$118)</f>
        <v>2.1640320000000006E-3</v>
      </c>
      <c r="J118" s="343">
        <f t="shared" si="114"/>
        <v>2.2073126400000008E-3</v>
      </c>
      <c r="K118" s="343">
        <f t="shared" si="114"/>
        <v>2.251458892800001E-3</v>
      </c>
      <c r="L118" s="343">
        <f t="shared" si="114"/>
        <v>2.2964880706560012E-3</v>
      </c>
      <c r="M118" s="343">
        <f t="shared" si="114"/>
        <v>2.3424178320691214E-3</v>
      </c>
      <c r="N118" s="343">
        <f t="shared" si="114"/>
        <v>2.389266188710504E-3</v>
      </c>
      <c r="O118" s="343">
        <f t="shared" si="114"/>
        <v>2.4370515124847139E-3</v>
      </c>
      <c r="P118" s="343">
        <f t="shared" si="114"/>
        <v>2.4857925427344083E-3</v>
      </c>
      <c r="Q118" s="343">
        <f t="shared" si="114"/>
        <v>2.5355083935890963E-3</v>
      </c>
      <c r="R118" s="343">
        <f t="shared" si="114"/>
        <v>2.5862185614608782E-3</v>
      </c>
      <c r="S118" s="343">
        <f t="shared" si="114"/>
        <v>2.6379429326900956E-3</v>
      </c>
      <c r="T118" s="343">
        <f t="shared" si="114"/>
        <v>2.6907017913438977E-3</v>
      </c>
      <c r="U118" s="343">
        <f t="shared" si="114"/>
        <v>2.7445158271707758E-3</v>
      </c>
      <c r="V118" s="343">
        <f t="shared" si="114"/>
        <v>2.7994061437141915E-3</v>
      </c>
      <c r="W118" s="343">
        <f t="shared" si="114"/>
        <v>2.8553942665884755E-3</v>
      </c>
      <c r="X118" s="343">
        <f t="shared" si="114"/>
        <v>2.912502151920245E-3</v>
      </c>
      <c r="Y118" s="343">
        <f t="shared" si="114"/>
        <v>2.97075219495865E-3</v>
      </c>
      <c r="Z118" s="343">
        <f t="shared" si="114"/>
        <v>3.0301672388578231E-3</v>
      </c>
      <c r="AA118" s="343">
        <f t="shared" si="114"/>
        <v>3.0907705836349798E-3</v>
      </c>
      <c r="AB118" s="343">
        <f t="shared" si="114"/>
        <v>3.1525859953076794E-3</v>
      </c>
      <c r="AC118" s="343">
        <f t="shared" si="114"/>
        <v>3.215637715213833E-3</v>
      </c>
      <c r="AD118" s="343">
        <f t="shared" si="114"/>
        <v>3.2799504695181095E-3</v>
      </c>
      <c r="AE118" s="343">
        <f t="shared" si="114"/>
        <v>3.3455494789084717E-3</v>
      </c>
      <c r="AF118" s="343">
        <f t="shared" si="114"/>
        <v>3.4124604684866409E-3</v>
      </c>
      <c r="AG118" s="343">
        <f t="shared" si="114"/>
        <v>3.4807096778563737E-3</v>
      </c>
      <c r="AH118" s="343">
        <f t="shared" ref="AH118:DL118" si="115">AG118</f>
        <v>3.4807096778563737E-3</v>
      </c>
      <c r="AI118" s="343">
        <f t="shared" si="115"/>
        <v>3.4807096778563737E-3</v>
      </c>
      <c r="AJ118" s="343">
        <f t="shared" si="115"/>
        <v>3.4807096778563737E-3</v>
      </c>
      <c r="AK118" s="343">
        <f t="shared" si="115"/>
        <v>3.4807096778563737E-3</v>
      </c>
      <c r="AL118" s="343">
        <f t="shared" si="115"/>
        <v>3.4807096778563737E-3</v>
      </c>
      <c r="AM118" s="343">
        <f t="shared" si="115"/>
        <v>3.4807096778563737E-3</v>
      </c>
      <c r="AN118" s="343">
        <f t="shared" si="115"/>
        <v>3.4807096778563737E-3</v>
      </c>
      <c r="AO118" s="343">
        <f t="shared" si="115"/>
        <v>3.4807096778563737E-3</v>
      </c>
      <c r="AP118" s="343">
        <f t="shared" si="115"/>
        <v>3.4807096778563737E-3</v>
      </c>
      <c r="AQ118" s="343">
        <f t="shared" si="115"/>
        <v>3.4807096778563737E-3</v>
      </c>
      <c r="AR118" s="343">
        <f t="shared" si="115"/>
        <v>3.4807096778563737E-3</v>
      </c>
      <c r="AS118" s="343">
        <f t="shared" si="115"/>
        <v>3.4807096778563737E-3</v>
      </c>
      <c r="AT118" s="343">
        <f t="shared" si="115"/>
        <v>3.4807096778563737E-3</v>
      </c>
      <c r="AU118" s="343">
        <f t="shared" si="115"/>
        <v>3.4807096778563737E-3</v>
      </c>
      <c r="AV118" s="343">
        <f t="shared" si="115"/>
        <v>3.4807096778563737E-3</v>
      </c>
      <c r="AW118" s="343">
        <f t="shared" si="115"/>
        <v>3.4807096778563737E-3</v>
      </c>
      <c r="AX118" s="343">
        <f t="shared" si="115"/>
        <v>3.4807096778563737E-3</v>
      </c>
      <c r="AY118" s="343">
        <f t="shared" si="115"/>
        <v>3.4807096778563737E-3</v>
      </c>
      <c r="AZ118" s="343">
        <f t="shared" si="115"/>
        <v>3.4807096778563737E-3</v>
      </c>
      <c r="BA118" s="343">
        <f t="shared" si="115"/>
        <v>3.4807096778563737E-3</v>
      </c>
      <c r="BB118" s="343">
        <f t="shared" si="115"/>
        <v>3.4807096778563737E-3</v>
      </c>
      <c r="BC118" s="343">
        <f t="shared" si="115"/>
        <v>3.4807096778563737E-3</v>
      </c>
      <c r="BD118" s="343">
        <f t="shared" si="115"/>
        <v>3.4807096778563737E-3</v>
      </c>
      <c r="BE118" s="343">
        <f t="shared" si="115"/>
        <v>3.4807096778563737E-3</v>
      </c>
      <c r="BF118" s="343">
        <f t="shared" si="115"/>
        <v>3.4807096778563737E-3</v>
      </c>
      <c r="BG118" s="343">
        <f t="shared" si="115"/>
        <v>3.4807096778563737E-3</v>
      </c>
      <c r="BH118" s="343">
        <f t="shared" si="115"/>
        <v>3.4807096778563737E-3</v>
      </c>
      <c r="BI118" s="343">
        <f t="shared" si="115"/>
        <v>3.4807096778563737E-3</v>
      </c>
      <c r="BJ118" s="343">
        <f t="shared" si="115"/>
        <v>3.4807096778563737E-3</v>
      </c>
      <c r="BK118" s="343">
        <f t="shared" si="115"/>
        <v>3.4807096778563737E-3</v>
      </c>
      <c r="BL118" s="343">
        <f t="shared" si="115"/>
        <v>3.4807096778563737E-3</v>
      </c>
      <c r="BM118" s="343">
        <f t="shared" si="115"/>
        <v>3.4807096778563737E-3</v>
      </c>
      <c r="BN118" s="343">
        <f t="shared" si="115"/>
        <v>3.4807096778563737E-3</v>
      </c>
      <c r="BO118" s="343">
        <f t="shared" si="115"/>
        <v>3.4807096778563737E-3</v>
      </c>
      <c r="BP118" s="343">
        <f t="shared" si="115"/>
        <v>3.4807096778563737E-3</v>
      </c>
      <c r="BQ118" s="343">
        <f t="shared" si="115"/>
        <v>3.4807096778563737E-3</v>
      </c>
      <c r="BR118" s="343">
        <f t="shared" si="115"/>
        <v>3.4807096778563737E-3</v>
      </c>
      <c r="BS118" s="343">
        <f t="shared" si="115"/>
        <v>3.4807096778563737E-3</v>
      </c>
      <c r="BT118" s="343">
        <f t="shared" si="115"/>
        <v>3.4807096778563737E-3</v>
      </c>
      <c r="BU118" s="343">
        <f t="shared" si="115"/>
        <v>3.4807096778563737E-3</v>
      </c>
      <c r="BV118" s="343">
        <f t="shared" si="115"/>
        <v>3.4807096778563737E-3</v>
      </c>
      <c r="BW118" s="343">
        <f t="shared" si="115"/>
        <v>3.4807096778563737E-3</v>
      </c>
      <c r="BX118" s="343">
        <f t="shared" si="115"/>
        <v>3.4807096778563737E-3</v>
      </c>
      <c r="BY118" s="343">
        <f t="shared" si="115"/>
        <v>3.4807096778563737E-3</v>
      </c>
      <c r="BZ118" s="343">
        <f t="shared" si="115"/>
        <v>3.4807096778563737E-3</v>
      </c>
      <c r="CA118" s="343">
        <f t="shared" si="115"/>
        <v>3.4807096778563737E-3</v>
      </c>
      <c r="CB118" s="343">
        <f t="shared" si="115"/>
        <v>3.4807096778563737E-3</v>
      </c>
      <c r="CC118" s="343">
        <f t="shared" si="115"/>
        <v>3.4807096778563737E-3</v>
      </c>
      <c r="CD118" s="343">
        <f t="shared" si="115"/>
        <v>3.4807096778563737E-3</v>
      </c>
      <c r="CE118" s="343">
        <f t="shared" si="115"/>
        <v>3.4807096778563737E-3</v>
      </c>
      <c r="CF118" s="343">
        <f t="shared" si="115"/>
        <v>3.4807096778563737E-3</v>
      </c>
      <c r="CG118" s="343">
        <f t="shared" si="115"/>
        <v>3.4807096778563737E-3</v>
      </c>
      <c r="CH118" s="343">
        <f t="shared" si="115"/>
        <v>3.4807096778563737E-3</v>
      </c>
      <c r="CI118" s="343">
        <f t="shared" si="115"/>
        <v>3.4807096778563737E-3</v>
      </c>
      <c r="CJ118" s="343">
        <f t="shared" si="115"/>
        <v>3.4807096778563737E-3</v>
      </c>
      <c r="CK118" s="343">
        <f t="shared" si="115"/>
        <v>3.4807096778563737E-3</v>
      </c>
      <c r="CL118" s="343">
        <f t="shared" si="115"/>
        <v>3.4807096778563737E-3</v>
      </c>
      <c r="CM118" s="343">
        <f t="shared" si="115"/>
        <v>3.4807096778563737E-3</v>
      </c>
      <c r="CN118" s="343">
        <f t="shared" si="115"/>
        <v>3.4807096778563737E-3</v>
      </c>
      <c r="CO118" s="343">
        <f t="shared" si="115"/>
        <v>3.4807096778563737E-3</v>
      </c>
      <c r="CP118" s="343">
        <f t="shared" si="115"/>
        <v>3.4807096778563737E-3</v>
      </c>
      <c r="CQ118" s="343">
        <f t="shared" si="115"/>
        <v>3.4807096778563737E-3</v>
      </c>
      <c r="CR118" s="343">
        <f t="shared" si="115"/>
        <v>3.4807096778563737E-3</v>
      </c>
      <c r="CS118" s="343">
        <f t="shared" si="115"/>
        <v>3.4807096778563737E-3</v>
      </c>
      <c r="CT118" s="343">
        <f t="shared" si="115"/>
        <v>3.4807096778563737E-3</v>
      </c>
      <c r="CU118" s="343">
        <f t="shared" si="115"/>
        <v>3.4807096778563737E-3</v>
      </c>
      <c r="CV118" s="343">
        <f t="shared" si="115"/>
        <v>3.4807096778563737E-3</v>
      </c>
      <c r="CW118" s="343">
        <f t="shared" si="115"/>
        <v>3.4807096778563737E-3</v>
      </c>
      <c r="CX118" s="343">
        <f t="shared" si="115"/>
        <v>3.4807096778563737E-3</v>
      </c>
      <c r="CY118" s="343">
        <f t="shared" si="115"/>
        <v>3.4807096778563737E-3</v>
      </c>
      <c r="CZ118" s="343">
        <f t="shared" si="115"/>
        <v>3.4807096778563737E-3</v>
      </c>
      <c r="DA118" s="343">
        <f t="shared" si="115"/>
        <v>3.4807096778563737E-3</v>
      </c>
      <c r="DB118" s="343">
        <f t="shared" si="115"/>
        <v>3.4807096778563737E-3</v>
      </c>
      <c r="DC118" s="343">
        <f t="shared" si="115"/>
        <v>3.4807096778563737E-3</v>
      </c>
      <c r="DD118" s="343">
        <f t="shared" si="115"/>
        <v>3.4807096778563737E-3</v>
      </c>
      <c r="DE118" s="343">
        <f t="shared" si="115"/>
        <v>3.4807096778563737E-3</v>
      </c>
      <c r="DF118" s="343">
        <f t="shared" si="115"/>
        <v>3.4807096778563737E-3</v>
      </c>
      <c r="DG118" s="343">
        <f t="shared" si="115"/>
        <v>3.4807096778563737E-3</v>
      </c>
      <c r="DH118" s="343">
        <f t="shared" si="115"/>
        <v>3.4807096778563737E-3</v>
      </c>
      <c r="DI118" s="343">
        <f t="shared" si="115"/>
        <v>3.4807096778563737E-3</v>
      </c>
      <c r="DJ118" s="343">
        <f t="shared" si="115"/>
        <v>3.4807096778563737E-3</v>
      </c>
      <c r="DK118" s="343">
        <f t="shared" si="115"/>
        <v>3.4807096778563737E-3</v>
      </c>
      <c r="DL118" s="343">
        <f t="shared" si="115"/>
        <v>3.4807096778563737E-3</v>
      </c>
      <c r="DM118" s="221"/>
      <c r="DN118" s="221"/>
      <c r="DO118" s="221"/>
      <c r="DP118" s="221"/>
      <c r="DQ118" s="221"/>
      <c r="DR118" s="221"/>
    </row>
    <row r="119" spans="1:122" ht="15.75" customHeight="1" outlineLevel="1" x14ac:dyDescent="0.25">
      <c r="A119" s="751"/>
      <c r="B119" s="751"/>
      <c r="C119" s="321" t="s">
        <v>369</v>
      </c>
      <c r="D119" s="279" t="s">
        <v>204</v>
      </c>
      <c r="E119" s="280"/>
      <c r="F119" s="279"/>
      <c r="G119" s="279"/>
      <c r="H119" s="409">
        <f>H118*'Unit Costs and Indicators'!$L$9</f>
        <v>5.6254545454545468</v>
      </c>
      <c r="I119" s="282">
        <f>I118*'Unit Costs and Indicators'!$L$9</f>
        <v>5.7379636363636379</v>
      </c>
      <c r="J119" s="282">
        <f>J118*'Unit Costs and Indicators'!$L$9</f>
        <v>5.852722909090911</v>
      </c>
      <c r="K119" s="282">
        <f>K118*'Unit Costs and Indicators'!$L$9</f>
        <v>5.9697773672727301</v>
      </c>
      <c r="L119" s="282">
        <f>L118*'Unit Costs and Indicators'!$L$9</f>
        <v>6.0891729146181852</v>
      </c>
      <c r="M119" s="282">
        <f>M118*'Unit Costs and Indicators'!$L$9</f>
        <v>6.210956372910549</v>
      </c>
      <c r="N119" s="282">
        <f>N118*'Unit Costs and Indicators'!$L$9</f>
        <v>6.3351755003687602</v>
      </c>
      <c r="O119" s="282">
        <f>O118*'Unit Costs and Indicators'!$L$9</f>
        <v>6.4618790103761352</v>
      </c>
      <c r="P119" s="282">
        <f>P118*'Unit Costs and Indicators'!$L$9</f>
        <v>6.591116590583658</v>
      </c>
      <c r="Q119" s="282">
        <f>Q118*'Unit Costs and Indicators'!$L$9</f>
        <v>6.7229389223953309</v>
      </c>
      <c r="R119" s="282">
        <f>R118*'Unit Costs and Indicators'!$L$9</f>
        <v>6.8573977008432374</v>
      </c>
      <c r="S119" s="282">
        <f>S118*'Unit Costs and Indicators'!$L$9</f>
        <v>6.9945456548601017</v>
      </c>
      <c r="T119" s="282">
        <f>T118*'Unit Costs and Indicators'!$L$9</f>
        <v>7.1344365679573043</v>
      </c>
      <c r="U119" s="282">
        <f>U118*'Unit Costs and Indicators'!$L$9</f>
        <v>7.2771252993164506</v>
      </c>
      <c r="V119" s="282">
        <f>V118*'Unit Costs and Indicators'!$L$9</f>
        <v>7.4226678053027806</v>
      </c>
      <c r="W119" s="282">
        <f>W118*'Unit Costs and Indicators'!$L$9</f>
        <v>7.5711211614088363</v>
      </c>
      <c r="X119" s="282">
        <f>X118*'Unit Costs and Indicators'!$L$9</f>
        <v>7.7225435846370134</v>
      </c>
      <c r="Y119" s="282">
        <f>Y118*'Unit Costs and Indicators'!$L$9</f>
        <v>7.8769944563297543</v>
      </c>
      <c r="Z119" s="282">
        <f>Z118*'Unit Costs and Indicators'!$L$9</f>
        <v>8.0345343454563487</v>
      </c>
      <c r="AA119" s="282">
        <f>AA118*'Unit Costs and Indicators'!$L$9</f>
        <v>8.1952250323654763</v>
      </c>
      <c r="AB119" s="282">
        <f>AB118*'Unit Costs and Indicators'!$L$9</f>
        <v>8.359129533012787</v>
      </c>
      <c r="AC119" s="282">
        <f>AC118*'Unit Costs and Indicators'!$L$9</f>
        <v>8.5263121236730424</v>
      </c>
      <c r="AD119" s="282">
        <f>AD118*'Unit Costs and Indicators'!$L$9</f>
        <v>8.696838366146503</v>
      </c>
      <c r="AE119" s="282">
        <f>AE118*'Unit Costs and Indicators'!$L$9</f>
        <v>8.8707751334694329</v>
      </c>
      <c r="AF119" s="282">
        <f>AF118*'Unit Costs and Indicators'!$L$9</f>
        <v>9.0481906361388198</v>
      </c>
      <c r="AG119" s="282">
        <f>AG118*'Unit Costs and Indicators'!$L$9</f>
        <v>9.2291544488615962</v>
      </c>
      <c r="AH119" s="282">
        <f>AH118*'Unit Costs and Indicators'!$L$9</f>
        <v>9.2291544488615962</v>
      </c>
      <c r="AI119" s="282">
        <f>AI118*'Unit Costs and Indicators'!$L$9</f>
        <v>9.2291544488615962</v>
      </c>
      <c r="AJ119" s="282">
        <f>AJ118*'Unit Costs and Indicators'!$L$9</f>
        <v>9.2291544488615962</v>
      </c>
      <c r="AK119" s="282">
        <f>AK118*'Unit Costs and Indicators'!$L$9</f>
        <v>9.2291544488615962</v>
      </c>
      <c r="AL119" s="282">
        <f>AL118*'Unit Costs and Indicators'!$L$9</f>
        <v>9.2291544488615962</v>
      </c>
      <c r="AM119" s="282">
        <f>AM118*'Unit Costs and Indicators'!$L$9</f>
        <v>9.2291544488615962</v>
      </c>
      <c r="AN119" s="282">
        <f>AN118*'Unit Costs and Indicators'!$L$9</f>
        <v>9.2291544488615962</v>
      </c>
      <c r="AO119" s="282">
        <f>AO118*'Unit Costs and Indicators'!$L$9</f>
        <v>9.2291544488615962</v>
      </c>
      <c r="AP119" s="282">
        <f>AP118*'Unit Costs and Indicators'!$L$9</f>
        <v>9.2291544488615962</v>
      </c>
      <c r="AQ119" s="282">
        <f>AQ118*'Unit Costs and Indicators'!$L$9</f>
        <v>9.2291544488615962</v>
      </c>
      <c r="AR119" s="282">
        <f>AR118*'Unit Costs and Indicators'!$L$9</f>
        <v>9.2291544488615962</v>
      </c>
      <c r="AS119" s="282">
        <f>AS118*'Unit Costs and Indicators'!$L$9</f>
        <v>9.2291544488615962</v>
      </c>
      <c r="AT119" s="282">
        <f>AT118*'Unit Costs and Indicators'!$L$9</f>
        <v>9.2291544488615962</v>
      </c>
      <c r="AU119" s="282">
        <f>AU118*'Unit Costs and Indicators'!$L$9</f>
        <v>9.2291544488615962</v>
      </c>
      <c r="AV119" s="282">
        <f>AV118*'Unit Costs and Indicators'!$L$9</f>
        <v>9.2291544488615962</v>
      </c>
      <c r="AW119" s="282">
        <f>AW118*'Unit Costs and Indicators'!$L$9</f>
        <v>9.2291544488615962</v>
      </c>
      <c r="AX119" s="282">
        <f>AX118*'Unit Costs and Indicators'!$L$9</f>
        <v>9.2291544488615962</v>
      </c>
      <c r="AY119" s="282">
        <f>AY118*'Unit Costs and Indicators'!$L$9</f>
        <v>9.2291544488615962</v>
      </c>
      <c r="AZ119" s="282">
        <f>AZ118*'Unit Costs and Indicators'!$L$9</f>
        <v>9.2291544488615962</v>
      </c>
      <c r="BA119" s="282">
        <f>BA118*'Unit Costs and Indicators'!$L$9</f>
        <v>9.2291544488615962</v>
      </c>
      <c r="BB119" s="282">
        <f>BB118*'Unit Costs and Indicators'!$L$9</f>
        <v>9.2291544488615962</v>
      </c>
      <c r="BC119" s="282">
        <f>BC118*'Unit Costs and Indicators'!$L$9</f>
        <v>9.2291544488615962</v>
      </c>
      <c r="BD119" s="282">
        <f>BD118*'Unit Costs and Indicators'!$L$9</f>
        <v>9.2291544488615962</v>
      </c>
      <c r="BE119" s="282">
        <f>BE118*'Unit Costs and Indicators'!$L$9</f>
        <v>9.2291544488615962</v>
      </c>
      <c r="BF119" s="282">
        <f>BF118*'Unit Costs and Indicators'!$L$9</f>
        <v>9.2291544488615962</v>
      </c>
      <c r="BG119" s="282">
        <f>BG118*'Unit Costs and Indicators'!$L$9</f>
        <v>9.2291544488615962</v>
      </c>
      <c r="BH119" s="282">
        <f>BH118*'Unit Costs and Indicators'!$L$9</f>
        <v>9.2291544488615962</v>
      </c>
      <c r="BI119" s="282">
        <f>BI118*'Unit Costs and Indicators'!$L$9</f>
        <v>9.2291544488615962</v>
      </c>
      <c r="BJ119" s="282">
        <f>BJ118*'Unit Costs and Indicators'!$L$9</f>
        <v>9.2291544488615962</v>
      </c>
      <c r="BK119" s="282">
        <f>BK118*'Unit Costs and Indicators'!$L$9</f>
        <v>9.2291544488615962</v>
      </c>
      <c r="BL119" s="282">
        <f>BL118*'Unit Costs and Indicators'!$L$9</f>
        <v>9.2291544488615962</v>
      </c>
      <c r="BM119" s="282">
        <f>BM118*'Unit Costs and Indicators'!$L$9</f>
        <v>9.2291544488615962</v>
      </c>
      <c r="BN119" s="282">
        <f>BN118*'Unit Costs and Indicators'!$L$9</f>
        <v>9.2291544488615962</v>
      </c>
      <c r="BO119" s="282">
        <f>BO118*'Unit Costs and Indicators'!$L$9</f>
        <v>9.2291544488615962</v>
      </c>
      <c r="BP119" s="282">
        <f>BP118*'Unit Costs and Indicators'!$L$9</f>
        <v>9.2291544488615962</v>
      </c>
      <c r="BQ119" s="282">
        <f>BQ118*'Unit Costs and Indicators'!$L$9</f>
        <v>9.2291544488615962</v>
      </c>
      <c r="BR119" s="282">
        <f>BR118*'Unit Costs and Indicators'!$L$9</f>
        <v>9.2291544488615962</v>
      </c>
      <c r="BS119" s="282">
        <f>BS118*'Unit Costs and Indicators'!$L$9</f>
        <v>9.2291544488615962</v>
      </c>
      <c r="BT119" s="282">
        <f>BT118*'Unit Costs and Indicators'!$L$9</f>
        <v>9.2291544488615962</v>
      </c>
      <c r="BU119" s="282">
        <f>BU118*'Unit Costs and Indicators'!$L$9</f>
        <v>9.2291544488615962</v>
      </c>
      <c r="BV119" s="282">
        <f>BV118*'Unit Costs and Indicators'!$L$9</f>
        <v>9.2291544488615962</v>
      </c>
      <c r="BW119" s="282">
        <f>BW118*'Unit Costs and Indicators'!$L$9</f>
        <v>9.2291544488615962</v>
      </c>
      <c r="BX119" s="282">
        <f>BX118*'Unit Costs and Indicators'!$L$9</f>
        <v>9.2291544488615962</v>
      </c>
      <c r="BY119" s="282">
        <f>BY118*'Unit Costs and Indicators'!$L$9</f>
        <v>9.2291544488615962</v>
      </c>
      <c r="BZ119" s="282">
        <f>BZ118*'Unit Costs and Indicators'!$L$9</f>
        <v>9.2291544488615962</v>
      </c>
      <c r="CA119" s="282">
        <f>CA118*'Unit Costs and Indicators'!$L$9</f>
        <v>9.2291544488615962</v>
      </c>
      <c r="CB119" s="282">
        <f>CB118*'Unit Costs and Indicators'!$L$9</f>
        <v>9.2291544488615962</v>
      </c>
      <c r="CC119" s="282">
        <f>CC118*'Unit Costs and Indicators'!$L$9</f>
        <v>9.2291544488615962</v>
      </c>
      <c r="CD119" s="282">
        <f>CD118*'Unit Costs and Indicators'!$L$9</f>
        <v>9.2291544488615962</v>
      </c>
      <c r="CE119" s="282">
        <f>CE118*'Unit Costs and Indicators'!$L$9</f>
        <v>9.2291544488615962</v>
      </c>
      <c r="CF119" s="282">
        <f>CF118*'Unit Costs and Indicators'!$L$9</f>
        <v>9.2291544488615962</v>
      </c>
      <c r="CG119" s="282">
        <f>CG118*'Unit Costs and Indicators'!$L$9</f>
        <v>9.2291544488615962</v>
      </c>
      <c r="CH119" s="282">
        <f>CH118*'Unit Costs and Indicators'!$L$9</f>
        <v>9.2291544488615962</v>
      </c>
      <c r="CI119" s="282">
        <f>CI118*'Unit Costs and Indicators'!$L$9</f>
        <v>9.2291544488615962</v>
      </c>
      <c r="CJ119" s="282">
        <f>CJ118*'Unit Costs and Indicators'!$L$9</f>
        <v>9.2291544488615962</v>
      </c>
      <c r="CK119" s="282">
        <f>CK118*'Unit Costs and Indicators'!$L$9</f>
        <v>9.2291544488615962</v>
      </c>
      <c r="CL119" s="282">
        <f>CL118*'Unit Costs and Indicators'!$L$9</f>
        <v>9.2291544488615962</v>
      </c>
      <c r="CM119" s="282">
        <f>CM118*'Unit Costs and Indicators'!$L$9</f>
        <v>9.2291544488615962</v>
      </c>
      <c r="CN119" s="282">
        <f>CN118*'Unit Costs and Indicators'!$L$9</f>
        <v>9.2291544488615962</v>
      </c>
      <c r="CO119" s="282">
        <f>CO118*'Unit Costs and Indicators'!$L$9</f>
        <v>9.2291544488615962</v>
      </c>
      <c r="CP119" s="282">
        <f>CP118*'Unit Costs and Indicators'!$L$9</f>
        <v>9.2291544488615962</v>
      </c>
      <c r="CQ119" s="282">
        <f>CQ118*'Unit Costs and Indicators'!$L$9</f>
        <v>9.2291544488615962</v>
      </c>
      <c r="CR119" s="282">
        <f>CR118*'Unit Costs and Indicators'!$L$9</f>
        <v>9.2291544488615962</v>
      </c>
      <c r="CS119" s="282">
        <f>CS118*'Unit Costs and Indicators'!$L$9</f>
        <v>9.2291544488615962</v>
      </c>
      <c r="CT119" s="282">
        <f>CT118*'Unit Costs and Indicators'!$L$9</f>
        <v>9.2291544488615962</v>
      </c>
      <c r="CU119" s="282">
        <f>CU118*'Unit Costs and Indicators'!$L$9</f>
        <v>9.2291544488615962</v>
      </c>
      <c r="CV119" s="282">
        <f>CV118*'Unit Costs and Indicators'!$L$9</f>
        <v>9.2291544488615962</v>
      </c>
      <c r="CW119" s="282">
        <f>CW118*'Unit Costs and Indicators'!$L$9</f>
        <v>9.2291544488615962</v>
      </c>
      <c r="CX119" s="282">
        <f>CX118*'Unit Costs and Indicators'!$L$9</f>
        <v>9.2291544488615962</v>
      </c>
      <c r="CY119" s="282">
        <f>CY118*'Unit Costs and Indicators'!$L$9</f>
        <v>9.2291544488615962</v>
      </c>
      <c r="CZ119" s="282">
        <f>CZ118*'Unit Costs and Indicators'!$L$9</f>
        <v>9.2291544488615962</v>
      </c>
      <c r="DA119" s="282">
        <f>DA118*'Unit Costs and Indicators'!$L$9</f>
        <v>9.2291544488615962</v>
      </c>
      <c r="DB119" s="282">
        <f>DB118*'Unit Costs and Indicators'!$L$9</f>
        <v>9.2291544488615962</v>
      </c>
      <c r="DC119" s="282">
        <f>DC118*'Unit Costs and Indicators'!$L$9</f>
        <v>9.2291544488615962</v>
      </c>
      <c r="DD119" s="282">
        <f>DD118*'Unit Costs and Indicators'!$L$9</f>
        <v>9.2291544488615962</v>
      </c>
      <c r="DE119" s="282">
        <f>DE118*'Unit Costs and Indicators'!$L$9</f>
        <v>9.2291544488615962</v>
      </c>
      <c r="DF119" s="282"/>
      <c r="DG119" s="282"/>
      <c r="DH119" s="282"/>
      <c r="DI119" s="282"/>
      <c r="DJ119" s="282"/>
      <c r="DK119" s="282"/>
      <c r="DL119" s="282"/>
      <c r="DM119" s="221"/>
      <c r="DN119" s="221"/>
      <c r="DO119" s="221"/>
      <c r="DP119" s="221"/>
      <c r="DQ119" s="221"/>
      <c r="DR119" s="221"/>
    </row>
    <row r="120" spans="1:122" ht="15.75" customHeight="1" outlineLevel="1" x14ac:dyDescent="0.25">
      <c r="A120" s="751"/>
      <c r="B120" s="751"/>
      <c r="C120" s="321" t="s">
        <v>370</v>
      </c>
      <c r="D120" s="339" t="s">
        <v>204</v>
      </c>
      <c r="E120" s="460" t="s">
        <v>371</v>
      </c>
      <c r="F120" s="322"/>
      <c r="G120" s="279">
        <v>22786</v>
      </c>
      <c r="H120" s="300">
        <f t="shared" ref="H120:DL120" si="116">($G$120*H119*14)/365</f>
        <v>4916.5547995018687</v>
      </c>
      <c r="I120" s="300">
        <f t="shared" si="116"/>
        <v>5014.8858954919069</v>
      </c>
      <c r="J120" s="300">
        <f t="shared" si="116"/>
        <v>5115.1836134017449</v>
      </c>
      <c r="K120" s="300">
        <f t="shared" si="116"/>
        <v>5217.4872856697812</v>
      </c>
      <c r="L120" s="300">
        <f t="shared" si="116"/>
        <v>5321.8370313831774</v>
      </c>
      <c r="M120" s="300">
        <f t="shared" si="116"/>
        <v>5428.2737720108407</v>
      </c>
      <c r="N120" s="300">
        <f t="shared" si="116"/>
        <v>5536.8392474510583</v>
      </c>
      <c r="O120" s="300">
        <f t="shared" si="116"/>
        <v>5647.5760324000785</v>
      </c>
      <c r="P120" s="300">
        <f t="shared" si="116"/>
        <v>5760.5275530480794</v>
      </c>
      <c r="Q120" s="300">
        <f t="shared" si="116"/>
        <v>5875.7381041090421</v>
      </c>
      <c r="R120" s="300">
        <f t="shared" si="116"/>
        <v>5993.2528661912229</v>
      </c>
      <c r="S120" s="300">
        <f t="shared" si="116"/>
        <v>6113.1179235150466</v>
      </c>
      <c r="T120" s="300">
        <f t="shared" si="116"/>
        <v>6235.3802819853481</v>
      </c>
      <c r="U120" s="300">
        <f t="shared" si="116"/>
        <v>6360.0878876250554</v>
      </c>
      <c r="V120" s="300">
        <f t="shared" si="116"/>
        <v>6487.2896453775566</v>
      </c>
      <c r="W120" s="300">
        <f t="shared" si="116"/>
        <v>6617.0354382851083</v>
      </c>
      <c r="X120" s="300">
        <f t="shared" si="116"/>
        <v>6749.3761470508098</v>
      </c>
      <c r="Y120" s="300">
        <f t="shared" si="116"/>
        <v>6884.3636699918279</v>
      </c>
      <c r="Z120" s="300">
        <f t="shared" si="116"/>
        <v>7022.0509433916632</v>
      </c>
      <c r="AA120" s="300">
        <f t="shared" si="116"/>
        <v>7162.4919622594962</v>
      </c>
      <c r="AB120" s="300">
        <f t="shared" si="116"/>
        <v>7305.7418015046887</v>
      </c>
      <c r="AC120" s="300">
        <f t="shared" si="116"/>
        <v>7451.8566375347827</v>
      </c>
      <c r="AD120" s="300">
        <f t="shared" si="116"/>
        <v>7600.8937702854764</v>
      </c>
      <c r="AE120" s="300">
        <f t="shared" si="116"/>
        <v>7752.9116456911861</v>
      </c>
      <c r="AF120" s="300">
        <f t="shared" si="116"/>
        <v>7907.9698786050085</v>
      </c>
      <c r="AG120" s="300">
        <f t="shared" si="116"/>
        <v>8066.1292761771083</v>
      </c>
      <c r="AH120" s="300">
        <f t="shared" si="116"/>
        <v>8066.1292761771083</v>
      </c>
      <c r="AI120" s="300">
        <f t="shared" si="116"/>
        <v>8066.1292761771083</v>
      </c>
      <c r="AJ120" s="300">
        <f t="shared" si="116"/>
        <v>8066.1292761771083</v>
      </c>
      <c r="AK120" s="300">
        <f t="shared" si="116"/>
        <v>8066.1292761771083</v>
      </c>
      <c r="AL120" s="300">
        <f t="shared" si="116"/>
        <v>8066.1292761771083</v>
      </c>
      <c r="AM120" s="300">
        <f t="shared" si="116"/>
        <v>8066.1292761771083</v>
      </c>
      <c r="AN120" s="300">
        <f t="shared" si="116"/>
        <v>8066.1292761771083</v>
      </c>
      <c r="AO120" s="300">
        <f t="shared" si="116"/>
        <v>8066.1292761771083</v>
      </c>
      <c r="AP120" s="300">
        <f t="shared" si="116"/>
        <v>8066.1292761771083</v>
      </c>
      <c r="AQ120" s="300">
        <f t="shared" si="116"/>
        <v>8066.1292761771083</v>
      </c>
      <c r="AR120" s="300">
        <f t="shared" si="116"/>
        <v>8066.1292761771083</v>
      </c>
      <c r="AS120" s="300">
        <f t="shared" si="116"/>
        <v>8066.1292761771083</v>
      </c>
      <c r="AT120" s="300">
        <f t="shared" si="116"/>
        <v>8066.1292761771083</v>
      </c>
      <c r="AU120" s="300">
        <f t="shared" si="116"/>
        <v>8066.1292761771083</v>
      </c>
      <c r="AV120" s="300">
        <f t="shared" si="116"/>
        <v>8066.1292761771083</v>
      </c>
      <c r="AW120" s="300">
        <f t="shared" si="116"/>
        <v>8066.1292761771083</v>
      </c>
      <c r="AX120" s="300">
        <f t="shared" si="116"/>
        <v>8066.1292761771083</v>
      </c>
      <c r="AY120" s="300">
        <f t="shared" si="116"/>
        <v>8066.1292761771083</v>
      </c>
      <c r="AZ120" s="300">
        <f t="shared" si="116"/>
        <v>8066.1292761771083</v>
      </c>
      <c r="BA120" s="300">
        <f t="shared" si="116"/>
        <v>8066.1292761771083</v>
      </c>
      <c r="BB120" s="300">
        <f t="shared" si="116"/>
        <v>8066.1292761771083</v>
      </c>
      <c r="BC120" s="300">
        <f t="shared" si="116"/>
        <v>8066.1292761771083</v>
      </c>
      <c r="BD120" s="300">
        <f t="shared" si="116"/>
        <v>8066.1292761771083</v>
      </c>
      <c r="BE120" s="300">
        <f t="shared" si="116"/>
        <v>8066.1292761771083</v>
      </c>
      <c r="BF120" s="300">
        <f t="shared" si="116"/>
        <v>8066.1292761771083</v>
      </c>
      <c r="BG120" s="300">
        <f t="shared" si="116"/>
        <v>8066.1292761771083</v>
      </c>
      <c r="BH120" s="300">
        <f t="shared" si="116"/>
        <v>8066.1292761771083</v>
      </c>
      <c r="BI120" s="300">
        <f t="shared" si="116"/>
        <v>8066.1292761771083</v>
      </c>
      <c r="BJ120" s="300">
        <f t="shared" si="116"/>
        <v>8066.1292761771083</v>
      </c>
      <c r="BK120" s="300">
        <f t="shared" si="116"/>
        <v>8066.1292761771083</v>
      </c>
      <c r="BL120" s="300">
        <f t="shared" si="116"/>
        <v>8066.1292761771083</v>
      </c>
      <c r="BM120" s="300">
        <f t="shared" si="116"/>
        <v>8066.1292761771083</v>
      </c>
      <c r="BN120" s="300">
        <f t="shared" si="116"/>
        <v>8066.1292761771083</v>
      </c>
      <c r="BO120" s="300">
        <f t="shared" si="116"/>
        <v>8066.1292761771083</v>
      </c>
      <c r="BP120" s="300">
        <f t="shared" si="116"/>
        <v>8066.1292761771083</v>
      </c>
      <c r="BQ120" s="300">
        <f t="shared" si="116"/>
        <v>8066.1292761771083</v>
      </c>
      <c r="BR120" s="300">
        <f t="shared" si="116"/>
        <v>8066.1292761771083</v>
      </c>
      <c r="BS120" s="300">
        <f t="shared" si="116"/>
        <v>8066.1292761771083</v>
      </c>
      <c r="BT120" s="300">
        <f t="shared" si="116"/>
        <v>8066.1292761771083</v>
      </c>
      <c r="BU120" s="300">
        <f t="shared" si="116"/>
        <v>8066.1292761771083</v>
      </c>
      <c r="BV120" s="300">
        <f t="shared" si="116"/>
        <v>8066.1292761771083</v>
      </c>
      <c r="BW120" s="300">
        <f t="shared" si="116"/>
        <v>8066.1292761771083</v>
      </c>
      <c r="BX120" s="300">
        <f t="shared" si="116"/>
        <v>8066.1292761771083</v>
      </c>
      <c r="BY120" s="300">
        <f t="shared" si="116"/>
        <v>8066.1292761771083</v>
      </c>
      <c r="BZ120" s="300">
        <f t="shared" si="116"/>
        <v>8066.1292761771083</v>
      </c>
      <c r="CA120" s="300">
        <f t="shared" si="116"/>
        <v>8066.1292761771083</v>
      </c>
      <c r="CB120" s="300">
        <f t="shared" si="116"/>
        <v>8066.1292761771083</v>
      </c>
      <c r="CC120" s="300">
        <f t="shared" si="116"/>
        <v>8066.1292761771083</v>
      </c>
      <c r="CD120" s="300">
        <f t="shared" si="116"/>
        <v>8066.1292761771083</v>
      </c>
      <c r="CE120" s="300">
        <f t="shared" si="116"/>
        <v>8066.1292761771083</v>
      </c>
      <c r="CF120" s="300">
        <f t="shared" si="116"/>
        <v>8066.1292761771083</v>
      </c>
      <c r="CG120" s="300">
        <f t="shared" si="116"/>
        <v>8066.1292761771083</v>
      </c>
      <c r="CH120" s="300">
        <f t="shared" si="116"/>
        <v>8066.1292761771083</v>
      </c>
      <c r="CI120" s="300">
        <f t="shared" si="116"/>
        <v>8066.1292761771083</v>
      </c>
      <c r="CJ120" s="300">
        <f t="shared" si="116"/>
        <v>8066.1292761771083</v>
      </c>
      <c r="CK120" s="300">
        <f t="shared" si="116"/>
        <v>8066.1292761771083</v>
      </c>
      <c r="CL120" s="300">
        <f t="shared" si="116"/>
        <v>8066.1292761771083</v>
      </c>
      <c r="CM120" s="300">
        <f t="shared" si="116"/>
        <v>8066.1292761771083</v>
      </c>
      <c r="CN120" s="300">
        <f t="shared" si="116"/>
        <v>8066.1292761771083</v>
      </c>
      <c r="CO120" s="300">
        <f t="shared" si="116"/>
        <v>8066.1292761771083</v>
      </c>
      <c r="CP120" s="300">
        <f t="shared" si="116"/>
        <v>8066.1292761771083</v>
      </c>
      <c r="CQ120" s="300">
        <f t="shared" si="116"/>
        <v>8066.1292761771083</v>
      </c>
      <c r="CR120" s="300">
        <f t="shared" si="116"/>
        <v>8066.1292761771083</v>
      </c>
      <c r="CS120" s="300">
        <f t="shared" si="116"/>
        <v>8066.1292761771083</v>
      </c>
      <c r="CT120" s="300">
        <f t="shared" si="116"/>
        <v>8066.1292761771083</v>
      </c>
      <c r="CU120" s="300">
        <f t="shared" si="116"/>
        <v>8066.1292761771083</v>
      </c>
      <c r="CV120" s="300">
        <f t="shared" si="116"/>
        <v>8066.1292761771083</v>
      </c>
      <c r="CW120" s="300">
        <f t="shared" si="116"/>
        <v>8066.1292761771083</v>
      </c>
      <c r="CX120" s="300">
        <f t="shared" si="116"/>
        <v>8066.1292761771083</v>
      </c>
      <c r="CY120" s="300">
        <f t="shared" si="116"/>
        <v>8066.1292761771083</v>
      </c>
      <c r="CZ120" s="300">
        <f t="shared" si="116"/>
        <v>8066.1292761771083</v>
      </c>
      <c r="DA120" s="300">
        <f t="shared" si="116"/>
        <v>8066.1292761771083</v>
      </c>
      <c r="DB120" s="300">
        <f t="shared" si="116"/>
        <v>8066.1292761771083</v>
      </c>
      <c r="DC120" s="300">
        <f t="shared" si="116"/>
        <v>8066.1292761771083</v>
      </c>
      <c r="DD120" s="300">
        <f t="shared" si="116"/>
        <v>8066.1292761771083</v>
      </c>
      <c r="DE120" s="300">
        <f t="shared" si="116"/>
        <v>8066.1292761771083</v>
      </c>
      <c r="DF120" s="300">
        <f t="shared" si="116"/>
        <v>0</v>
      </c>
      <c r="DG120" s="300">
        <f t="shared" si="116"/>
        <v>0</v>
      </c>
      <c r="DH120" s="300">
        <f t="shared" si="116"/>
        <v>0</v>
      </c>
      <c r="DI120" s="300">
        <f t="shared" si="116"/>
        <v>0</v>
      </c>
      <c r="DJ120" s="300">
        <f t="shared" si="116"/>
        <v>0</v>
      </c>
      <c r="DK120" s="300">
        <f t="shared" si="116"/>
        <v>0</v>
      </c>
      <c r="DL120" s="300">
        <f t="shared" si="116"/>
        <v>0</v>
      </c>
      <c r="DM120" s="221"/>
      <c r="DN120" s="221"/>
      <c r="DO120" s="221"/>
      <c r="DP120" s="221"/>
      <c r="DQ120" s="221"/>
      <c r="DR120" s="221"/>
    </row>
    <row r="121" spans="1:122" ht="15.75" customHeight="1" outlineLevel="1" x14ac:dyDescent="0.25">
      <c r="A121" s="752" t="s">
        <v>372</v>
      </c>
      <c r="B121" s="756"/>
      <c r="C121" s="757"/>
      <c r="D121" s="314" t="s">
        <v>247</v>
      </c>
      <c r="E121" s="315"/>
      <c r="F121" s="316" t="s">
        <v>14</v>
      </c>
      <c r="G121" s="317">
        <f t="shared" ref="G121" si="117">NPV($D$6, J121:DE121)+I121</f>
        <v>174965.2981024847</v>
      </c>
      <c r="H121" s="318">
        <f t="shared" ref="H121:DE121" si="118">H120</f>
        <v>4916.5547995018687</v>
      </c>
      <c r="I121" s="318">
        <f t="shared" si="118"/>
        <v>5014.8858954919069</v>
      </c>
      <c r="J121" s="318">
        <f t="shared" si="118"/>
        <v>5115.1836134017449</v>
      </c>
      <c r="K121" s="318">
        <f t="shared" si="118"/>
        <v>5217.4872856697812</v>
      </c>
      <c r="L121" s="318">
        <f t="shared" si="118"/>
        <v>5321.8370313831774</v>
      </c>
      <c r="M121" s="318">
        <f t="shared" si="118"/>
        <v>5428.2737720108407</v>
      </c>
      <c r="N121" s="318">
        <f t="shared" si="118"/>
        <v>5536.8392474510583</v>
      </c>
      <c r="O121" s="318">
        <f t="shared" si="118"/>
        <v>5647.5760324000785</v>
      </c>
      <c r="P121" s="318">
        <f t="shared" si="118"/>
        <v>5760.5275530480794</v>
      </c>
      <c r="Q121" s="318">
        <f t="shared" si="118"/>
        <v>5875.7381041090421</v>
      </c>
      <c r="R121" s="318">
        <f t="shared" si="118"/>
        <v>5993.2528661912229</v>
      </c>
      <c r="S121" s="318">
        <f t="shared" si="118"/>
        <v>6113.1179235150466</v>
      </c>
      <c r="T121" s="318">
        <f t="shared" si="118"/>
        <v>6235.3802819853481</v>
      </c>
      <c r="U121" s="318">
        <f t="shared" si="118"/>
        <v>6360.0878876250554</v>
      </c>
      <c r="V121" s="318">
        <f t="shared" si="118"/>
        <v>6487.2896453775566</v>
      </c>
      <c r="W121" s="318">
        <f t="shared" si="118"/>
        <v>6617.0354382851083</v>
      </c>
      <c r="X121" s="318">
        <f t="shared" si="118"/>
        <v>6749.3761470508098</v>
      </c>
      <c r="Y121" s="318">
        <f t="shared" si="118"/>
        <v>6884.3636699918279</v>
      </c>
      <c r="Z121" s="318">
        <f t="shared" si="118"/>
        <v>7022.0509433916632</v>
      </c>
      <c r="AA121" s="318">
        <f t="shared" si="118"/>
        <v>7162.4919622594962</v>
      </c>
      <c r="AB121" s="318">
        <f t="shared" si="118"/>
        <v>7305.7418015046887</v>
      </c>
      <c r="AC121" s="318">
        <f t="shared" si="118"/>
        <v>7451.8566375347827</v>
      </c>
      <c r="AD121" s="318">
        <f t="shared" si="118"/>
        <v>7600.8937702854764</v>
      </c>
      <c r="AE121" s="318">
        <f t="shared" si="118"/>
        <v>7752.9116456911861</v>
      </c>
      <c r="AF121" s="318">
        <f t="shared" si="118"/>
        <v>7907.9698786050085</v>
      </c>
      <c r="AG121" s="318">
        <f t="shared" si="118"/>
        <v>8066.1292761771083</v>
      </c>
      <c r="AH121" s="318">
        <f t="shared" si="118"/>
        <v>8066.1292761771083</v>
      </c>
      <c r="AI121" s="318">
        <f t="shared" si="118"/>
        <v>8066.1292761771083</v>
      </c>
      <c r="AJ121" s="318">
        <f t="shared" si="118"/>
        <v>8066.1292761771083</v>
      </c>
      <c r="AK121" s="318">
        <f t="shared" si="118"/>
        <v>8066.1292761771083</v>
      </c>
      <c r="AL121" s="318">
        <f t="shared" si="118"/>
        <v>8066.1292761771083</v>
      </c>
      <c r="AM121" s="318">
        <f t="shared" si="118"/>
        <v>8066.1292761771083</v>
      </c>
      <c r="AN121" s="318">
        <f t="shared" si="118"/>
        <v>8066.1292761771083</v>
      </c>
      <c r="AO121" s="318">
        <f t="shared" si="118"/>
        <v>8066.1292761771083</v>
      </c>
      <c r="AP121" s="318">
        <f t="shared" si="118"/>
        <v>8066.1292761771083</v>
      </c>
      <c r="AQ121" s="318">
        <f t="shared" si="118"/>
        <v>8066.1292761771083</v>
      </c>
      <c r="AR121" s="318">
        <f t="shared" si="118"/>
        <v>8066.1292761771083</v>
      </c>
      <c r="AS121" s="318">
        <f t="shared" si="118"/>
        <v>8066.1292761771083</v>
      </c>
      <c r="AT121" s="318">
        <f t="shared" si="118"/>
        <v>8066.1292761771083</v>
      </c>
      <c r="AU121" s="318">
        <f t="shared" si="118"/>
        <v>8066.1292761771083</v>
      </c>
      <c r="AV121" s="318">
        <f t="shared" si="118"/>
        <v>8066.1292761771083</v>
      </c>
      <c r="AW121" s="318">
        <f t="shared" si="118"/>
        <v>8066.1292761771083</v>
      </c>
      <c r="AX121" s="318">
        <f t="shared" si="118"/>
        <v>8066.1292761771083</v>
      </c>
      <c r="AY121" s="318">
        <f t="shared" si="118"/>
        <v>8066.1292761771083</v>
      </c>
      <c r="AZ121" s="318">
        <f t="shared" si="118"/>
        <v>8066.1292761771083</v>
      </c>
      <c r="BA121" s="318">
        <f t="shared" si="118"/>
        <v>8066.1292761771083</v>
      </c>
      <c r="BB121" s="318">
        <f t="shared" si="118"/>
        <v>8066.1292761771083</v>
      </c>
      <c r="BC121" s="318">
        <f t="shared" si="118"/>
        <v>8066.1292761771083</v>
      </c>
      <c r="BD121" s="318">
        <f t="shared" si="118"/>
        <v>8066.1292761771083</v>
      </c>
      <c r="BE121" s="318">
        <f t="shared" si="118"/>
        <v>8066.1292761771083</v>
      </c>
      <c r="BF121" s="318">
        <f t="shared" si="118"/>
        <v>8066.1292761771083</v>
      </c>
      <c r="BG121" s="318">
        <f t="shared" si="118"/>
        <v>8066.1292761771083</v>
      </c>
      <c r="BH121" s="318">
        <f t="shared" si="118"/>
        <v>8066.1292761771083</v>
      </c>
      <c r="BI121" s="318">
        <f t="shared" si="118"/>
        <v>8066.1292761771083</v>
      </c>
      <c r="BJ121" s="318">
        <f t="shared" si="118"/>
        <v>8066.1292761771083</v>
      </c>
      <c r="BK121" s="318">
        <f t="shared" si="118"/>
        <v>8066.1292761771083</v>
      </c>
      <c r="BL121" s="318">
        <f t="shared" si="118"/>
        <v>8066.1292761771083</v>
      </c>
      <c r="BM121" s="318">
        <f t="shared" si="118"/>
        <v>8066.1292761771083</v>
      </c>
      <c r="BN121" s="318">
        <f t="shared" si="118"/>
        <v>8066.1292761771083</v>
      </c>
      <c r="BO121" s="318">
        <f t="shared" si="118"/>
        <v>8066.1292761771083</v>
      </c>
      <c r="BP121" s="318">
        <f t="shared" si="118"/>
        <v>8066.1292761771083</v>
      </c>
      <c r="BQ121" s="318">
        <f t="shared" si="118"/>
        <v>8066.1292761771083</v>
      </c>
      <c r="BR121" s="318">
        <f t="shared" si="118"/>
        <v>8066.1292761771083</v>
      </c>
      <c r="BS121" s="318">
        <f t="shared" si="118"/>
        <v>8066.1292761771083</v>
      </c>
      <c r="BT121" s="318">
        <f t="shared" si="118"/>
        <v>8066.1292761771083</v>
      </c>
      <c r="BU121" s="318">
        <f t="shared" si="118"/>
        <v>8066.1292761771083</v>
      </c>
      <c r="BV121" s="318">
        <f t="shared" si="118"/>
        <v>8066.1292761771083</v>
      </c>
      <c r="BW121" s="318">
        <f t="shared" si="118"/>
        <v>8066.1292761771083</v>
      </c>
      <c r="BX121" s="318">
        <f t="shared" si="118"/>
        <v>8066.1292761771083</v>
      </c>
      <c r="BY121" s="318">
        <f t="shared" si="118"/>
        <v>8066.1292761771083</v>
      </c>
      <c r="BZ121" s="318">
        <f t="shared" si="118"/>
        <v>8066.1292761771083</v>
      </c>
      <c r="CA121" s="318">
        <f t="shared" si="118"/>
        <v>8066.1292761771083</v>
      </c>
      <c r="CB121" s="318">
        <f t="shared" si="118"/>
        <v>8066.1292761771083</v>
      </c>
      <c r="CC121" s="318">
        <f t="shared" si="118"/>
        <v>8066.1292761771083</v>
      </c>
      <c r="CD121" s="318">
        <f t="shared" si="118"/>
        <v>8066.1292761771083</v>
      </c>
      <c r="CE121" s="318">
        <f t="shared" si="118"/>
        <v>8066.1292761771083</v>
      </c>
      <c r="CF121" s="318">
        <f t="shared" si="118"/>
        <v>8066.1292761771083</v>
      </c>
      <c r="CG121" s="318">
        <f t="shared" si="118"/>
        <v>8066.1292761771083</v>
      </c>
      <c r="CH121" s="318">
        <f t="shared" si="118"/>
        <v>8066.1292761771083</v>
      </c>
      <c r="CI121" s="318">
        <f t="shared" si="118"/>
        <v>8066.1292761771083</v>
      </c>
      <c r="CJ121" s="318">
        <f t="shared" si="118"/>
        <v>8066.1292761771083</v>
      </c>
      <c r="CK121" s="318">
        <f t="shared" si="118"/>
        <v>8066.1292761771083</v>
      </c>
      <c r="CL121" s="318">
        <f t="shared" si="118"/>
        <v>8066.1292761771083</v>
      </c>
      <c r="CM121" s="318">
        <f t="shared" si="118"/>
        <v>8066.1292761771083</v>
      </c>
      <c r="CN121" s="318">
        <f t="shared" si="118"/>
        <v>8066.1292761771083</v>
      </c>
      <c r="CO121" s="318">
        <f t="shared" si="118"/>
        <v>8066.1292761771083</v>
      </c>
      <c r="CP121" s="318">
        <f t="shared" si="118"/>
        <v>8066.1292761771083</v>
      </c>
      <c r="CQ121" s="318">
        <f t="shared" si="118"/>
        <v>8066.1292761771083</v>
      </c>
      <c r="CR121" s="318">
        <f t="shared" si="118"/>
        <v>8066.1292761771083</v>
      </c>
      <c r="CS121" s="318">
        <f t="shared" si="118"/>
        <v>8066.1292761771083</v>
      </c>
      <c r="CT121" s="318">
        <f t="shared" si="118"/>
        <v>8066.1292761771083</v>
      </c>
      <c r="CU121" s="318">
        <f t="shared" si="118"/>
        <v>8066.1292761771083</v>
      </c>
      <c r="CV121" s="318">
        <f t="shared" si="118"/>
        <v>8066.1292761771083</v>
      </c>
      <c r="CW121" s="318">
        <f t="shared" si="118"/>
        <v>8066.1292761771083</v>
      </c>
      <c r="CX121" s="318">
        <f t="shared" si="118"/>
        <v>8066.1292761771083</v>
      </c>
      <c r="CY121" s="318">
        <f t="shared" si="118"/>
        <v>8066.1292761771083</v>
      </c>
      <c r="CZ121" s="318">
        <f t="shared" si="118"/>
        <v>8066.1292761771083</v>
      </c>
      <c r="DA121" s="318">
        <f t="shared" si="118"/>
        <v>8066.1292761771083</v>
      </c>
      <c r="DB121" s="318">
        <f t="shared" si="118"/>
        <v>8066.1292761771083</v>
      </c>
      <c r="DC121" s="318">
        <f t="shared" si="118"/>
        <v>8066.1292761771083</v>
      </c>
      <c r="DD121" s="318">
        <f t="shared" si="118"/>
        <v>8066.1292761771083</v>
      </c>
      <c r="DE121" s="318">
        <f t="shared" si="118"/>
        <v>8066.1292761771083</v>
      </c>
      <c r="DF121" s="413"/>
      <c r="DG121" s="413"/>
      <c r="DH121" s="413"/>
      <c r="DI121" s="413"/>
      <c r="DJ121" s="413"/>
      <c r="DK121" s="413"/>
      <c r="DL121" s="413"/>
      <c r="DM121" s="221"/>
      <c r="DN121" s="221"/>
      <c r="DO121" s="221"/>
      <c r="DP121" s="221"/>
      <c r="DQ121" s="221"/>
      <c r="DR121" s="221"/>
    </row>
    <row r="122" spans="1:122" ht="15.75" customHeight="1" outlineLevel="1" x14ac:dyDescent="0.25">
      <c r="A122" s="763" t="s">
        <v>48</v>
      </c>
      <c r="B122" s="764" t="s">
        <v>79</v>
      </c>
      <c r="C122" s="321" t="s">
        <v>248</v>
      </c>
      <c r="D122" s="322"/>
      <c r="E122" s="323" t="s">
        <v>249</v>
      </c>
      <c r="F122" s="279"/>
      <c r="G122" s="279" t="s">
        <v>250</v>
      </c>
      <c r="H122" s="281">
        <v>2651.5151515151515</v>
      </c>
      <c r="I122" s="284">
        <f>H122*(1+'Unit Costs and Indicators'!$D$145%)</f>
        <v>2651.5151515151515</v>
      </c>
      <c r="J122" s="284">
        <f>I122*(1+'Unit Costs and Indicators'!$D$145%)</f>
        <v>2651.5151515151515</v>
      </c>
      <c r="K122" s="284">
        <f>J122*(1+'Unit Costs and Indicators'!$D$145%)</f>
        <v>2651.5151515151515</v>
      </c>
      <c r="L122" s="284">
        <f>K122*(1+'Unit Costs and Indicators'!$D$145%)</f>
        <v>2651.5151515151515</v>
      </c>
      <c r="M122" s="284">
        <f>L122*(1+'Unit Costs and Indicators'!$D$145%)</f>
        <v>2651.5151515151515</v>
      </c>
      <c r="N122" s="284">
        <f>M122*(1+'Unit Costs and Indicators'!$D$145%)</f>
        <v>2651.5151515151515</v>
      </c>
      <c r="O122" s="284">
        <f>N122*(1+'Unit Costs and Indicators'!$D$145%)</f>
        <v>2651.5151515151515</v>
      </c>
      <c r="P122" s="284">
        <f>O122*(1+'Unit Costs and Indicators'!$D$145%)</f>
        <v>2651.5151515151515</v>
      </c>
      <c r="Q122" s="284">
        <f>P122*(1+'Unit Costs and Indicators'!$D$145%)</f>
        <v>2651.5151515151515</v>
      </c>
      <c r="R122" s="284">
        <f>Q122*(1+'Unit Costs and Indicators'!$D$145%)</f>
        <v>2651.5151515151515</v>
      </c>
      <c r="S122" s="284">
        <f>R122*(1+'Unit Costs and Indicators'!$D$145%)</f>
        <v>2651.5151515151515</v>
      </c>
      <c r="T122" s="284">
        <f>S122*(1+'Unit Costs and Indicators'!$D$145%)</f>
        <v>2651.5151515151515</v>
      </c>
      <c r="U122" s="284">
        <f>T122*(1+'Unit Costs and Indicators'!$D$145%)</f>
        <v>2651.5151515151515</v>
      </c>
      <c r="V122" s="284">
        <f>U122*(1+'Unit Costs and Indicators'!$D$145%)</f>
        <v>2651.5151515151515</v>
      </c>
      <c r="W122" s="284">
        <f>V122*(1+'Unit Costs and Indicators'!$D$145%)</f>
        <v>2651.5151515151515</v>
      </c>
      <c r="X122" s="284">
        <f>W122*(1+'Unit Costs and Indicators'!$D$145%)</f>
        <v>2651.5151515151515</v>
      </c>
      <c r="Y122" s="284">
        <f>X122*(1+'Unit Costs and Indicators'!$D$145%)</f>
        <v>2651.5151515151515</v>
      </c>
      <c r="Z122" s="284">
        <f>Y122*(1+'Unit Costs and Indicators'!$D$145%)</f>
        <v>2651.5151515151515</v>
      </c>
      <c r="AA122" s="284">
        <f>Z122*(1+'Unit Costs and Indicators'!$D$145%)</f>
        <v>2651.5151515151515</v>
      </c>
      <c r="AB122" s="284">
        <f>AA122*(1+'Unit Costs and Indicators'!$D$145%)</f>
        <v>2651.5151515151515</v>
      </c>
      <c r="AC122" s="284">
        <f>AB122*(1+'Unit Costs and Indicators'!$D$145%)</f>
        <v>2651.5151515151515</v>
      </c>
      <c r="AD122" s="284">
        <f>AC122*(1+'Unit Costs and Indicators'!$D$145%)</f>
        <v>2651.5151515151515</v>
      </c>
      <c r="AE122" s="284">
        <f>AD122*(1+'Unit Costs and Indicators'!$D$145%)</f>
        <v>2651.5151515151515</v>
      </c>
      <c r="AF122" s="284">
        <f>AE122*(1+'Unit Costs and Indicators'!$D$145%)</f>
        <v>2651.5151515151515</v>
      </c>
      <c r="AG122" s="284">
        <f>AF122*(1+'Unit Costs and Indicators'!$D$145%)</f>
        <v>2651.5151515151515</v>
      </c>
      <c r="AH122" s="284">
        <f>AG122*(1+'Unit Costs and Indicators'!$D$145%)</f>
        <v>2651.5151515151515</v>
      </c>
      <c r="AI122" s="284">
        <f>AH122*(1+'Unit Costs and Indicators'!$D$145%)</f>
        <v>2651.5151515151515</v>
      </c>
      <c r="AJ122" s="284">
        <f>AI122*(1+'Unit Costs and Indicators'!$D$145%)</f>
        <v>2651.5151515151515</v>
      </c>
      <c r="AK122" s="284">
        <f>AJ122*(1+'Unit Costs and Indicators'!$D$145%)</f>
        <v>2651.5151515151515</v>
      </c>
      <c r="AL122" s="284">
        <f>AK122*(1+'Unit Costs and Indicators'!$D$145%)</f>
        <v>2651.5151515151515</v>
      </c>
      <c r="AM122" s="284">
        <f>AL122*(1+'Unit Costs and Indicators'!$D$145%)</f>
        <v>2651.5151515151515</v>
      </c>
      <c r="AN122" s="284">
        <f>AM122*(1+'Unit Costs and Indicators'!$D$145%)</f>
        <v>2651.5151515151515</v>
      </c>
      <c r="AO122" s="284">
        <f>AN122*(1+'Unit Costs and Indicators'!$D$145%)</f>
        <v>2651.5151515151515</v>
      </c>
      <c r="AP122" s="284">
        <f>AO122*(1+'Unit Costs and Indicators'!$D$145%)</f>
        <v>2651.5151515151515</v>
      </c>
      <c r="AQ122" s="284">
        <f>AP122*(1+'Unit Costs and Indicators'!$D$145%)</f>
        <v>2651.5151515151515</v>
      </c>
      <c r="AR122" s="284">
        <f>AQ122*(1+'Unit Costs and Indicators'!$D$145%)</f>
        <v>2651.5151515151515</v>
      </c>
      <c r="AS122" s="284">
        <f>AR122*(1+'Unit Costs and Indicators'!$D$145%)</f>
        <v>2651.5151515151515</v>
      </c>
      <c r="AT122" s="284">
        <f>AS122*(1+'Unit Costs and Indicators'!$D$145%)</f>
        <v>2651.5151515151515</v>
      </c>
      <c r="AU122" s="284">
        <f>AT122*(1+'Unit Costs and Indicators'!$D$145%)</f>
        <v>2651.5151515151515</v>
      </c>
      <c r="AV122" s="284">
        <f>AU122*(1+'Unit Costs and Indicators'!$D$145%)</f>
        <v>2651.5151515151515</v>
      </c>
      <c r="AW122" s="284">
        <f>AV122*(1+'Unit Costs and Indicators'!$D$145%)</f>
        <v>2651.5151515151515</v>
      </c>
      <c r="AX122" s="284">
        <f>AW122*(1+'Unit Costs and Indicators'!$D$145%)</f>
        <v>2651.5151515151515</v>
      </c>
      <c r="AY122" s="284">
        <f>AX122*(1+'Unit Costs and Indicators'!$D$145%)</f>
        <v>2651.5151515151515</v>
      </c>
      <c r="AZ122" s="284">
        <f>AY122*(1+'Unit Costs and Indicators'!$D$145%)</f>
        <v>2651.5151515151515</v>
      </c>
      <c r="BA122" s="284">
        <f>AZ122*(1+'Unit Costs and Indicators'!$D$145%)</f>
        <v>2651.5151515151515</v>
      </c>
      <c r="BB122" s="284">
        <f>BA122*(1+'Unit Costs and Indicators'!$D$145%)</f>
        <v>2651.5151515151515</v>
      </c>
      <c r="BC122" s="284">
        <f>BB122*(1+'Unit Costs and Indicators'!$D$145%)</f>
        <v>2651.5151515151515</v>
      </c>
      <c r="BD122" s="284">
        <f>BC122*(1+'Unit Costs and Indicators'!$D$145%)</f>
        <v>2651.5151515151515</v>
      </c>
      <c r="BE122" s="284">
        <f>BD122*(1+'Unit Costs and Indicators'!$D$145%)</f>
        <v>2651.5151515151515</v>
      </c>
      <c r="BF122" s="284">
        <f>BE122*(1+'Unit Costs and Indicators'!$D$145%)</f>
        <v>2651.5151515151515</v>
      </c>
      <c r="BG122" s="284">
        <f>BF122*(1+'Unit Costs and Indicators'!$D$145%)</f>
        <v>2651.5151515151515</v>
      </c>
      <c r="BH122" s="284">
        <f>BG122*(1+'Unit Costs and Indicators'!$D$145%)</f>
        <v>2651.5151515151515</v>
      </c>
      <c r="BI122" s="284">
        <f>BH122*(1+'Unit Costs and Indicators'!$D$145%)</f>
        <v>2651.5151515151515</v>
      </c>
      <c r="BJ122" s="284">
        <f>BI122*(1+'Unit Costs and Indicators'!$D$145%)</f>
        <v>2651.5151515151515</v>
      </c>
      <c r="BK122" s="284">
        <f>BJ122*(1+'Unit Costs and Indicators'!$D$145%)</f>
        <v>2651.5151515151515</v>
      </c>
      <c r="BL122" s="284">
        <f>BK122*(1+'Unit Costs and Indicators'!$D$145%)</f>
        <v>2651.5151515151515</v>
      </c>
      <c r="BM122" s="284">
        <f>BL122*(1+'Unit Costs and Indicators'!$D$145%)</f>
        <v>2651.5151515151515</v>
      </c>
      <c r="BN122" s="284">
        <f>BM122*(1+'Unit Costs and Indicators'!$D$145%)</f>
        <v>2651.5151515151515</v>
      </c>
      <c r="BO122" s="284">
        <f>BN122*(1+'Unit Costs and Indicators'!$D$145%)</f>
        <v>2651.5151515151515</v>
      </c>
      <c r="BP122" s="284">
        <f>BO122*(1+'Unit Costs and Indicators'!$D$145%)</f>
        <v>2651.5151515151515</v>
      </c>
      <c r="BQ122" s="284">
        <f>BP122*(1+'Unit Costs and Indicators'!$D$145%)</f>
        <v>2651.5151515151515</v>
      </c>
      <c r="BR122" s="284">
        <f>BQ122*(1+'Unit Costs and Indicators'!$D$145%)</f>
        <v>2651.5151515151515</v>
      </c>
      <c r="BS122" s="284">
        <f>BR122*(1+'Unit Costs and Indicators'!$D$145%)</f>
        <v>2651.5151515151515</v>
      </c>
      <c r="BT122" s="284">
        <f>BS122*(1+'Unit Costs and Indicators'!$D$145%)</f>
        <v>2651.5151515151515</v>
      </c>
      <c r="BU122" s="284">
        <f>BT122*(1+'Unit Costs and Indicators'!$D$145%)</f>
        <v>2651.5151515151515</v>
      </c>
      <c r="BV122" s="284">
        <f>BU122*(1+'Unit Costs and Indicators'!$D$145%)</f>
        <v>2651.5151515151515</v>
      </c>
      <c r="BW122" s="284">
        <f>BV122*(1+'Unit Costs and Indicators'!$D$145%)</f>
        <v>2651.5151515151515</v>
      </c>
      <c r="BX122" s="284">
        <f>BW122*(1+'Unit Costs and Indicators'!$D$145%)</f>
        <v>2651.5151515151515</v>
      </c>
      <c r="BY122" s="284">
        <f>BX122*(1+'Unit Costs and Indicators'!$D$145%)</f>
        <v>2651.5151515151515</v>
      </c>
      <c r="BZ122" s="284">
        <f>BY122*(1+'Unit Costs and Indicators'!$D$145%)</f>
        <v>2651.5151515151515</v>
      </c>
      <c r="CA122" s="284">
        <f>BZ122*(1+'Unit Costs and Indicators'!$D$145%)</f>
        <v>2651.5151515151515</v>
      </c>
      <c r="CB122" s="284">
        <f>CA122*(1+'Unit Costs and Indicators'!$D$145%)</f>
        <v>2651.5151515151515</v>
      </c>
      <c r="CC122" s="284">
        <f>CB122*(1+'Unit Costs and Indicators'!$D$145%)</f>
        <v>2651.5151515151515</v>
      </c>
      <c r="CD122" s="284">
        <f>CC122*(1+'Unit Costs and Indicators'!$D$145%)</f>
        <v>2651.5151515151515</v>
      </c>
      <c r="CE122" s="284">
        <f>CD122*(1+'Unit Costs and Indicators'!$D$145%)</f>
        <v>2651.5151515151515</v>
      </c>
      <c r="CF122" s="284">
        <f>CE122*(1+'Unit Costs and Indicators'!$D$145%)</f>
        <v>2651.5151515151515</v>
      </c>
      <c r="CG122" s="284">
        <f>CF122*(1+'Unit Costs and Indicators'!$D$145%)</f>
        <v>2651.5151515151515</v>
      </c>
      <c r="CH122" s="284">
        <f>CG122*(1+'Unit Costs and Indicators'!$D$145%)</f>
        <v>2651.5151515151515</v>
      </c>
      <c r="CI122" s="284">
        <f>CH122*(1+'Unit Costs and Indicators'!$D$145%)</f>
        <v>2651.5151515151515</v>
      </c>
      <c r="CJ122" s="284">
        <f>CI122*(1+'Unit Costs and Indicators'!$D$145%)</f>
        <v>2651.5151515151515</v>
      </c>
      <c r="CK122" s="284">
        <f>CJ122*(1+'Unit Costs and Indicators'!$D$145%)</f>
        <v>2651.5151515151515</v>
      </c>
      <c r="CL122" s="284">
        <f>CK122*(1+'Unit Costs and Indicators'!$D$145%)</f>
        <v>2651.5151515151515</v>
      </c>
      <c r="CM122" s="284">
        <f>CL122*(1+'Unit Costs and Indicators'!$D$145%)</f>
        <v>2651.5151515151515</v>
      </c>
      <c r="CN122" s="284">
        <f>CM122*(1+'Unit Costs and Indicators'!$D$145%)</f>
        <v>2651.5151515151515</v>
      </c>
      <c r="CO122" s="284">
        <f>CN122*(1+'Unit Costs and Indicators'!$D$145%)</f>
        <v>2651.5151515151515</v>
      </c>
      <c r="CP122" s="284">
        <f>CO122*(1+'Unit Costs and Indicators'!$D$145%)</f>
        <v>2651.5151515151515</v>
      </c>
      <c r="CQ122" s="284">
        <f>CP122*(1+'Unit Costs and Indicators'!$D$145%)</f>
        <v>2651.5151515151515</v>
      </c>
      <c r="CR122" s="284">
        <f>CQ122*(1+'Unit Costs and Indicators'!$D$145%)</f>
        <v>2651.5151515151515</v>
      </c>
      <c r="CS122" s="284">
        <f>CR122*(1+'Unit Costs and Indicators'!$D$145%)</f>
        <v>2651.5151515151515</v>
      </c>
      <c r="CT122" s="284">
        <f>CS122*(1+'Unit Costs and Indicators'!$D$145%)</f>
        <v>2651.5151515151515</v>
      </c>
      <c r="CU122" s="284">
        <f>CT122*(1+'Unit Costs and Indicators'!$D$145%)</f>
        <v>2651.5151515151515</v>
      </c>
      <c r="CV122" s="284">
        <f>CU122*(1+'Unit Costs and Indicators'!$D$145%)</f>
        <v>2651.5151515151515</v>
      </c>
      <c r="CW122" s="284">
        <f>CV122*(1+'Unit Costs and Indicators'!$D$145%)</f>
        <v>2651.5151515151515</v>
      </c>
      <c r="CX122" s="284">
        <f>CW122*(1+'Unit Costs and Indicators'!$D$145%)</f>
        <v>2651.5151515151515</v>
      </c>
      <c r="CY122" s="284">
        <f>CX122*(1+'Unit Costs and Indicators'!$D$145%)</f>
        <v>2651.5151515151515</v>
      </c>
      <c r="CZ122" s="284">
        <f>CY122*(1+'Unit Costs and Indicators'!$D$145%)</f>
        <v>2651.5151515151515</v>
      </c>
      <c r="DA122" s="284">
        <f>CZ122*(1+'Unit Costs and Indicators'!$D$145%)</f>
        <v>2651.5151515151515</v>
      </c>
      <c r="DB122" s="284">
        <f>DA122*(1+'Unit Costs and Indicators'!$D$145%)</f>
        <v>2651.5151515151515</v>
      </c>
      <c r="DC122" s="284">
        <f>DB122*(1+'Unit Costs and Indicators'!$D$145%)</f>
        <v>2651.5151515151515</v>
      </c>
      <c r="DD122" s="284">
        <f>DC122*(1+'Unit Costs and Indicators'!$D$145%)</f>
        <v>2651.5151515151515</v>
      </c>
      <c r="DE122" s="284">
        <f>DD122*(1+'Unit Costs and Indicators'!$D$145%)</f>
        <v>2651.5151515151515</v>
      </c>
      <c r="DF122" s="279"/>
      <c r="DG122" s="279"/>
      <c r="DH122" s="279"/>
      <c r="DI122" s="279"/>
      <c r="DJ122" s="279"/>
      <c r="DK122" s="279"/>
      <c r="DL122" s="279"/>
    </row>
    <row r="123" spans="1:122" ht="15.75" customHeight="1" outlineLevel="1" x14ac:dyDescent="0.25">
      <c r="A123" s="751"/>
      <c r="B123" s="751"/>
      <c r="C123" s="321" t="s">
        <v>251</v>
      </c>
      <c r="D123" s="3"/>
      <c r="E123" s="299" t="s">
        <v>252</v>
      </c>
      <c r="F123" s="324"/>
      <c r="G123" s="324">
        <v>1.7899999999999999E-2</v>
      </c>
      <c r="H123" s="325">
        <f>'Unit Costs and Indicators'!$L$10*H122</f>
        <v>0.22192337748467222</v>
      </c>
      <c r="I123" s="326">
        <f>'Unit Costs and Indicators'!$L$10*I122</f>
        <v>0.22192337748467222</v>
      </c>
      <c r="J123" s="326">
        <f>'Unit Costs and Indicators'!$L$10*J122</f>
        <v>0.22192337748467222</v>
      </c>
      <c r="K123" s="326">
        <f>'Unit Costs and Indicators'!$L$10*K122</f>
        <v>0.22192337748467222</v>
      </c>
      <c r="L123" s="326">
        <f>'Unit Costs and Indicators'!$L$10*L122</f>
        <v>0.22192337748467222</v>
      </c>
      <c r="M123" s="326">
        <f>'Unit Costs and Indicators'!$L$10*M122</f>
        <v>0.22192337748467222</v>
      </c>
      <c r="N123" s="326">
        <f>'Unit Costs and Indicators'!$L$10*N122</f>
        <v>0.22192337748467222</v>
      </c>
      <c r="O123" s="326">
        <f>'Unit Costs and Indicators'!$L$10*O122</f>
        <v>0.22192337748467222</v>
      </c>
      <c r="P123" s="326">
        <f>'Unit Costs and Indicators'!$L$10*P122</f>
        <v>0.22192337748467222</v>
      </c>
      <c r="Q123" s="326">
        <f>'Unit Costs and Indicators'!$L$10*Q122</f>
        <v>0.22192337748467222</v>
      </c>
      <c r="R123" s="326">
        <f>'Unit Costs and Indicators'!$L$10*R122</f>
        <v>0.22192337748467222</v>
      </c>
      <c r="S123" s="326">
        <f>'Unit Costs and Indicators'!$L$10*S122</f>
        <v>0.22192337748467222</v>
      </c>
      <c r="T123" s="326">
        <f>'Unit Costs and Indicators'!$L$10*T122</f>
        <v>0.22192337748467222</v>
      </c>
      <c r="U123" s="326">
        <f>'Unit Costs and Indicators'!$L$10*U122</f>
        <v>0.22192337748467222</v>
      </c>
      <c r="V123" s="326">
        <f>'Unit Costs and Indicators'!$L$10*V122</f>
        <v>0.22192337748467222</v>
      </c>
      <c r="W123" s="326">
        <f>'Unit Costs and Indicators'!$L$10*W122</f>
        <v>0.22192337748467222</v>
      </c>
      <c r="X123" s="326">
        <f>'Unit Costs and Indicators'!$L$10*X122</f>
        <v>0.22192337748467222</v>
      </c>
      <c r="Y123" s="326">
        <f>'Unit Costs and Indicators'!$L$10*Y122</f>
        <v>0.22192337748467222</v>
      </c>
      <c r="Z123" s="326">
        <f>'Unit Costs and Indicators'!$L$10*Z122</f>
        <v>0.22192337748467222</v>
      </c>
      <c r="AA123" s="326">
        <f>'Unit Costs and Indicators'!$L$10*AA122</f>
        <v>0.22192337748467222</v>
      </c>
      <c r="AB123" s="326">
        <f>'Unit Costs and Indicators'!$L$10*AB122</f>
        <v>0.22192337748467222</v>
      </c>
      <c r="AC123" s="326">
        <f>'Unit Costs and Indicators'!$L$10*AC122</f>
        <v>0.22192337748467222</v>
      </c>
      <c r="AD123" s="326">
        <f>'Unit Costs and Indicators'!$L$10*AD122</f>
        <v>0.22192337748467222</v>
      </c>
      <c r="AE123" s="326">
        <f>'Unit Costs and Indicators'!$L$10*AE122</f>
        <v>0.22192337748467222</v>
      </c>
      <c r="AF123" s="326">
        <f>'Unit Costs and Indicators'!$L$10*AF122</f>
        <v>0.22192337748467222</v>
      </c>
      <c r="AG123" s="326">
        <f>'Unit Costs and Indicators'!$L$10*AG122</f>
        <v>0.22192337748467222</v>
      </c>
      <c r="AH123" s="326">
        <f>'Unit Costs and Indicators'!$L$10*AH122</f>
        <v>0.22192337748467222</v>
      </c>
      <c r="AI123" s="326">
        <f>'Unit Costs and Indicators'!$L$10*AI122</f>
        <v>0.22192337748467222</v>
      </c>
      <c r="AJ123" s="326">
        <f>'Unit Costs and Indicators'!$L$10*AJ122</f>
        <v>0.22192337748467222</v>
      </c>
      <c r="AK123" s="326">
        <f>'Unit Costs and Indicators'!$L$10*AK122</f>
        <v>0.22192337748467222</v>
      </c>
      <c r="AL123" s="326">
        <f>'Unit Costs and Indicators'!$L$10*AL122</f>
        <v>0.22192337748467222</v>
      </c>
      <c r="AM123" s="326">
        <f>'Unit Costs and Indicators'!$L$10*AM122</f>
        <v>0.22192337748467222</v>
      </c>
      <c r="AN123" s="326">
        <f>'Unit Costs and Indicators'!$L$10*AN122</f>
        <v>0.22192337748467222</v>
      </c>
      <c r="AO123" s="326">
        <f>'Unit Costs and Indicators'!$L$10*AO122</f>
        <v>0.22192337748467222</v>
      </c>
      <c r="AP123" s="326">
        <f>'Unit Costs and Indicators'!$L$10*AP122</f>
        <v>0.22192337748467222</v>
      </c>
      <c r="AQ123" s="326">
        <f>'Unit Costs and Indicators'!$L$10*AQ122</f>
        <v>0.22192337748467222</v>
      </c>
      <c r="AR123" s="326">
        <f>'Unit Costs and Indicators'!$L$10*AR122</f>
        <v>0.22192337748467222</v>
      </c>
      <c r="AS123" s="326">
        <f>'Unit Costs and Indicators'!$L$10*AS122</f>
        <v>0.22192337748467222</v>
      </c>
      <c r="AT123" s="326">
        <f>'Unit Costs and Indicators'!$L$10*AT122</f>
        <v>0.22192337748467222</v>
      </c>
      <c r="AU123" s="326">
        <f>'Unit Costs and Indicators'!$L$10*AU122</f>
        <v>0.22192337748467222</v>
      </c>
      <c r="AV123" s="326">
        <f>'Unit Costs and Indicators'!$L$10*AV122</f>
        <v>0.22192337748467222</v>
      </c>
      <c r="AW123" s="326">
        <f>'Unit Costs and Indicators'!$L$10*AW122</f>
        <v>0.22192337748467222</v>
      </c>
      <c r="AX123" s="326">
        <f>'Unit Costs and Indicators'!$L$10*AX122</f>
        <v>0.22192337748467222</v>
      </c>
      <c r="AY123" s="326">
        <f>'Unit Costs and Indicators'!$L$10*AY122</f>
        <v>0.22192337748467222</v>
      </c>
      <c r="AZ123" s="326">
        <f>'Unit Costs and Indicators'!$L$10*AZ122</f>
        <v>0.22192337748467222</v>
      </c>
      <c r="BA123" s="326">
        <f>'Unit Costs and Indicators'!$L$10*BA122</f>
        <v>0.22192337748467222</v>
      </c>
      <c r="BB123" s="326">
        <f>'Unit Costs and Indicators'!$L$10*BB122</f>
        <v>0.22192337748467222</v>
      </c>
      <c r="BC123" s="326">
        <f>'Unit Costs and Indicators'!$L$10*BC122</f>
        <v>0.22192337748467222</v>
      </c>
      <c r="BD123" s="326">
        <f>'Unit Costs and Indicators'!$L$10*BD122</f>
        <v>0.22192337748467222</v>
      </c>
      <c r="BE123" s="326">
        <f>'Unit Costs and Indicators'!$L$10*BE122</f>
        <v>0.22192337748467222</v>
      </c>
      <c r="BF123" s="326">
        <f>'Unit Costs and Indicators'!$L$10*BF122</f>
        <v>0.22192337748467222</v>
      </c>
      <c r="BG123" s="326">
        <f>'Unit Costs and Indicators'!$L$10*BG122</f>
        <v>0.22192337748467222</v>
      </c>
      <c r="BH123" s="326">
        <f>'Unit Costs and Indicators'!$L$10*BH122</f>
        <v>0.22192337748467222</v>
      </c>
      <c r="BI123" s="326">
        <f>'Unit Costs and Indicators'!$L$10*BI122</f>
        <v>0.22192337748467222</v>
      </c>
      <c r="BJ123" s="326">
        <f>'Unit Costs and Indicators'!$L$10*BJ122</f>
        <v>0.22192337748467222</v>
      </c>
      <c r="BK123" s="326">
        <f>'Unit Costs and Indicators'!$L$10*BK122</f>
        <v>0.22192337748467222</v>
      </c>
      <c r="BL123" s="326">
        <f>'Unit Costs and Indicators'!$L$10*BL122</f>
        <v>0.22192337748467222</v>
      </c>
      <c r="BM123" s="326">
        <f>'Unit Costs and Indicators'!$L$10*BM122</f>
        <v>0.22192337748467222</v>
      </c>
      <c r="BN123" s="326">
        <f>'Unit Costs and Indicators'!$L$10*BN122</f>
        <v>0.22192337748467222</v>
      </c>
      <c r="BO123" s="326">
        <f>'Unit Costs and Indicators'!$L$10*BO122</f>
        <v>0.22192337748467222</v>
      </c>
      <c r="BP123" s="326">
        <f>'Unit Costs and Indicators'!$L$10*BP122</f>
        <v>0.22192337748467222</v>
      </c>
      <c r="BQ123" s="326">
        <f>'Unit Costs and Indicators'!$L$10*BQ122</f>
        <v>0.22192337748467222</v>
      </c>
      <c r="BR123" s="326">
        <f>'Unit Costs and Indicators'!$L$10*BR122</f>
        <v>0.22192337748467222</v>
      </c>
      <c r="BS123" s="326">
        <f>'Unit Costs and Indicators'!$L$10*BS122</f>
        <v>0.22192337748467222</v>
      </c>
      <c r="BT123" s="326">
        <f>'Unit Costs and Indicators'!$L$10*BT122</f>
        <v>0.22192337748467222</v>
      </c>
      <c r="BU123" s="326">
        <f>'Unit Costs and Indicators'!$L$10*BU122</f>
        <v>0.22192337748467222</v>
      </c>
      <c r="BV123" s="326">
        <f>'Unit Costs and Indicators'!$L$10*BV122</f>
        <v>0.22192337748467222</v>
      </c>
      <c r="BW123" s="326">
        <f>'Unit Costs and Indicators'!$L$10*BW122</f>
        <v>0.22192337748467222</v>
      </c>
      <c r="BX123" s="326">
        <f>'Unit Costs and Indicators'!$L$10*BX122</f>
        <v>0.22192337748467222</v>
      </c>
      <c r="BY123" s="326">
        <f>'Unit Costs and Indicators'!$L$10*BY122</f>
        <v>0.22192337748467222</v>
      </c>
      <c r="BZ123" s="326">
        <f>'Unit Costs and Indicators'!$L$10*BZ122</f>
        <v>0.22192337748467222</v>
      </c>
      <c r="CA123" s="326">
        <f>'Unit Costs and Indicators'!$L$10*CA122</f>
        <v>0.22192337748467222</v>
      </c>
      <c r="CB123" s="326">
        <f>'Unit Costs and Indicators'!$L$10*CB122</f>
        <v>0.22192337748467222</v>
      </c>
      <c r="CC123" s="326">
        <f>'Unit Costs and Indicators'!$L$10*CC122</f>
        <v>0.22192337748467222</v>
      </c>
      <c r="CD123" s="326">
        <f>'Unit Costs and Indicators'!$L$10*CD122</f>
        <v>0.22192337748467222</v>
      </c>
      <c r="CE123" s="326">
        <f>'Unit Costs and Indicators'!$L$10*CE122</f>
        <v>0.22192337748467222</v>
      </c>
      <c r="CF123" s="326">
        <f>'Unit Costs and Indicators'!$L$10*CF122</f>
        <v>0.22192337748467222</v>
      </c>
      <c r="CG123" s="326">
        <f>'Unit Costs and Indicators'!$L$10*CG122</f>
        <v>0.22192337748467222</v>
      </c>
      <c r="CH123" s="326">
        <f>'Unit Costs and Indicators'!$L$10*CH122</f>
        <v>0.22192337748467222</v>
      </c>
      <c r="CI123" s="326">
        <f>'Unit Costs and Indicators'!$L$10*CI122</f>
        <v>0.22192337748467222</v>
      </c>
      <c r="CJ123" s="326">
        <f>'Unit Costs and Indicators'!$L$10*CJ122</f>
        <v>0.22192337748467222</v>
      </c>
      <c r="CK123" s="326">
        <f>'Unit Costs and Indicators'!$L$10*CK122</f>
        <v>0.22192337748467222</v>
      </c>
      <c r="CL123" s="326">
        <f>'Unit Costs and Indicators'!$L$10*CL122</f>
        <v>0.22192337748467222</v>
      </c>
      <c r="CM123" s="326">
        <f>'Unit Costs and Indicators'!$L$10*CM122</f>
        <v>0.22192337748467222</v>
      </c>
      <c r="CN123" s="326">
        <f>'Unit Costs and Indicators'!$L$10*CN122</f>
        <v>0.22192337748467222</v>
      </c>
      <c r="CO123" s="326">
        <f>'Unit Costs and Indicators'!$L$10*CO122</f>
        <v>0.22192337748467222</v>
      </c>
      <c r="CP123" s="326">
        <f>'Unit Costs and Indicators'!$L$10*CP122</f>
        <v>0.22192337748467222</v>
      </c>
      <c r="CQ123" s="326">
        <f>'Unit Costs and Indicators'!$L$10*CQ122</f>
        <v>0.22192337748467222</v>
      </c>
      <c r="CR123" s="326">
        <f>'Unit Costs and Indicators'!$L$10*CR122</f>
        <v>0.22192337748467222</v>
      </c>
      <c r="CS123" s="326">
        <f>'Unit Costs and Indicators'!$L$10*CS122</f>
        <v>0.22192337748467222</v>
      </c>
      <c r="CT123" s="326">
        <f>'Unit Costs and Indicators'!$L$10*CT122</f>
        <v>0.22192337748467222</v>
      </c>
      <c r="CU123" s="326">
        <f>'Unit Costs and Indicators'!$L$10*CU122</f>
        <v>0.22192337748467222</v>
      </c>
      <c r="CV123" s="326">
        <f>'Unit Costs and Indicators'!$L$10*CV122</f>
        <v>0.22192337748467222</v>
      </c>
      <c r="CW123" s="326">
        <f>'Unit Costs and Indicators'!$L$10*CW122</f>
        <v>0.22192337748467222</v>
      </c>
      <c r="CX123" s="326">
        <f>'Unit Costs and Indicators'!$L$10*CX122</f>
        <v>0.22192337748467222</v>
      </c>
      <c r="CY123" s="326">
        <f>'Unit Costs and Indicators'!$L$10*CY122</f>
        <v>0.22192337748467222</v>
      </c>
      <c r="CZ123" s="326">
        <f>'Unit Costs and Indicators'!$L$10*CZ122</f>
        <v>0.22192337748467222</v>
      </c>
      <c r="DA123" s="326">
        <f>'Unit Costs and Indicators'!$L$10*DA122</f>
        <v>0.22192337748467222</v>
      </c>
      <c r="DB123" s="326">
        <f>'Unit Costs and Indicators'!$L$10*DB122</f>
        <v>0.22192337748467222</v>
      </c>
      <c r="DC123" s="326">
        <f>'Unit Costs and Indicators'!$L$10*DC122</f>
        <v>0.22192337748467222</v>
      </c>
      <c r="DD123" s="326">
        <f>'Unit Costs and Indicators'!$L$10*DD122</f>
        <v>0.22192337748467222</v>
      </c>
      <c r="DE123" s="326">
        <f>'Unit Costs and Indicators'!$L$10*DE122</f>
        <v>0.22192337748467222</v>
      </c>
      <c r="DF123" s="326"/>
      <c r="DG123" s="326"/>
      <c r="DH123" s="326"/>
      <c r="DI123" s="326"/>
      <c r="DJ123" s="326"/>
      <c r="DK123" s="326"/>
      <c r="DL123" s="326"/>
    </row>
    <row r="124" spans="1:122" ht="15.75" customHeight="1" outlineLevel="1" x14ac:dyDescent="0.25">
      <c r="A124" s="751"/>
      <c r="B124" s="751"/>
      <c r="C124" s="321" t="s">
        <v>253</v>
      </c>
      <c r="D124" s="3"/>
      <c r="E124" s="280" t="s">
        <v>254</v>
      </c>
      <c r="F124" s="327"/>
      <c r="G124" s="328">
        <v>5.4</v>
      </c>
      <c r="H124" s="302">
        <v>5.4</v>
      </c>
      <c r="I124" s="308">
        <f>H124*(1+'Unit Costs and Indicators'!$D$136)</f>
        <v>5.4</v>
      </c>
      <c r="J124" s="308">
        <f>I124*(1+'Unit Costs and Indicators'!$D$136)</f>
        <v>5.4</v>
      </c>
      <c r="K124" s="308">
        <f>J124*(1+'Unit Costs and Indicators'!$D$136)</f>
        <v>5.4</v>
      </c>
      <c r="L124" s="308">
        <f>K124*(1+'Unit Costs and Indicators'!$D$136)</f>
        <v>5.4</v>
      </c>
      <c r="M124" s="308">
        <f>L124*(1+'Unit Costs and Indicators'!$D$136)</f>
        <v>5.4</v>
      </c>
      <c r="N124" s="308">
        <f>M124*(1+'Unit Costs and Indicators'!$D$136)</f>
        <v>5.4</v>
      </c>
      <c r="O124" s="308">
        <f>N124*(1+'Unit Costs and Indicators'!$D$136)</f>
        <v>5.4</v>
      </c>
      <c r="P124" s="308">
        <f>O124*(1+'Unit Costs and Indicators'!$D$136)</f>
        <v>5.4</v>
      </c>
      <c r="Q124" s="308">
        <f>P124*(1+'Unit Costs and Indicators'!$D$136)</f>
        <v>5.4</v>
      </c>
      <c r="R124" s="308">
        <f>Q124*(1+'Unit Costs and Indicators'!$D$136)</f>
        <v>5.4</v>
      </c>
      <c r="S124" s="308">
        <f>R124*(1+'Unit Costs and Indicators'!$D$136)</f>
        <v>5.4</v>
      </c>
      <c r="T124" s="308">
        <f>S124*(1+'Unit Costs and Indicators'!$D$136)</f>
        <v>5.4</v>
      </c>
      <c r="U124" s="308">
        <f>T124*(1+'Unit Costs and Indicators'!$D$136)</f>
        <v>5.4</v>
      </c>
      <c r="V124" s="308">
        <f>U124*(1+'Unit Costs and Indicators'!$D$136)</f>
        <v>5.4</v>
      </c>
      <c r="W124" s="308">
        <f>V124*(1+'Unit Costs and Indicators'!$D$136)</f>
        <v>5.4</v>
      </c>
      <c r="X124" s="308">
        <f>W124*(1+'Unit Costs and Indicators'!$D$136)</f>
        <v>5.4</v>
      </c>
      <c r="Y124" s="308">
        <f>X124*(1+'Unit Costs and Indicators'!$D$136)</f>
        <v>5.4</v>
      </c>
      <c r="Z124" s="308">
        <f>Y124*(1+'Unit Costs and Indicators'!$D$136)</f>
        <v>5.4</v>
      </c>
      <c r="AA124" s="308">
        <f>Z124*(1+'Unit Costs and Indicators'!$D$136)</f>
        <v>5.4</v>
      </c>
      <c r="AB124" s="308">
        <f>AA124*(1+'Unit Costs and Indicators'!$D$136)</f>
        <v>5.4</v>
      </c>
      <c r="AC124" s="308">
        <f>AB124*(1+'Unit Costs and Indicators'!$D$136)</f>
        <v>5.4</v>
      </c>
      <c r="AD124" s="308">
        <f>AC124*(1+'Unit Costs and Indicators'!$D$136)</f>
        <v>5.4</v>
      </c>
      <c r="AE124" s="308">
        <f>AD124*(1+'Unit Costs and Indicators'!$D$136)</f>
        <v>5.4</v>
      </c>
      <c r="AF124" s="308">
        <f>AE124*(1+'Unit Costs and Indicators'!$D$136)</f>
        <v>5.4</v>
      </c>
      <c r="AG124" s="308">
        <f>AF124*(1+'Unit Costs and Indicators'!$D$136)</f>
        <v>5.4</v>
      </c>
      <c r="AH124" s="308">
        <f>AG124*(1+'Unit Costs and Indicators'!$D$136)</f>
        <v>5.4</v>
      </c>
      <c r="AI124" s="308">
        <f>AH124*(1+'Unit Costs and Indicators'!$D$136)</f>
        <v>5.4</v>
      </c>
      <c r="AJ124" s="308">
        <f>AI124*(1+'Unit Costs and Indicators'!$D$136)</f>
        <v>5.4</v>
      </c>
      <c r="AK124" s="308">
        <f>AJ124*(1+'Unit Costs and Indicators'!$D$136)</f>
        <v>5.4</v>
      </c>
      <c r="AL124" s="308">
        <f>AK124*(1+'Unit Costs and Indicators'!$D$136)</f>
        <v>5.4</v>
      </c>
      <c r="AM124" s="308">
        <f>AL124*(1+'Unit Costs and Indicators'!$D$136)</f>
        <v>5.4</v>
      </c>
      <c r="AN124" s="308">
        <f>AM124*(1+'Unit Costs and Indicators'!$D$136)</f>
        <v>5.4</v>
      </c>
      <c r="AO124" s="308">
        <f>AN124*(1+'Unit Costs and Indicators'!$D$136)</f>
        <v>5.4</v>
      </c>
      <c r="AP124" s="308">
        <f>AO124*(1+'Unit Costs and Indicators'!$D$136)</f>
        <v>5.4</v>
      </c>
      <c r="AQ124" s="308">
        <f>AP124*(1+'Unit Costs and Indicators'!$D$136)</f>
        <v>5.4</v>
      </c>
      <c r="AR124" s="308">
        <f>AQ124*(1+'Unit Costs and Indicators'!$D$136)</f>
        <v>5.4</v>
      </c>
      <c r="AS124" s="308">
        <f>AR124*(1+'Unit Costs and Indicators'!$D$136)</f>
        <v>5.4</v>
      </c>
      <c r="AT124" s="308">
        <f>AS124*(1+'Unit Costs and Indicators'!$D$136)</f>
        <v>5.4</v>
      </c>
      <c r="AU124" s="308">
        <f>AT124*(1+'Unit Costs and Indicators'!$D$136)</f>
        <v>5.4</v>
      </c>
      <c r="AV124" s="308">
        <f>AU124*(1+'Unit Costs and Indicators'!$D$136)</f>
        <v>5.4</v>
      </c>
      <c r="AW124" s="308">
        <f>AV124*(1+'Unit Costs and Indicators'!$D$136)</f>
        <v>5.4</v>
      </c>
      <c r="AX124" s="308">
        <f>AW124*(1+'Unit Costs and Indicators'!$D$136)</f>
        <v>5.4</v>
      </c>
      <c r="AY124" s="308">
        <f>AX124*(1+'Unit Costs and Indicators'!$D$136)</f>
        <v>5.4</v>
      </c>
      <c r="AZ124" s="308">
        <f>AY124*(1+'Unit Costs and Indicators'!$D$136)</f>
        <v>5.4</v>
      </c>
      <c r="BA124" s="308">
        <f>AZ124*(1+'Unit Costs and Indicators'!$D$136)</f>
        <v>5.4</v>
      </c>
      <c r="BB124" s="308">
        <f>BA124*(1+'Unit Costs and Indicators'!$D$136)</f>
        <v>5.4</v>
      </c>
      <c r="BC124" s="308">
        <f>BB124*(1+'Unit Costs and Indicators'!$D$136)</f>
        <v>5.4</v>
      </c>
      <c r="BD124" s="308">
        <f>BC124*(1+'Unit Costs and Indicators'!$D$136)</f>
        <v>5.4</v>
      </c>
      <c r="BE124" s="308">
        <f>BD124*(1+'Unit Costs and Indicators'!$D$136)</f>
        <v>5.4</v>
      </c>
      <c r="BF124" s="308">
        <f>BE124*(1+'Unit Costs and Indicators'!$D$136)</f>
        <v>5.4</v>
      </c>
      <c r="BG124" s="308">
        <f>BF124*(1+'Unit Costs and Indicators'!$D$136)</f>
        <v>5.4</v>
      </c>
      <c r="BH124" s="308">
        <f>BG124*(1+'Unit Costs and Indicators'!$D$136)</f>
        <v>5.4</v>
      </c>
      <c r="BI124" s="308">
        <f>BH124*(1+'Unit Costs and Indicators'!$D$136)</f>
        <v>5.4</v>
      </c>
      <c r="BJ124" s="308">
        <f>BI124*(1+'Unit Costs and Indicators'!$D$136)</f>
        <v>5.4</v>
      </c>
      <c r="BK124" s="308">
        <f>BJ124*(1+'Unit Costs and Indicators'!$D$136)</f>
        <v>5.4</v>
      </c>
      <c r="BL124" s="308">
        <f>BK124*(1+'Unit Costs and Indicators'!$D$136)</f>
        <v>5.4</v>
      </c>
      <c r="BM124" s="308">
        <f>BL124*(1+'Unit Costs and Indicators'!$D$136)</f>
        <v>5.4</v>
      </c>
      <c r="BN124" s="308">
        <f>BM124*(1+'Unit Costs and Indicators'!$D$136)</f>
        <v>5.4</v>
      </c>
      <c r="BO124" s="308">
        <f>BN124*(1+'Unit Costs and Indicators'!$D$136)</f>
        <v>5.4</v>
      </c>
      <c r="BP124" s="308">
        <f>BO124*(1+'Unit Costs and Indicators'!$D$136)</f>
        <v>5.4</v>
      </c>
      <c r="BQ124" s="308">
        <f>BP124*(1+'Unit Costs and Indicators'!$D$136)</f>
        <v>5.4</v>
      </c>
      <c r="BR124" s="308">
        <f>BQ124*(1+'Unit Costs and Indicators'!$D$136)</f>
        <v>5.4</v>
      </c>
      <c r="BS124" s="308">
        <f>BR124*(1+'Unit Costs and Indicators'!$D$136)</f>
        <v>5.4</v>
      </c>
      <c r="BT124" s="308">
        <f>BS124*(1+'Unit Costs and Indicators'!$D$136)</f>
        <v>5.4</v>
      </c>
      <c r="BU124" s="308">
        <f>BT124*(1+'Unit Costs and Indicators'!$D$136)</f>
        <v>5.4</v>
      </c>
      <c r="BV124" s="308">
        <f>BU124*(1+'Unit Costs and Indicators'!$D$136)</f>
        <v>5.4</v>
      </c>
      <c r="BW124" s="308">
        <f>BV124*(1+'Unit Costs and Indicators'!$D$136)</f>
        <v>5.4</v>
      </c>
      <c r="BX124" s="308">
        <f>BW124*(1+'Unit Costs and Indicators'!$D$136)</f>
        <v>5.4</v>
      </c>
      <c r="BY124" s="308">
        <f>BX124*(1+'Unit Costs and Indicators'!$D$136)</f>
        <v>5.4</v>
      </c>
      <c r="BZ124" s="308">
        <f>BY124*(1+'Unit Costs and Indicators'!$D$136)</f>
        <v>5.4</v>
      </c>
      <c r="CA124" s="308">
        <f>BZ124*(1+'Unit Costs and Indicators'!$D$136)</f>
        <v>5.4</v>
      </c>
      <c r="CB124" s="308">
        <f>CA124*(1+'Unit Costs and Indicators'!$D$136)</f>
        <v>5.4</v>
      </c>
      <c r="CC124" s="308">
        <f>CB124*(1+'Unit Costs and Indicators'!$D$136)</f>
        <v>5.4</v>
      </c>
      <c r="CD124" s="308">
        <f>CC124*(1+'Unit Costs and Indicators'!$D$136)</f>
        <v>5.4</v>
      </c>
      <c r="CE124" s="308">
        <f>CD124*(1+'Unit Costs and Indicators'!$D$136)</f>
        <v>5.4</v>
      </c>
      <c r="CF124" s="308">
        <f>CE124*(1+'Unit Costs and Indicators'!$D$136)</f>
        <v>5.4</v>
      </c>
      <c r="CG124" s="308">
        <f>CF124*(1+'Unit Costs and Indicators'!$D$136)</f>
        <v>5.4</v>
      </c>
      <c r="CH124" s="308">
        <f>CG124*(1+'Unit Costs and Indicators'!$D$136)</f>
        <v>5.4</v>
      </c>
      <c r="CI124" s="308">
        <f>CH124*(1+'Unit Costs and Indicators'!$D$136)</f>
        <v>5.4</v>
      </c>
      <c r="CJ124" s="308">
        <f>CI124*(1+'Unit Costs and Indicators'!$D$136)</f>
        <v>5.4</v>
      </c>
      <c r="CK124" s="308">
        <f>CJ124*(1+'Unit Costs and Indicators'!$D$136)</f>
        <v>5.4</v>
      </c>
      <c r="CL124" s="308">
        <f>CK124*(1+'Unit Costs and Indicators'!$D$136)</f>
        <v>5.4</v>
      </c>
      <c r="CM124" s="308">
        <f>CL124*(1+'Unit Costs and Indicators'!$D$136)</f>
        <v>5.4</v>
      </c>
      <c r="CN124" s="308">
        <f>CM124*(1+'Unit Costs and Indicators'!$D$136)</f>
        <v>5.4</v>
      </c>
      <c r="CO124" s="308">
        <f>CN124*(1+'Unit Costs and Indicators'!$D$136)</f>
        <v>5.4</v>
      </c>
      <c r="CP124" s="308">
        <f>CO124*(1+'Unit Costs and Indicators'!$D$136)</f>
        <v>5.4</v>
      </c>
      <c r="CQ124" s="308">
        <f>CP124*(1+'Unit Costs and Indicators'!$D$136)</f>
        <v>5.4</v>
      </c>
      <c r="CR124" s="308">
        <f>CQ124*(1+'Unit Costs and Indicators'!$D$136)</f>
        <v>5.4</v>
      </c>
      <c r="CS124" s="308">
        <f>CR124*(1+'Unit Costs and Indicators'!$D$136)</f>
        <v>5.4</v>
      </c>
      <c r="CT124" s="308">
        <f>CS124*(1+'Unit Costs and Indicators'!$D$136)</f>
        <v>5.4</v>
      </c>
      <c r="CU124" s="308">
        <f>CT124*(1+'Unit Costs and Indicators'!$D$136)</f>
        <v>5.4</v>
      </c>
      <c r="CV124" s="308">
        <f>CU124*(1+'Unit Costs and Indicators'!$D$136)</f>
        <v>5.4</v>
      </c>
      <c r="CW124" s="308">
        <f>CV124*(1+'Unit Costs and Indicators'!$D$136)</f>
        <v>5.4</v>
      </c>
      <c r="CX124" s="308">
        <f>CW124*(1+'Unit Costs and Indicators'!$D$136)</f>
        <v>5.4</v>
      </c>
      <c r="CY124" s="308">
        <f>CX124*(1+'Unit Costs and Indicators'!$D$136)</f>
        <v>5.4</v>
      </c>
      <c r="CZ124" s="308">
        <f>CY124*(1+'Unit Costs and Indicators'!$D$136)</f>
        <v>5.4</v>
      </c>
      <c r="DA124" s="308">
        <f>CZ124*(1+'Unit Costs and Indicators'!$D$136)</f>
        <v>5.4</v>
      </c>
      <c r="DB124" s="308">
        <f>DA124*(1+'Unit Costs and Indicators'!$D$136)</f>
        <v>5.4</v>
      </c>
      <c r="DC124" s="308">
        <f>DB124*(1+'Unit Costs and Indicators'!$D$136)</f>
        <v>5.4</v>
      </c>
      <c r="DD124" s="308">
        <f>DC124*(1+'Unit Costs and Indicators'!$D$136)</f>
        <v>5.4</v>
      </c>
      <c r="DE124" s="308">
        <f>DD124*(1+'Unit Costs and Indicators'!$D$136)</f>
        <v>5.4</v>
      </c>
      <c r="DF124" s="308"/>
      <c r="DG124" s="308"/>
      <c r="DH124" s="308"/>
      <c r="DI124" s="308"/>
      <c r="DJ124" s="308"/>
      <c r="DK124" s="308"/>
      <c r="DL124" s="308"/>
    </row>
    <row r="125" spans="1:122" ht="15.75" customHeight="1" outlineLevel="1" x14ac:dyDescent="0.25">
      <c r="A125" s="751"/>
      <c r="B125" s="751"/>
      <c r="C125" s="321" t="s">
        <v>255</v>
      </c>
      <c r="D125" s="3"/>
      <c r="E125" s="280" t="s">
        <v>234</v>
      </c>
      <c r="F125" s="327"/>
      <c r="G125" s="328"/>
      <c r="H125" s="302">
        <f t="shared" ref="H125:DE125" si="119">16+H124</f>
        <v>21.4</v>
      </c>
      <c r="I125" s="303">
        <f t="shared" si="119"/>
        <v>21.4</v>
      </c>
      <c r="J125" s="303">
        <f t="shared" si="119"/>
        <v>21.4</v>
      </c>
      <c r="K125" s="303">
        <f t="shared" si="119"/>
        <v>21.4</v>
      </c>
      <c r="L125" s="303">
        <f t="shared" si="119"/>
        <v>21.4</v>
      </c>
      <c r="M125" s="303">
        <f t="shared" si="119"/>
        <v>21.4</v>
      </c>
      <c r="N125" s="303">
        <f t="shared" si="119"/>
        <v>21.4</v>
      </c>
      <c r="O125" s="303">
        <f t="shared" si="119"/>
        <v>21.4</v>
      </c>
      <c r="P125" s="303">
        <f t="shared" si="119"/>
        <v>21.4</v>
      </c>
      <c r="Q125" s="303">
        <f t="shared" si="119"/>
        <v>21.4</v>
      </c>
      <c r="R125" s="303">
        <f t="shared" si="119"/>
        <v>21.4</v>
      </c>
      <c r="S125" s="303">
        <f t="shared" si="119"/>
        <v>21.4</v>
      </c>
      <c r="T125" s="303">
        <f t="shared" si="119"/>
        <v>21.4</v>
      </c>
      <c r="U125" s="303">
        <f t="shared" si="119"/>
        <v>21.4</v>
      </c>
      <c r="V125" s="303">
        <f t="shared" si="119"/>
        <v>21.4</v>
      </c>
      <c r="W125" s="303">
        <f t="shared" si="119"/>
        <v>21.4</v>
      </c>
      <c r="X125" s="303">
        <f t="shared" si="119"/>
        <v>21.4</v>
      </c>
      <c r="Y125" s="303">
        <f t="shared" si="119"/>
        <v>21.4</v>
      </c>
      <c r="Z125" s="303">
        <f t="shared" si="119"/>
        <v>21.4</v>
      </c>
      <c r="AA125" s="303">
        <f t="shared" si="119"/>
        <v>21.4</v>
      </c>
      <c r="AB125" s="303">
        <f t="shared" si="119"/>
        <v>21.4</v>
      </c>
      <c r="AC125" s="303">
        <f t="shared" si="119"/>
        <v>21.4</v>
      </c>
      <c r="AD125" s="303">
        <f t="shared" si="119"/>
        <v>21.4</v>
      </c>
      <c r="AE125" s="303">
        <f t="shared" si="119"/>
        <v>21.4</v>
      </c>
      <c r="AF125" s="303">
        <f t="shared" si="119"/>
        <v>21.4</v>
      </c>
      <c r="AG125" s="303">
        <f t="shared" si="119"/>
        <v>21.4</v>
      </c>
      <c r="AH125" s="303">
        <f t="shared" si="119"/>
        <v>21.4</v>
      </c>
      <c r="AI125" s="303">
        <f t="shared" si="119"/>
        <v>21.4</v>
      </c>
      <c r="AJ125" s="303">
        <f t="shared" si="119"/>
        <v>21.4</v>
      </c>
      <c r="AK125" s="303">
        <f t="shared" si="119"/>
        <v>21.4</v>
      </c>
      <c r="AL125" s="303">
        <f t="shared" si="119"/>
        <v>21.4</v>
      </c>
      <c r="AM125" s="303">
        <f t="shared" si="119"/>
        <v>21.4</v>
      </c>
      <c r="AN125" s="303">
        <f t="shared" si="119"/>
        <v>21.4</v>
      </c>
      <c r="AO125" s="303">
        <f t="shared" si="119"/>
        <v>21.4</v>
      </c>
      <c r="AP125" s="303">
        <f t="shared" si="119"/>
        <v>21.4</v>
      </c>
      <c r="AQ125" s="303">
        <f t="shared" si="119"/>
        <v>21.4</v>
      </c>
      <c r="AR125" s="303">
        <f t="shared" si="119"/>
        <v>21.4</v>
      </c>
      <c r="AS125" s="303">
        <f t="shared" si="119"/>
        <v>21.4</v>
      </c>
      <c r="AT125" s="303">
        <f t="shared" si="119"/>
        <v>21.4</v>
      </c>
      <c r="AU125" s="303">
        <f t="shared" si="119"/>
        <v>21.4</v>
      </c>
      <c r="AV125" s="303">
        <f t="shared" si="119"/>
        <v>21.4</v>
      </c>
      <c r="AW125" s="303">
        <f t="shared" si="119"/>
        <v>21.4</v>
      </c>
      <c r="AX125" s="303">
        <f t="shared" si="119"/>
        <v>21.4</v>
      </c>
      <c r="AY125" s="303">
        <f t="shared" si="119"/>
        <v>21.4</v>
      </c>
      <c r="AZ125" s="303">
        <f t="shared" si="119"/>
        <v>21.4</v>
      </c>
      <c r="BA125" s="303">
        <f t="shared" si="119"/>
        <v>21.4</v>
      </c>
      <c r="BB125" s="303">
        <f t="shared" si="119"/>
        <v>21.4</v>
      </c>
      <c r="BC125" s="303">
        <f t="shared" si="119"/>
        <v>21.4</v>
      </c>
      <c r="BD125" s="303">
        <f t="shared" si="119"/>
        <v>21.4</v>
      </c>
      <c r="BE125" s="303">
        <f t="shared" si="119"/>
        <v>21.4</v>
      </c>
      <c r="BF125" s="303">
        <f t="shared" si="119"/>
        <v>21.4</v>
      </c>
      <c r="BG125" s="303">
        <f t="shared" si="119"/>
        <v>21.4</v>
      </c>
      <c r="BH125" s="303">
        <f t="shared" si="119"/>
        <v>21.4</v>
      </c>
      <c r="BI125" s="303">
        <f t="shared" si="119"/>
        <v>21.4</v>
      </c>
      <c r="BJ125" s="303">
        <f t="shared" si="119"/>
        <v>21.4</v>
      </c>
      <c r="BK125" s="303">
        <f t="shared" si="119"/>
        <v>21.4</v>
      </c>
      <c r="BL125" s="303">
        <f t="shared" si="119"/>
        <v>21.4</v>
      </c>
      <c r="BM125" s="303">
        <f t="shared" si="119"/>
        <v>21.4</v>
      </c>
      <c r="BN125" s="303">
        <f t="shared" si="119"/>
        <v>21.4</v>
      </c>
      <c r="BO125" s="303">
        <f t="shared" si="119"/>
        <v>21.4</v>
      </c>
      <c r="BP125" s="303">
        <f t="shared" si="119"/>
        <v>21.4</v>
      </c>
      <c r="BQ125" s="303">
        <f t="shared" si="119"/>
        <v>21.4</v>
      </c>
      <c r="BR125" s="303">
        <f t="shared" si="119"/>
        <v>21.4</v>
      </c>
      <c r="BS125" s="303">
        <f t="shared" si="119"/>
        <v>21.4</v>
      </c>
      <c r="BT125" s="303">
        <f t="shared" si="119"/>
        <v>21.4</v>
      </c>
      <c r="BU125" s="303">
        <f t="shared" si="119"/>
        <v>21.4</v>
      </c>
      <c r="BV125" s="303">
        <f t="shared" si="119"/>
        <v>21.4</v>
      </c>
      <c r="BW125" s="303">
        <f t="shared" si="119"/>
        <v>21.4</v>
      </c>
      <c r="BX125" s="303">
        <f t="shared" si="119"/>
        <v>21.4</v>
      </c>
      <c r="BY125" s="303">
        <f t="shared" si="119"/>
        <v>21.4</v>
      </c>
      <c r="BZ125" s="303">
        <f t="shared" si="119"/>
        <v>21.4</v>
      </c>
      <c r="CA125" s="303">
        <f t="shared" si="119"/>
        <v>21.4</v>
      </c>
      <c r="CB125" s="303">
        <f t="shared" si="119"/>
        <v>21.4</v>
      </c>
      <c r="CC125" s="303">
        <f t="shared" si="119"/>
        <v>21.4</v>
      </c>
      <c r="CD125" s="303">
        <f t="shared" si="119"/>
        <v>21.4</v>
      </c>
      <c r="CE125" s="303">
        <f t="shared" si="119"/>
        <v>21.4</v>
      </c>
      <c r="CF125" s="303">
        <f t="shared" si="119"/>
        <v>21.4</v>
      </c>
      <c r="CG125" s="303">
        <f t="shared" si="119"/>
        <v>21.4</v>
      </c>
      <c r="CH125" s="303">
        <f t="shared" si="119"/>
        <v>21.4</v>
      </c>
      <c r="CI125" s="303">
        <f t="shared" si="119"/>
        <v>21.4</v>
      </c>
      <c r="CJ125" s="303">
        <f t="shared" si="119"/>
        <v>21.4</v>
      </c>
      <c r="CK125" s="303">
        <f t="shared" si="119"/>
        <v>21.4</v>
      </c>
      <c r="CL125" s="303">
        <f t="shared" si="119"/>
        <v>21.4</v>
      </c>
      <c r="CM125" s="303">
        <f t="shared" si="119"/>
        <v>21.4</v>
      </c>
      <c r="CN125" s="303">
        <f t="shared" si="119"/>
        <v>21.4</v>
      </c>
      <c r="CO125" s="303">
        <f t="shared" si="119"/>
        <v>21.4</v>
      </c>
      <c r="CP125" s="303">
        <f t="shared" si="119"/>
        <v>21.4</v>
      </c>
      <c r="CQ125" s="303">
        <f t="shared" si="119"/>
        <v>21.4</v>
      </c>
      <c r="CR125" s="303">
        <f t="shared" si="119"/>
        <v>21.4</v>
      </c>
      <c r="CS125" s="303">
        <f t="shared" si="119"/>
        <v>21.4</v>
      </c>
      <c r="CT125" s="303">
        <f t="shared" si="119"/>
        <v>21.4</v>
      </c>
      <c r="CU125" s="303">
        <f t="shared" si="119"/>
        <v>21.4</v>
      </c>
      <c r="CV125" s="303">
        <f t="shared" si="119"/>
        <v>21.4</v>
      </c>
      <c r="CW125" s="303">
        <f t="shared" si="119"/>
        <v>21.4</v>
      </c>
      <c r="CX125" s="303">
        <f t="shared" si="119"/>
        <v>21.4</v>
      </c>
      <c r="CY125" s="303">
        <f t="shared" si="119"/>
        <v>21.4</v>
      </c>
      <c r="CZ125" s="303">
        <f t="shared" si="119"/>
        <v>21.4</v>
      </c>
      <c r="DA125" s="303">
        <f t="shared" si="119"/>
        <v>21.4</v>
      </c>
      <c r="DB125" s="303">
        <f t="shared" si="119"/>
        <v>21.4</v>
      </c>
      <c r="DC125" s="303">
        <f t="shared" si="119"/>
        <v>21.4</v>
      </c>
      <c r="DD125" s="303">
        <f t="shared" si="119"/>
        <v>21.4</v>
      </c>
      <c r="DE125" s="303">
        <f t="shared" si="119"/>
        <v>21.4</v>
      </c>
      <c r="DF125" s="303"/>
      <c r="DG125" s="303"/>
      <c r="DH125" s="303"/>
      <c r="DI125" s="303"/>
      <c r="DJ125" s="303"/>
      <c r="DK125" s="303"/>
      <c r="DL125" s="303"/>
    </row>
    <row r="126" spans="1:122" ht="15.75" customHeight="1" outlineLevel="1" x14ac:dyDescent="0.25">
      <c r="A126" s="751"/>
      <c r="B126" s="751"/>
      <c r="C126" s="321" t="s">
        <v>256</v>
      </c>
      <c r="D126" s="3"/>
      <c r="E126" s="280"/>
      <c r="F126" s="327"/>
      <c r="G126" s="329">
        <v>27.13</v>
      </c>
      <c r="H126" s="302">
        <v>27.13</v>
      </c>
      <c r="I126" s="303">
        <v>27.13</v>
      </c>
      <c r="J126" s="303">
        <v>27.13</v>
      </c>
      <c r="K126" s="303">
        <v>27.13</v>
      </c>
      <c r="L126" s="303">
        <v>27.13</v>
      </c>
      <c r="M126" s="303">
        <v>27.13</v>
      </c>
      <c r="N126" s="303">
        <v>27.13</v>
      </c>
      <c r="O126" s="303">
        <v>27.13</v>
      </c>
      <c r="P126" s="303">
        <v>27.13</v>
      </c>
      <c r="Q126" s="303">
        <v>27.13</v>
      </c>
      <c r="R126" s="303">
        <v>27.13</v>
      </c>
      <c r="S126" s="303">
        <v>27.13</v>
      </c>
      <c r="T126" s="303">
        <v>27.13</v>
      </c>
      <c r="U126" s="303">
        <v>27.13</v>
      </c>
      <c r="V126" s="303">
        <v>27.13</v>
      </c>
      <c r="W126" s="303">
        <v>27.13</v>
      </c>
      <c r="X126" s="303">
        <v>27.13</v>
      </c>
      <c r="Y126" s="303">
        <v>27.13</v>
      </c>
      <c r="Z126" s="303">
        <v>27.13</v>
      </c>
      <c r="AA126" s="303">
        <v>27.13</v>
      </c>
      <c r="AB126" s="303">
        <v>27.13</v>
      </c>
      <c r="AC126" s="303">
        <v>27.13</v>
      </c>
      <c r="AD126" s="303">
        <v>27.13</v>
      </c>
      <c r="AE126" s="303">
        <v>27.13</v>
      </c>
      <c r="AF126" s="303">
        <v>27.13</v>
      </c>
      <c r="AG126" s="303">
        <v>27.13</v>
      </c>
      <c r="AH126" s="303">
        <v>27.13</v>
      </c>
      <c r="AI126" s="303">
        <v>27.13</v>
      </c>
      <c r="AJ126" s="303">
        <v>27.13</v>
      </c>
      <c r="AK126" s="303">
        <v>27.13</v>
      </c>
      <c r="AL126" s="303">
        <v>27.13</v>
      </c>
      <c r="AM126" s="303">
        <v>27.13</v>
      </c>
      <c r="AN126" s="303">
        <v>27.13</v>
      </c>
      <c r="AO126" s="303">
        <v>27.13</v>
      </c>
      <c r="AP126" s="303">
        <v>27.13</v>
      </c>
      <c r="AQ126" s="303">
        <v>27.13</v>
      </c>
      <c r="AR126" s="303">
        <v>27.13</v>
      </c>
      <c r="AS126" s="303">
        <v>27.13</v>
      </c>
      <c r="AT126" s="303">
        <v>27.13</v>
      </c>
      <c r="AU126" s="303">
        <v>27.13</v>
      </c>
      <c r="AV126" s="303">
        <v>27.13</v>
      </c>
      <c r="AW126" s="303">
        <v>27.13</v>
      </c>
      <c r="AX126" s="303">
        <v>27.13</v>
      </c>
      <c r="AY126" s="303">
        <v>27.13</v>
      </c>
      <c r="AZ126" s="303">
        <v>27.13</v>
      </c>
      <c r="BA126" s="303">
        <v>27.13</v>
      </c>
      <c r="BB126" s="303">
        <v>27.13</v>
      </c>
      <c r="BC126" s="303">
        <v>27.13</v>
      </c>
      <c r="BD126" s="303">
        <v>27.13</v>
      </c>
      <c r="BE126" s="303">
        <v>27.13</v>
      </c>
      <c r="BF126" s="303">
        <v>27.13</v>
      </c>
      <c r="BG126" s="303">
        <v>27.13</v>
      </c>
      <c r="BH126" s="303">
        <v>27.13</v>
      </c>
      <c r="BI126" s="303">
        <v>27.13</v>
      </c>
      <c r="BJ126" s="303">
        <v>27.13</v>
      </c>
      <c r="BK126" s="303">
        <v>27.13</v>
      </c>
      <c r="BL126" s="303">
        <v>27.13</v>
      </c>
      <c r="BM126" s="303">
        <v>27.13</v>
      </c>
      <c r="BN126" s="303">
        <v>27.13</v>
      </c>
      <c r="BO126" s="303">
        <v>27.13</v>
      </c>
      <c r="BP126" s="303">
        <v>27.13</v>
      </c>
      <c r="BQ126" s="303">
        <v>27.13</v>
      </c>
      <c r="BR126" s="303">
        <v>27.13</v>
      </c>
      <c r="BS126" s="303">
        <v>27.13</v>
      </c>
      <c r="BT126" s="303">
        <v>27.13</v>
      </c>
      <c r="BU126" s="303">
        <v>27.13</v>
      </c>
      <c r="BV126" s="303">
        <v>27.13</v>
      </c>
      <c r="BW126" s="303">
        <v>27.13</v>
      </c>
      <c r="BX126" s="303">
        <v>27.13</v>
      </c>
      <c r="BY126" s="303">
        <v>27.13</v>
      </c>
      <c r="BZ126" s="303">
        <v>27.13</v>
      </c>
      <c r="CA126" s="303">
        <v>27.13</v>
      </c>
      <c r="CB126" s="303">
        <v>27.13</v>
      </c>
      <c r="CC126" s="303">
        <v>27.13</v>
      </c>
      <c r="CD126" s="303">
        <v>27.13</v>
      </c>
      <c r="CE126" s="303">
        <v>27.13</v>
      </c>
      <c r="CF126" s="303">
        <v>27.13</v>
      </c>
      <c r="CG126" s="303">
        <v>27.13</v>
      </c>
      <c r="CH126" s="303">
        <v>27.13</v>
      </c>
      <c r="CI126" s="303">
        <v>27.13</v>
      </c>
      <c r="CJ126" s="303">
        <v>27.13</v>
      </c>
      <c r="CK126" s="303">
        <v>27.13</v>
      </c>
      <c r="CL126" s="303">
        <v>27.13</v>
      </c>
      <c r="CM126" s="303">
        <v>27.13</v>
      </c>
      <c r="CN126" s="303">
        <v>27.13</v>
      </c>
      <c r="CO126" s="303">
        <v>27.13</v>
      </c>
      <c r="CP126" s="303">
        <v>27.13</v>
      </c>
      <c r="CQ126" s="303">
        <v>27.13</v>
      </c>
      <c r="CR126" s="303">
        <v>27.13</v>
      </c>
      <c r="CS126" s="303">
        <v>27.13</v>
      </c>
      <c r="CT126" s="303">
        <v>27.13</v>
      </c>
      <c r="CU126" s="303">
        <v>27.13</v>
      </c>
      <c r="CV126" s="303">
        <v>27.13</v>
      </c>
      <c r="CW126" s="303">
        <v>27.13</v>
      </c>
      <c r="CX126" s="303">
        <v>27.13</v>
      </c>
      <c r="CY126" s="303">
        <v>27.13</v>
      </c>
      <c r="CZ126" s="303">
        <v>27.13</v>
      </c>
      <c r="DA126" s="303">
        <v>27.13</v>
      </c>
      <c r="DB126" s="303">
        <v>27.13</v>
      </c>
      <c r="DC126" s="303">
        <v>27.13</v>
      </c>
      <c r="DD126" s="303">
        <v>27.13</v>
      </c>
      <c r="DE126" s="303">
        <v>27.13</v>
      </c>
      <c r="DF126" s="303"/>
      <c r="DG126" s="303"/>
      <c r="DH126" s="303"/>
      <c r="DI126" s="303"/>
      <c r="DJ126" s="303"/>
      <c r="DK126" s="303"/>
      <c r="DL126" s="303"/>
    </row>
    <row r="127" spans="1:122" ht="15.75" customHeight="1" outlineLevel="1" x14ac:dyDescent="0.25">
      <c r="A127" s="751"/>
      <c r="B127" s="751"/>
      <c r="C127" s="321" t="s">
        <v>257</v>
      </c>
      <c r="D127" s="3"/>
      <c r="E127" s="280"/>
      <c r="F127" s="327"/>
      <c r="G127" s="329"/>
      <c r="H127" s="302">
        <f t="shared" ref="H127:DE127" si="120">H126*H123</f>
        <v>6.0207812311591571</v>
      </c>
      <c r="I127" s="303">
        <f t="shared" si="120"/>
        <v>6.0207812311591571</v>
      </c>
      <c r="J127" s="303">
        <f t="shared" si="120"/>
        <v>6.0207812311591571</v>
      </c>
      <c r="K127" s="303">
        <f t="shared" si="120"/>
        <v>6.0207812311591571</v>
      </c>
      <c r="L127" s="303">
        <f t="shared" si="120"/>
        <v>6.0207812311591571</v>
      </c>
      <c r="M127" s="303">
        <f t="shared" si="120"/>
        <v>6.0207812311591571</v>
      </c>
      <c r="N127" s="303">
        <f t="shared" si="120"/>
        <v>6.0207812311591571</v>
      </c>
      <c r="O127" s="303">
        <f t="shared" si="120"/>
        <v>6.0207812311591571</v>
      </c>
      <c r="P127" s="303">
        <f t="shared" si="120"/>
        <v>6.0207812311591571</v>
      </c>
      <c r="Q127" s="303">
        <f t="shared" si="120"/>
        <v>6.0207812311591571</v>
      </c>
      <c r="R127" s="303">
        <f t="shared" si="120"/>
        <v>6.0207812311591571</v>
      </c>
      <c r="S127" s="303">
        <f t="shared" si="120"/>
        <v>6.0207812311591571</v>
      </c>
      <c r="T127" s="303">
        <f t="shared" si="120"/>
        <v>6.0207812311591571</v>
      </c>
      <c r="U127" s="303">
        <f t="shared" si="120"/>
        <v>6.0207812311591571</v>
      </c>
      <c r="V127" s="303">
        <f t="shared" si="120"/>
        <v>6.0207812311591571</v>
      </c>
      <c r="W127" s="303">
        <f t="shared" si="120"/>
        <v>6.0207812311591571</v>
      </c>
      <c r="X127" s="303">
        <f t="shared" si="120"/>
        <v>6.0207812311591571</v>
      </c>
      <c r="Y127" s="303">
        <f t="shared" si="120"/>
        <v>6.0207812311591571</v>
      </c>
      <c r="Z127" s="303">
        <f t="shared" si="120"/>
        <v>6.0207812311591571</v>
      </c>
      <c r="AA127" s="303">
        <f t="shared" si="120"/>
        <v>6.0207812311591571</v>
      </c>
      <c r="AB127" s="303">
        <f t="shared" si="120"/>
        <v>6.0207812311591571</v>
      </c>
      <c r="AC127" s="303">
        <f t="shared" si="120"/>
        <v>6.0207812311591571</v>
      </c>
      <c r="AD127" s="303">
        <f t="shared" si="120"/>
        <v>6.0207812311591571</v>
      </c>
      <c r="AE127" s="303">
        <f t="shared" si="120"/>
        <v>6.0207812311591571</v>
      </c>
      <c r="AF127" s="303">
        <f t="shared" si="120"/>
        <v>6.0207812311591571</v>
      </c>
      <c r="AG127" s="303">
        <f t="shared" si="120"/>
        <v>6.0207812311591571</v>
      </c>
      <c r="AH127" s="303">
        <f t="shared" si="120"/>
        <v>6.0207812311591571</v>
      </c>
      <c r="AI127" s="303">
        <f t="shared" si="120"/>
        <v>6.0207812311591571</v>
      </c>
      <c r="AJ127" s="303">
        <f t="shared" si="120"/>
        <v>6.0207812311591571</v>
      </c>
      <c r="AK127" s="303">
        <f t="shared" si="120"/>
        <v>6.0207812311591571</v>
      </c>
      <c r="AL127" s="303">
        <f t="shared" si="120"/>
        <v>6.0207812311591571</v>
      </c>
      <c r="AM127" s="303">
        <f t="shared" si="120"/>
        <v>6.0207812311591571</v>
      </c>
      <c r="AN127" s="303">
        <f t="shared" si="120"/>
        <v>6.0207812311591571</v>
      </c>
      <c r="AO127" s="303">
        <f t="shared" si="120"/>
        <v>6.0207812311591571</v>
      </c>
      <c r="AP127" s="303">
        <f t="shared" si="120"/>
        <v>6.0207812311591571</v>
      </c>
      <c r="AQ127" s="303">
        <f t="shared" si="120"/>
        <v>6.0207812311591571</v>
      </c>
      <c r="AR127" s="303">
        <f t="shared" si="120"/>
        <v>6.0207812311591571</v>
      </c>
      <c r="AS127" s="303">
        <f t="shared" si="120"/>
        <v>6.0207812311591571</v>
      </c>
      <c r="AT127" s="303">
        <f t="shared" si="120"/>
        <v>6.0207812311591571</v>
      </c>
      <c r="AU127" s="303">
        <f t="shared" si="120"/>
        <v>6.0207812311591571</v>
      </c>
      <c r="AV127" s="303">
        <f t="shared" si="120"/>
        <v>6.0207812311591571</v>
      </c>
      <c r="AW127" s="303">
        <f t="shared" si="120"/>
        <v>6.0207812311591571</v>
      </c>
      <c r="AX127" s="303">
        <f t="shared" si="120"/>
        <v>6.0207812311591571</v>
      </c>
      <c r="AY127" s="303">
        <f t="shared" si="120"/>
        <v>6.0207812311591571</v>
      </c>
      <c r="AZ127" s="303">
        <f t="shared" si="120"/>
        <v>6.0207812311591571</v>
      </c>
      <c r="BA127" s="303">
        <f t="shared" si="120"/>
        <v>6.0207812311591571</v>
      </c>
      <c r="BB127" s="303">
        <f t="shared" si="120"/>
        <v>6.0207812311591571</v>
      </c>
      <c r="BC127" s="303">
        <f t="shared" si="120"/>
        <v>6.0207812311591571</v>
      </c>
      <c r="BD127" s="303">
        <f t="shared" si="120"/>
        <v>6.0207812311591571</v>
      </c>
      <c r="BE127" s="303">
        <f t="shared" si="120"/>
        <v>6.0207812311591571</v>
      </c>
      <c r="BF127" s="303">
        <f t="shared" si="120"/>
        <v>6.0207812311591571</v>
      </c>
      <c r="BG127" s="303">
        <f t="shared" si="120"/>
        <v>6.0207812311591571</v>
      </c>
      <c r="BH127" s="303">
        <f t="shared" si="120"/>
        <v>6.0207812311591571</v>
      </c>
      <c r="BI127" s="303">
        <f t="shared" si="120"/>
        <v>6.0207812311591571</v>
      </c>
      <c r="BJ127" s="303">
        <f t="shared" si="120"/>
        <v>6.0207812311591571</v>
      </c>
      <c r="BK127" s="303">
        <f t="shared" si="120"/>
        <v>6.0207812311591571</v>
      </c>
      <c r="BL127" s="303">
        <f t="shared" si="120"/>
        <v>6.0207812311591571</v>
      </c>
      <c r="BM127" s="303">
        <f t="shared" si="120"/>
        <v>6.0207812311591571</v>
      </c>
      <c r="BN127" s="303">
        <f t="shared" si="120"/>
        <v>6.0207812311591571</v>
      </c>
      <c r="BO127" s="303">
        <f t="shared" si="120"/>
        <v>6.0207812311591571</v>
      </c>
      <c r="BP127" s="303">
        <f t="shared" si="120"/>
        <v>6.0207812311591571</v>
      </c>
      <c r="BQ127" s="303">
        <f t="shared" si="120"/>
        <v>6.0207812311591571</v>
      </c>
      <c r="BR127" s="303">
        <f t="shared" si="120"/>
        <v>6.0207812311591571</v>
      </c>
      <c r="BS127" s="303">
        <f t="shared" si="120"/>
        <v>6.0207812311591571</v>
      </c>
      <c r="BT127" s="303">
        <f t="shared" si="120"/>
        <v>6.0207812311591571</v>
      </c>
      <c r="BU127" s="303">
        <f t="shared" si="120"/>
        <v>6.0207812311591571</v>
      </c>
      <c r="BV127" s="303">
        <f t="shared" si="120"/>
        <v>6.0207812311591571</v>
      </c>
      <c r="BW127" s="303">
        <f t="shared" si="120"/>
        <v>6.0207812311591571</v>
      </c>
      <c r="BX127" s="303">
        <f t="shared" si="120"/>
        <v>6.0207812311591571</v>
      </c>
      <c r="BY127" s="303">
        <f t="shared" si="120"/>
        <v>6.0207812311591571</v>
      </c>
      <c r="BZ127" s="303">
        <f t="shared" si="120"/>
        <v>6.0207812311591571</v>
      </c>
      <c r="CA127" s="303">
        <f t="shared" si="120"/>
        <v>6.0207812311591571</v>
      </c>
      <c r="CB127" s="303">
        <f t="shared" si="120"/>
        <v>6.0207812311591571</v>
      </c>
      <c r="CC127" s="303">
        <f t="shared" si="120"/>
        <v>6.0207812311591571</v>
      </c>
      <c r="CD127" s="303">
        <f t="shared" si="120"/>
        <v>6.0207812311591571</v>
      </c>
      <c r="CE127" s="303">
        <f t="shared" si="120"/>
        <v>6.0207812311591571</v>
      </c>
      <c r="CF127" s="303">
        <f t="shared" si="120"/>
        <v>6.0207812311591571</v>
      </c>
      <c r="CG127" s="303">
        <f t="shared" si="120"/>
        <v>6.0207812311591571</v>
      </c>
      <c r="CH127" s="303">
        <f t="shared" si="120"/>
        <v>6.0207812311591571</v>
      </c>
      <c r="CI127" s="303">
        <f t="shared" si="120"/>
        <v>6.0207812311591571</v>
      </c>
      <c r="CJ127" s="303">
        <f t="shared" si="120"/>
        <v>6.0207812311591571</v>
      </c>
      <c r="CK127" s="303">
        <f t="shared" si="120"/>
        <v>6.0207812311591571</v>
      </c>
      <c r="CL127" s="303">
        <f t="shared" si="120"/>
        <v>6.0207812311591571</v>
      </c>
      <c r="CM127" s="303">
        <f t="shared" si="120"/>
        <v>6.0207812311591571</v>
      </c>
      <c r="CN127" s="303">
        <f t="shared" si="120"/>
        <v>6.0207812311591571</v>
      </c>
      <c r="CO127" s="303">
        <f t="shared" si="120"/>
        <v>6.0207812311591571</v>
      </c>
      <c r="CP127" s="303">
        <f t="shared" si="120"/>
        <v>6.0207812311591571</v>
      </c>
      <c r="CQ127" s="303">
        <f t="shared" si="120"/>
        <v>6.0207812311591571</v>
      </c>
      <c r="CR127" s="303">
        <f t="shared" si="120"/>
        <v>6.0207812311591571</v>
      </c>
      <c r="CS127" s="303">
        <f t="shared" si="120"/>
        <v>6.0207812311591571</v>
      </c>
      <c r="CT127" s="303">
        <f t="shared" si="120"/>
        <v>6.0207812311591571</v>
      </c>
      <c r="CU127" s="303">
        <f t="shared" si="120"/>
        <v>6.0207812311591571</v>
      </c>
      <c r="CV127" s="303">
        <f t="shared" si="120"/>
        <v>6.0207812311591571</v>
      </c>
      <c r="CW127" s="303">
        <f t="shared" si="120"/>
        <v>6.0207812311591571</v>
      </c>
      <c r="CX127" s="303">
        <f t="shared" si="120"/>
        <v>6.0207812311591571</v>
      </c>
      <c r="CY127" s="303">
        <f t="shared" si="120"/>
        <v>6.0207812311591571</v>
      </c>
      <c r="CZ127" s="303">
        <f t="shared" si="120"/>
        <v>6.0207812311591571</v>
      </c>
      <c r="DA127" s="303">
        <f t="shared" si="120"/>
        <v>6.0207812311591571</v>
      </c>
      <c r="DB127" s="303">
        <f t="shared" si="120"/>
        <v>6.0207812311591571</v>
      </c>
      <c r="DC127" s="303">
        <f t="shared" si="120"/>
        <v>6.0207812311591571</v>
      </c>
      <c r="DD127" s="303">
        <f t="shared" si="120"/>
        <v>6.0207812311591571</v>
      </c>
      <c r="DE127" s="303">
        <f t="shared" si="120"/>
        <v>6.0207812311591571</v>
      </c>
      <c r="DF127" s="303"/>
      <c r="DG127" s="303"/>
      <c r="DH127" s="303"/>
      <c r="DI127" s="303"/>
      <c r="DJ127" s="303"/>
      <c r="DK127" s="303"/>
      <c r="DL127" s="303"/>
    </row>
    <row r="128" spans="1:122" ht="15.75" customHeight="1" outlineLevel="1" x14ac:dyDescent="0.25">
      <c r="A128" s="751"/>
      <c r="B128" s="751"/>
      <c r="C128" s="330" t="s">
        <v>179</v>
      </c>
      <c r="D128" s="331"/>
      <c r="E128" s="332"/>
      <c r="F128" s="333"/>
      <c r="G128" s="334"/>
      <c r="H128" s="335">
        <f>(((H125+H124)*H123)+H127)*'Unit Costs and Indicators'!$A$132</f>
        <v>314.4807291120369</v>
      </c>
      <c r="I128" s="336">
        <f>(((I125+I124)*I123)+I127)*'Unit Costs and Indicators'!$A$132</f>
        <v>314.4807291120369</v>
      </c>
      <c r="J128" s="336">
        <f>(((J125+J124)*J123)+J127)*'Unit Costs and Indicators'!$A$132</f>
        <v>314.4807291120369</v>
      </c>
      <c r="K128" s="336">
        <f>(((K125+K124)*K123)+K127)*'Unit Costs and Indicators'!$A$132</f>
        <v>314.4807291120369</v>
      </c>
      <c r="L128" s="336">
        <f>(((L125+L124)*L123)+L127)*'Unit Costs and Indicators'!$A$132</f>
        <v>314.4807291120369</v>
      </c>
      <c r="M128" s="336">
        <f>(((M125+M124)*M123)+M127)*'Unit Costs and Indicators'!$A$132</f>
        <v>314.4807291120369</v>
      </c>
      <c r="N128" s="336">
        <f>(((N125+N124)*N123)+N127)*'Unit Costs and Indicators'!$A$132</f>
        <v>314.4807291120369</v>
      </c>
      <c r="O128" s="336">
        <f>(((O125+O124)*O123)+O127)*'Unit Costs and Indicators'!$A$132</f>
        <v>314.4807291120369</v>
      </c>
      <c r="P128" s="336">
        <f>(((P125+P124)*P123)+P127)*'Unit Costs and Indicators'!$A$132</f>
        <v>314.4807291120369</v>
      </c>
      <c r="Q128" s="336">
        <f>(((Q125+Q124)*Q123)+Q127)*'Unit Costs and Indicators'!$A$132</f>
        <v>314.4807291120369</v>
      </c>
      <c r="R128" s="336">
        <f>(((R125+R124)*R123)+R127)*'Unit Costs and Indicators'!$A$132</f>
        <v>314.4807291120369</v>
      </c>
      <c r="S128" s="336">
        <f>(((S125+S124)*S123)+S127)*'Unit Costs and Indicators'!$A$132</f>
        <v>314.4807291120369</v>
      </c>
      <c r="T128" s="336">
        <f>(((T125+T124)*T123)+T127)*'Unit Costs and Indicators'!$A$132</f>
        <v>314.4807291120369</v>
      </c>
      <c r="U128" s="336">
        <f>(((U125+U124)*U123)+U127)*'Unit Costs and Indicators'!$A$132</f>
        <v>314.4807291120369</v>
      </c>
      <c r="V128" s="336">
        <f>(((V125+V124)*V123)+V127)*'Unit Costs and Indicators'!$A$132</f>
        <v>314.4807291120369</v>
      </c>
      <c r="W128" s="336">
        <f>(((W125+W124)*W123)+W127)*'Unit Costs and Indicators'!$A$132</f>
        <v>314.4807291120369</v>
      </c>
      <c r="X128" s="336">
        <f>(((X125+X124)*X123)+X127)*'Unit Costs and Indicators'!$A$132</f>
        <v>314.4807291120369</v>
      </c>
      <c r="Y128" s="336">
        <f>(((Y125+Y124)*Y123)+Y127)*'Unit Costs and Indicators'!$A$132</f>
        <v>314.4807291120369</v>
      </c>
      <c r="Z128" s="336">
        <f>(((Z125+Z124)*Z123)+Z127)*'Unit Costs and Indicators'!$A$132</f>
        <v>314.4807291120369</v>
      </c>
      <c r="AA128" s="336">
        <f>(((AA125+AA124)*AA123)+AA127)*'Unit Costs and Indicators'!$A$132</f>
        <v>314.4807291120369</v>
      </c>
      <c r="AB128" s="336">
        <f>(((AB125+AB124)*AB123)+AB127)*'Unit Costs and Indicators'!$A$132</f>
        <v>314.4807291120369</v>
      </c>
      <c r="AC128" s="336">
        <f>(((AC125+AC124)*AC123)+AC127)*'Unit Costs and Indicators'!$A$132</f>
        <v>314.4807291120369</v>
      </c>
      <c r="AD128" s="336">
        <f>(((AD125+AD124)*AD123)+AD127)*'Unit Costs and Indicators'!$A$132</f>
        <v>314.4807291120369</v>
      </c>
      <c r="AE128" s="336">
        <f>(((AE125+AE124)*AE123)+AE127)*'Unit Costs and Indicators'!$A$132</f>
        <v>314.4807291120369</v>
      </c>
      <c r="AF128" s="336">
        <f>(((AF125+AF124)*AF123)+AF127)*'Unit Costs and Indicators'!$A$132</f>
        <v>314.4807291120369</v>
      </c>
      <c r="AG128" s="336">
        <f>(((AG125+AG124)*AG123)+AG127)*'Unit Costs and Indicators'!$A$132</f>
        <v>314.4807291120369</v>
      </c>
      <c r="AH128" s="336">
        <f>(((AH125+AH124)*AH123)+AH127)*'Unit Costs and Indicators'!$A$132</f>
        <v>314.4807291120369</v>
      </c>
      <c r="AI128" s="336">
        <f>(((AI125+AI124)*AI123)+AI127)*'Unit Costs and Indicators'!$A$132</f>
        <v>314.4807291120369</v>
      </c>
      <c r="AJ128" s="336">
        <f>(((AJ125+AJ124)*AJ123)+AJ127)*'Unit Costs and Indicators'!$A$132</f>
        <v>314.4807291120369</v>
      </c>
      <c r="AK128" s="336">
        <f>(((AK125+AK124)*AK123)+AK127)*'Unit Costs and Indicators'!$A$132</f>
        <v>314.4807291120369</v>
      </c>
      <c r="AL128" s="336">
        <f>(((AL125+AL124)*AL123)+AL127)*'Unit Costs and Indicators'!$A$132</f>
        <v>314.4807291120369</v>
      </c>
      <c r="AM128" s="336">
        <f>(((AM125+AM124)*AM123)+AM127)*'Unit Costs and Indicators'!$A$132</f>
        <v>314.4807291120369</v>
      </c>
      <c r="AN128" s="336">
        <f>(((AN125+AN124)*AN123)+AN127)*'Unit Costs and Indicators'!$A$132</f>
        <v>314.4807291120369</v>
      </c>
      <c r="AO128" s="336">
        <f>(((AO125+AO124)*AO123)+AO127)*'Unit Costs and Indicators'!$A$132</f>
        <v>314.4807291120369</v>
      </c>
      <c r="AP128" s="336">
        <f>(((AP125+AP124)*AP123)+AP127)*'Unit Costs and Indicators'!$A$132</f>
        <v>314.4807291120369</v>
      </c>
      <c r="AQ128" s="336">
        <f>(((AQ125+AQ124)*AQ123)+AQ127)*'Unit Costs and Indicators'!$A$132</f>
        <v>314.4807291120369</v>
      </c>
      <c r="AR128" s="336">
        <f>(((AR125+AR124)*AR123)+AR127)*'Unit Costs and Indicators'!$A$132</f>
        <v>314.4807291120369</v>
      </c>
      <c r="AS128" s="336">
        <f>(((AS125+AS124)*AS123)+AS127)*'Unit Costs and Indicators'!$A$132</f>
        <v>314.4807291120369</v>
      </c>
      <c r="AT128" s="336">
        <f>(((AT125+AT124)*AT123)+AT127)*'Unit Costs and Indicators'!$A$132</f>
        <v>314.4807291120369</v>
      </c>
      <c r="AU128" s="336">
        <f>(((AU125+AU124)*AU123)+AU127)*'Unit Costs and Indicators'!$A$132</f>
        <v>314.4807291120369</v>
      </c>
      <c r="AV128" s="336">
        <f>(((AV125+AV124)*AV123)+AV127)*'Unit Costs and Indicators'!$A$132</f>
        <v>314.4807291120369</v>
      </c>
      <c r="AW128" s="336">
        <f>(((AW125+AW124)*AW123)+AW127)*'Unit Costs and Indicators'!$A$132</f>
        <v>314.4807291120369</v>
      </c>
      <c r="AX128" s="336">
        <f>(((AX125+AX124)*AX123)+AX127)*'Unit Costs and Indicators'!$A$132</f>
        <v>314.4807291120369</v>
      </c>
      <c r="AY128" s="336">
        <f>(((AY125+AY124)*AY123)+AY127)*'Unit Costs and Indicators'!$A$132</f>
        <v>314.4807291120369</v>
      </c>
      <c r="AZ128" s="336">
        <f>(((AZ125+AZ124)*AZ123)+AZ127)*'Unit Costs and Indicators'!$A$132</f>
        <v>314.4807291120369</v>
      </c>
      <c r="BA128" s="336">
        <f>(((BA125+BA124)*BA123)+BA127)*'Unit Costs and Indicators'!$A$132</f>
        <v>314.4807291120369</v>
      </c>
      <c r="BB128" s="336">
        <f>(((BB125+BB124)*BB123)+BB127)*'Unit Costs and Indicators'!$A$132</f>
        <v>314.4807291120369</v>
      </c>
      <c r="BC128" s="336">
        <f>(((BC125+BC124)*BC123)+BC127)*'Unit Costs and Indicators'!$A$132</f>
        <v>314.4807291120369</v>
      </c>
      <c r="BD128" s="336">
        <f>(((BD125+BD124)*BD123)+BD127)*'Unit Costs and Indicators'!$A$132</f>
        <v>314.4807291120369</v>
      </c>
      <c r="BE128" s="336">
        <f>(((BE125+BE124)*BE123)+BE127)*'Unit Costs and Indicators'!$A$132</f>
        <v>314.4807291120369</v>
      </c>
      <c r="BF128" s="336">
        <f>(((BF125+BF124)*BF123)+BF127)*'Unit Costs and Indicators'!$A$132</f>
        <v>314.4807291120369</v>
      </c>
      <c r="BG128" s="336">
        <f>(((BG125+BG124)*BG123)+BG127)*'Unit Costs and Indicators'!$A$132</f>
        <v>314.4807291120369</v>
      </c>
      <c r="BH128" s="336">
        <f>(((BH125+BH124)*BH123)+BH127)*'Unit Costs and Indicators'!$A$132</f>
        <v>314.4807291120369</v>
      </c>
      <c r="BI128" s="336">
        <f>(((BI125+BI124)*BI123)+BI127)*'Unit Costs and Indicators'!$A$132</f>
        <v>314.4807291120369</v>
      </c>
      <c r="BJ128" s="336">
        <f>(((BJ125+BJ124)*BJ123)+BJ127)*'Unit Costs and Indicators'!$A$132</f>
        <v>314.4807291120369</v>
      </c>
      <c r="BK128" s="336">
        <f>(((BK125+BK124)*BK123)+BK127)*'Unit Costs and Indicators'!$A$132</f>
        <v>314.4807291120369</v>
      </c>
      <c r="BL128" s="336">
        <f>(((BL125+BL124)*BL123)+BL127)*'Unit Costs and Indicators'!$A$132</f>
        <v>314.4807291120369</v>
      </c>
      <c r="BM128" s="336">
        <f>(((BM125+BM124)*BM123)+BM127)*'Unit Costs and Indicators'!$A$132</f>
        <v>314.4807291120369</v>
      </c>
      <c r="BN128" s="336">
        <f>(((BN125+BN124)*BN123)+BN127)*'Unit Costs and Indicators'!$A$132</f>
        <v>314.4807291120369</v>
      </c>
      <c r="BO128" s="336">
        <f>(((BO125+BO124)*BO123)+BO127)*'Unit Costs and Indicators'!$A$132</f>
        <v>314.4807291120369</v>
      </c>
      <c r="BP128" s="336">
        <f>(((BP125+BP124)*BP123)+BP127)*'Unit Costs and Indicators'!$A$132</f>
        <v>314.4807291120369</v>
      </c>
      <c r="BQ128" s="336">
        <f>(((BQ125+BQ124)*BQ123)+BQ127)*'Unit Costs and Indicators'!$A$132</f>
        <v>314.4807291120369</v>
      </c>
      <c r="BR128" s="336">
        <f>(((BR125+BR124)*BR123)+BR127)*'Unit Costs and Indicators'!$A$132</f>
        <v>314.4807291120369</v>
      </c>
      <c r="BS128" s="336">
        <f>(((BS125+BS124)*BS123)+BS127)*'Unit Costs and Indicators'!$A$132</f>
        <v>314.4807291120369</v>
      </c>
      <c r="BT128" s="336">
        <f>(((BT125+BT124)*BT123)+BT127)*'Unit Costs and Indicators'!$A$132</f>
        <v>314.4807291120369</v>
      </c>
      <c r="BU128" s="336">
        <f>(((BU125+BU124)*BU123)+BU127)*'Unit Costs and Indicators'!$A$132</f>
        <v>314.4807291120369</v>
      </c>
      <c r="BV128" s="336">
        <f>(((BV125+BV124)*BV123)+BV127)*'Unit Costs and Indicators'!$A$132</f>
        <v>314.4807291120369</v>
      </c>
      <c r="BW128" s="336">
        <f>(((BW125+BW124)*BW123)+BW127)*'Unit Costs and Indicators'!$A$132</f>
        <v>314.4807291120369</v>
      </c>
      <c r="BX128" s="336">
        <f>(((BX125+BX124)*BX123)+BX127)*'Unit Costs and Indicators'!$A$132</f>
        <v>314.4807291120369</v>
      </c>
      <c r="BY128" s="336">
        <f>(((BY125+BY124)*BY123)+BY127)*'Unit Costs and Indicators'!$A$132</f>
        <v>314.4807291120369</v>
      </c>
      <c r="BZ128" s="336">
        <f>(((BZ125+BZ124)*BZ123)+BZ127)*'Unit Costs and Indicators'!$A$132</f>
        <v>314.4807291120369</v>
      </c>
      <c r="CA128" s="336">
        <f>(((CA125+CA124)*CA123)+CA127)*'Unit Costs and Indicators'!$A$132</f>
        <v>314.4807291120369</v>
      </c>
      <c r="CB128" s="336">
        <f>(((CB125+CB124)*CB123)+CB127)*'Unit Costs and Indicators'!$A$132</f>
        <v>314.4807291120369</v>
      </c>
      <c r="CC128" s="336">
        <f>(((CC125+CC124)*CC123)+CC127)*'Unit Costs and Indicators'!$A$132</f>
        <v>314.4807291120369</v>
      </c>
      <c r="CD128" s="336">
        <f>(((CD125+CD124)*CD123)+CD127)*'Unit Costs and Indicators'!$A$132</f>
        <v>314.4807291120369</v>
      </c>
      <c r="CE128" s="336">
        <f>(((CE125+CE124)*CE123)+CE127)*'Unit Costs and Indicators'!$A$132</f>
        <v>314.4807291120369</v>
      </c>
      <c r="CF128" s="336">
        <f>(((CF125+CF124)*CF123)+CF127)*'Unit Costs and Indicators'!$A$132</f>
        <v>314.4807291120369</v>
      </c>
      <c r="CG128" s="336">
        <f>(((CG125+CG124)*CG123)+CG127)*'Unit Costs and Indicators'!$A$132</f>
        <v>314.4807291120369</v>
      </c>
      <c r="CH128" s="336">
        <f>(((CH125+CH124)*CH123)+CH127)*'Unit Costs and Indicators'!$A$132</f>
        <v>314.4807291120369</v>
      </c>
      <c r="CI128" s="336">
        <f>(((CI125+CI124)*CI123)+CI127)*'Unit Costs and Indicators'!$A$132</f>
        <v>314.4807291120369</v>
      </c>
      <c r="CJ128" s="336">
        <f>(((CJ125+CJ124)*CJ123)+CJ127)*'Unit Costs and Indicators'!$A$132</f>
        <v>314.4807291120369</v>
      </c>
      <c r="CK128" s="336">
        <f>(((CK125+CK124)*CK123)+CK127)*'Unit Costs and Indicators'!$A$132</f>
        <v>314.4807291120369</v>
      </c>
      <c r="CL128" s="336">
        <f>(((CL125+CL124)*CL123)+CL127)*'Unit Costs and Indicators'!$A$132</f>
        <v>314.4807291120369</v>
      </c>
      <c r="CM128" s="336">
        <f>(((CM125+CM124)*CM123)+CM127)*'Unit Costs and Indicators'!$A$132</f>
        <v>314.4807291120369</v>
      </c>
      <c r="CN128" s="336">
        <f>(((CN125+CN124)*CN123)+CN127)*'Unit Costs and Indicators'!$A$132</f>
        <v>314.4807291120369</v>
      </c>
      <c r="CO128" s="336">
        <f>(((CO125+CO124)*CO123)+CO127)*'Unit Costs and Indicators'!$A$132</f>
        <v>314.4807291120369</v>
      </c>
      <c r="CP128" s="336">
        <f>(((CP125+CP124)*CP123)+CP127)*'Unit Costs and Indicators'!$A$132</f>
        <v>314.4807291120369</v>
      </c>
      <c r="CQ128" s="336">
        <f>(((CQ125+CQ124)*CQ123)+CQ127)*'Unit Costs and Indicators'!$A$132</f>
        <v>314.4807291120369</v>
      </c>
      <c r="CR128" s="336">
        <f>(((CR125+CR124)*CR123)+CR127)*'Unit Costs and Indicators'!$A$132</f>
        <v>314.4807291120369</v>
      </c>
      <c r="CS128" s="336">
        <f>(((CS125+CS124)*CS123)+CS127)*'Unit Costs and Indicators'!$A$132</f>
        <v>314.4807291120369</v>
      </c>
      <c r="CT128" s="336">
        <f>(((CT125+CT124)*CT123)+CT127)*'Unit Costs and Indicators'!$A$132</f>
        <v>314.4807291120369</v>
      </c>
      <c r="CU128" s="336">
        <f>(((CU125+CU124)*CU123)+CU127)*'Unit Costs and Indicators'!$A$132</f>
        <v>314.4807291120369</v>
      </c>
      <c r="CV128" s="336">
        <f>(((CV125+CV124)*CV123)+CV127)*'Unit Costs and Indicators'!$A$132</f>
        <v>314.4807291120369</v>
      </c>
      <c r="CW128" s="336">
        <f>(((CW125+CW124)*CW123)+CW127)*'Unit Costs and Indicators'!$A$132</f>
        <v>314.4807291120369</v>
      </c>
      <c r="CX128" s="336">
        <f>(((CX125+CX124)*CX123)+CX127)*'Unit Costs and Indicators'!$A$132</f>
        <v>314.4807291120369</v>
      </c>
      <c r="CY128" s="336">
        <f>(((CY125+CY124)*CY123)+CY127)*'Unit Costs and Indicators'!$A$132</f>
        <v>314.4807291120369</v>
      </c>
      <c r="CZ128" s="336">
        <f>(((CZ125+CZ124)*CZ123)+CZ127)*'Unit Costs and Indicators'!$A$132</f>
        <v>314.4807291120369</v>
      </c>
      <c r="DA128" s="336">
        <f>(((DA125+DA124)*DA123)+DA127)*'Unit Costs and Indicators'!$A$132</f>
        <v>314.4807291120369</v>
      </c>
      <c r="DB128" s="336">
        <f>(((DB125+DB124)*DB123)+DB127)*'Unit Costs and Indicators'!$A$132</f>
        <v>314.4807291120369</v>
      </c>
      <c r="DC128" s="336">
        <f>(((DC125+DC124)*DC123)+DC127)*'Unit Costs and Indicators'!$A$132</f>
        <v>314.4807291120369</v>
      </c>
      <c r="DD128" s="336">
        <f>(((DD125+DD124)*DD123)+DD127)*'Unit Costs and Indicators'!$A$132</f>
        <v>314.4807291120369</v>
      </c>
      <c r="DE128" s="336">
        <f>(((DE125+DE124)*DE123)+DE127)*'Unit Costs and Indicators'!$A$132</f>
        <v>314.4807291120369</v>
      </c>
      <c r="DF128" s="337"/>
      <c r="DG128" s="337"/>
      <c r="DH128" s="337"/>
      <c r="DI128" s="337"/>
      <c r="DJ128" s="337"/>
      <c r="DK128" s="337"/>
      <c r="DL128" s="337"/>
    </row>
    <row r="129" spans="1:116" ht="15.75" customHeight="1" outlineLevel="1" x14ac:dyDescent="0.25">
      <c r="A129" s="751"/>
      <c r="B129" s="751"/>
      <c r="C129" s="338" t="s">
        <v>258</v>
      </c>
      <c r="D129" s="339" t="s">
        <v>259</v>
      </c>
      <c r="E129" s="340">
        <f>(2.08/1000)</f>
        <v>2.0800000000000003E-3</v>
      </c>
      <c r="F129" s="341"/>
      <c r="G129" s="342" t="s">
        <v>260</v>
      </c>
      <c r="H129" s="343">
        <f>E129*(1+0.11)</f>
        <v>2.3088000000000006E-3</v>
      </c>
      <c r="I129" s="344">
        <f t="shared" ref="I129" si="121">H129*(1+0.11)</f>
        <v>2.5627680000000009E-3</v>
      </c>
      <c r="J129" s="344">
        <f t="shared" ref="J129" si="122">I129*(1+0.11)</f>
        <v>2.844672480000001E-3</v>
      </c>
      <c r="K129" s="344">
        <f t="shared" ref="K129" si="123">J129*(1+0.11)</f>
        <v>3.1575864528000015E-3</v>
      </c>
      <c r="L129" s="344">
        <f t="shared" ref="L129" si="124">K129*(1+0.11)</f>
        <v>3.5049209626080019E-3</v>
      </c>
      <c r="M129" s="344">
        <f t="shared" ref="M129" si="125">L129*(1+0.11)</f>
        <v>3.8904622684948825E-3</v>
      </c>
      <c r="N129" s="344">
        <f t="shared" ref="N129" si="126">M129*(1+0.11)</f>
        <v>4.3184131180293199E-3</v>
      </c>
      <c r="O129" s="344">
        <f t="shared" ref="O129" si="127">N129*(1+0.11)</f>
        <v>4.7934385610125451E-3</v>
      </c>
      <c r="P129" s="344">
        <f t="shared" ref="P129" si="128">O129*(1+0.11)</f>
        <v>5.3207168027239252E-3</v>
      </c>
      <c r="Q129" s="344">
        <f t="shared" ref="Q129" si="129">P129*(1+0.11)</f>
        <v>5.9059956510235578E-3</v>
      </c>
      <c r="R129" s="344">
        <f t="shared" ref="R129" si="130">Q129*(1+0.11)</f>
        <v>6.5556551726361498E-3</v>
      </c>
      <c r="S129" s="344">
        <f t="shared" ref="S129" si="131">R129*(1+0.11)</f>
        <v>7.276777241626127E-3</v>
      </c>
      <c r="T129" s="344">
        <f t="shared" ref="T129" si="132">S129*(1+0.11)</f>
        <v>8.0772227382050008E-3</v>
      </c>
      <c r="U129" s="344">
        <f t="shared" ref="U129" si="133">T129*(1+0.11)</f>
        <v>8.9657172394075509E-3</v>
      </c>
      <c r="V129" s="344">
        <f t="shared" ref="V129" si="134">U129*(1+0.11)</f>
        <v>9.9519461357423823E-3</v>
      </c>
      <c r="W129" s="344">
        <f t="shared" ref="W129" si="135">V129*(1+0.11)</f>
        <v>1.1046660210674046E-2</v>
      </c>
      <c r="X129" s="344">
        <f t="shared" ref="X129" si="136">W129*(1+0.11)</f>
        <v>1.2261792833848192E-2</v>
      </c>
      <c r="Y129" s="344">
        <f t="shared" ref="Y129" si="137">X129*(1+0.11)</f>
        <v>1.3610590045571495E-2</v>
      </c>
      <c r="Z129" s="344">
        <f t="shared" ref="Z129" si="138">Y129*(1+0.11)</f>
        <v>1.5107754950584361E-2</v>
      </c>
      <c r="AA129" s="344">
        <f t="shared" ref="AA129" si="139">Z129*(1+0.11)</f>
        <v>1.6769607995148643E-2</v>
      </c>
      <c r="AB129" s="344">
        <f t="shared" ref="AB129" si="140">AA129*(1+0.11)</f>
        <v>1.8614264874614997E-2</v>
      </c>
      <c r="AC129" s="344">
        <f t="shared" ref="AC129" si="141">AB129*(1+0.11)</f>
        <v>2.0661834010822649E-2</v>
      </c>
      <c r="AD129" s="344">
        <f t="shared" ref="AD129" si="142">AC129*(1+0.11)</f>
        <v>2.2934635752013141E-2</v>
      </c>
      <c r="AE129" s="344">
        <f t="shared" ref="AE129" si="143">AD129*(1+0.11)</f>
        <v>2.5457445684734587E-2</v>
      </c>
      <c r="AF129" s="344">
        <f t="shared" ref="AF129" si="144">AE129*(1+0.11)</f>
        <v>2.8257764710055394E-2</v>
      </c>
      <c r="AG129" s="344">
        <f t="shared" ref="AG129" si="145">AF129*(1+0.11)</f>
        <v>3.1366118828161489E-2</v>
      </c>
      <c r="AH129" s="344">
        <f t="shared" ref="AH129" si="146">AG129*(1+0.11)</f>
        <v>3.4816391899259259E-2</v>
      </c>
      <c r="AI129" s="344">
        <f t="shared" ref="AI129" si="147">AH129</f>
        <v>3.4816391899259259E-2</v>
      </c>
      <c r="AJ129" s="344">
        <f t="shared" ref="AJ129" si="148">AI129</f>
        <v>3.4816391899259259E-2</v>
      </c>
      <c r="AK129" s="344">
        <f t="shared" ref="AK129" si="149">AJ129</f>
        <v>3.4816391899259259E-2</v>
      </c>
      <c r="AL129" s="344">
        <f t="shared" ref="AL129" si="150">AK129</f>
        <v>3.4816391899259259E-2</v>
      </c>
      <c r="AM129" s="344">
        <f t="shared" ref="AM129" si="151">AL129</f>
        <v>3.4816391899259259E-2</v>
      </c>
      <c r="AN129" s="344">
        <f t="shared" ref="AN129" si="152">AM129</f>
        <v>3.4816391899259259E-2</v>
      </c>
      <c r="AO129" s="344">
        <f t="shared" ref="AO129" si="153">AN129</f>
        <v>3.4816391899259259E-2</v>
      </c>
      <c r="AP129" s="344">
        <f t="shared" ref="AP129" si="154">AO129</f>
        <v>3.4816391899259259E-2</v>
      </c>
      <c r="AQ129" s="344">
        <f t="shared" ref="AQ129" si="155">AP129</f>
        <v>3.4816391899259259E-2</v>
      </c>
      <c r="AR129" s="344">
        <f t="shared" ref="AR129" si="156">AQ129</f>
        <v>3.4816391899259259E-2</v>
      </c>
      <c r="AS129" s="344">
        <f t="shared" ref="AS129" si="157">AR129</f>
        <v>3.4816391899259259E-2</v>
      </c>
      <c r="AT129" s="344">
        <f t="shared" ref="AT129" si="158">AS129</f>
        <v>3.4816391899259259E-2</v>
      </c>
      <c r="AU129" s="344">
        <f t="shared" ref="AU129" si="159">AT129</f>
        <v>3.4816391899259259E-2</v>
      </c>
      <c r="AV129" s="344">
        <f t="shared" ref="AV129" si="160">AU129</f>
        <v>3.4816391899259259E-2</v>
      </c>
      <c r="AW129" s="344">
        <f t="shared" ref="AW129" si="161">AV129</f>
        <v>3.4816391899259259E-2</v>
      </c>
      <c r="AX129" s="344">
        <f t="shared" ref="AX129" si="162">AW129</f>
        <v>3.4816391899259259E-2</v>
      </c>
      <c r="AY129" s="344">
        <f t="shared" ref="AY129" si="163">AX129</f>
        <v>3.4816391899259259E-2</v>
      </c>
      <c r="AZ129" s="344">
        <f t="shared" ref="AZ129" si="164">AY129</f>
        <v>3.4816391899259259E-2</v>
      </c>
      <c r="BA129" s="344">
        <f t="shared" ref="BA129" si="165">AZ129</f>
        <v>3.4816391899259259E-2</v>
      </c>
      <c r="BB129" s="344">
        <f t="shared" ref="BB129" si="166">BA129</f>
        <v>3.4816391899259259E-2</v>
      </c>
      <c r="BC129" s="344">
        <f t="shared" ref="BC129" si="167">BB129</f>
        <v>3.4816391899259259E-2</v>
      </c>
      <c r="BD129" s="344">
        <f t="shared" ref="BD129" si="168">BC129</f>
        <v>3.4816391899259259E-2</v>
      </c>
      <c r="BE129" s="344">
        <f t="shared" ref="BE129" si="169">BD129</f>
        <v>3.4816391899259259E-2</v>
      </c>
      <c r="BF129" s="344">
        <f t="shared" ref="BF129" si="170">BE129</f>
        <v>3.4816391899259259E-2</v>
      </c>
      <c r="BG129" s="344">
        <f t="shared" ref="BG129" si="171">BF129</f>
        <v>3.4816391899259259E-2</v>
      </c>
      <c r="BH129" s="344">
        <f t="shared" ref="BH129" si="172">BG129</f>
        <v>3.4816391899259259E-2</v>
      </c>
      <c r="BI129" s="344">
        <f t="shared" ref="BI129" si="173">BH129</f>
        <v>3.4816391899259259E-2</v>
      </c>
      <c r="BJ129" s="344">
        <f t="shared" ref="BJ129" si="174">BI129</f>
        <v>3.4816391899259259E-2</v>
      </c>
      <c r="BK129" s="344">
        <f t="shared" ref="BK129" si="175">BJ129</f>
        <v>3.4816391899259259E-2</v>
      </c>
      <c r="BL129" s="344">
        <f t="shared" ref="BL129" si="176">BK129</f>
        <v>3.4816391899259259E-2</v>
      </c>
      <c r="BM129" s="344">
        <f t="shared" ref="BM129" si="177">BL129</f>
        <v>3.4816391899259259E-2</v>
      </c>
      <c r="BN129" s="344">
        <f t="shared" ref="BN129" si="178">BM129</f>
        <v>3.4816391899259259E-2</v>
      </c>
      <c r="BO129" s="344">
        <f t="shared" ref="BO129" si="179">BN129</f>
        <v>3.4816391899259259E-2</v>
      </c>
      <c r="BP129" s="344">
        <f t="shared" ref="BP129" si="180">BO129</f>
        <v>3.4816391899259259E-2</v>
      </c>
      <c r="BQ129" s="344">
        <f t="shared" ref="BQ129" si="181">BP129</f>
        <v>3.4816391899259259E-2</v>
      </c>
      <c r="BR129" s="344">
        <f t="shared" ref="BR129" si="182">BQ129</f>
        <v>3.4816391899259259E-2</v>
      </c>
      <c r="BS129" s="344">
        <f t="shared" ref="BS129" si="183">BR129</f>
        <v>3.4816391899259259E-2</v>
      </c>
      <c r="BT129" s="344">
        <f t="shared" ref="BT129" si="184">BS129</f>
        <v>3.4816391899259259E-2</v>
      </c>
      <c r="BU129" s="344">
        <f t="shared" ref="BU129" si="185">BT129</f>
        <v>3.4816391899259259E-2</v>
      </c>
      <c r="BV129" s="344">
        <f t="shared" ref="BV129" si="186">BU129</f>
        <v>3.4816391899259259E-2</v>
      </c>
      <c r="BW129" s="344">
        <f t="shared" ref="BW129" si="187">BV129</f>
        <v>3.4816391899259259E-2</v>
      </c>
      <c r="BX129" s="344">
        <f t="shared" ref="BX129" si="188">BW129</f>
        <v>3.4816391899259259E-2</v>
      </c>
      <c r="BY129" s="344">
        <f t="shared" ref="BY129" si="189">BX129</f>
        <v>3.4816391899259259E-2</v>
      </c>
      <c r="BZ129" s="344">
        <f t="shared" ref="BZ129" si="190">BY129</f>
        <v>3.4816391899259259E-2</v>
      </c>
      <c r="CA129" s="344">
        <f t="shared" ref="CA129" si="191">BZ129</f>
        <v>3.4816391899259259E-2</v>
      </c>
      <c r="CB129" s="344">
        <f t="shared" ref="CB129" si="192">CA129</f>
        <v>3.4816391899259259E-2</v>
      </c>
      <c r="CC129" s="344">
        <f t="shared" ref="CC129" si="193">CB129</f>
        <v>3.4816391899259259E-2</v>
      </c>
      <c r="CD129" s="344">
        <f t="shared" ref="CD129" si="194">CC129</f>
        <v>3.4816391899259259E-2</v>
      </c>
      <c r="CE129" s="344">
        <f t="shared" ref="CE129" si="195">CD129</f>
        <v>3.4816391899259259E-2</v>
      </c>
      <c r="CF129" s="344">
        <f t="shared" ref="CF129" si="196">CE129</f>
        <v>3.4816391899259259E-2</v>
      </c>
      <c r="CG129" s="344">
        <f t="shared" ref="CG129" si="197">CF129</f>
        <v>3.4816391899259259E-2</v>
      </c>
      <c r="CH129" s="344">
        <f t="shared" ref="CH129" si="198">CG129</f>
        <v>3.4816391899259259E-2</v>
      </c>
      <c r="CI129" s="344">
        <f t="shared" ref="CI129" si="199">CH129</f>
        <v>3.4816391899259259E-2</v>
      </c>
      <c r="CJ129" s="344">
        <f t="shared" ref="CJ129" si="200">CI129</f>
        <v>3.4816391899259259E-2</v>
      </c>
      <c r="CK129" s="344">
        <f t="shared" ref="CK129" si="201">CJ129</f>
        <v>3.4816391899259259E-2</v>
      </c>
      <c r="CL129" s="344">
        <f t="shared" ref="CL129" si="202">CK129</f>
        <v>3.4816391899259259E-2</v>
      </c>
      <c r="CM129" s="344">
        <f t="shared" ref="CM129" si="203">CL129</f>
        <v>3.4816391899259259E-2</v>
      </c>
      <c r="CN129" s="344">
        <f t="shared" ref="CN129" si="204">CM129</f>
        <v>3.4816391899259259E-2</v>
      </c>
      <c r="CO129" s="344">
        <f t="shared" ref="CO129" si="205">CN129</f>
        <v>3.4816391899259259E-2</v>
      </c>
      <c r="CP129" s="344">
        <f t="shared" ref="CP129" si="206">CO129</f>
        <v>3.4816391899259259E-2</v>
      </c>
      <c r="CQ129" s="344">
        <f t="shared" ref="CQ129" si="207">CP129</f>
        <v>3.4816391899259259E-2</v>
      </c>
      <c r="CR129" s="344">
        <f t="shared" ref="CR129" si="208">CQ129</f>
        <v>3.4816391899259259E-2</v>
      </c>
      <c r="CS129" s="344">
        <f t="shared" ref="CS129" si="209">CR129</f>
        <v>3.4816391899259259E-2</v>
      </c>
      <c r="CT129" s="344">
        <f t="shared" ref="CT129" si="210">CS129</f>
        <v>3.4816391899259259E-2</v>
      </c>
      <c r="CU129" s="344">
        <f t="shared" ref="CU129" si="211">CT129</f>
        <v>3.4816391899259259E-2</v>
      </c>
      <c r="CV129" s="344">
        <f t="shared" ref="CV129" si="212">CU129</f>
        <v>3.4816391899259259E-2</v>
      </c>
      <c r="CW129" s="344">
        <f t="shared" ref="CW129" si="213">CV129</f>
        <v>3.4816391899259259E-2</v>
      </c>
      <c r="CX129" s="344">
        <f t="shared" ref="CX129" si="214">CW129</f>
        <v>3.4816391899259259E-2</v>
      </c>
      <c r="CY129" s="344">
        <f t="shared" ref="CY129" si="215">CX129</f>
        <v>3.4816391899259259E-2</v>
      </c>
      <c r="CZ129" s="344">
        <f t="shared" ref="CZ129" si="216">CY129</f>
        <v>3.4816391899259259E-2</v>
      </c>
      <c r="DA129" s="344">
        <f t="shared" ref="DA129" si="217">CZ129</f>
        <v>3.4816391899259259E-2</v>
      </c>
      <c r="DB129" s="344">
        <f t="shared" ref="DB129" si="218">DA129</f>
        <v>3.4816391899259259E-2</v>
      </c>
      <c r="DC129" s="344">
        <f t="shared" ref="DC129" si="219">DB129</f>
        <v>3.4816391899259259E-2</v>
      </c>
      <c r="DD129" s="344">
        <f t="shared" ref="DD129" si="220">DC129</f>
        <v>3.4816391899259259E-2</v>
      </c>
      <c r="DE129" s="344">
        <f t="shared" ref="DE129" si="221">DD129</f>
        <v>3.4816391899259259E-2</v>
      </c>
      <c r="DF129" s="344"/>
      <c r="DG129" s="344"/>
      <c r="DH129" s="344"/>
      <c r="DI129" s="344"/>
      <c r="DJ129" s="344"/>
      <c r="DK129" s="344"/>
      <c r="DL129" s="344"/>
    </row>
    <row r="130" spans="1:116" ht="15.75" customHeight="1" outlineLevel="1" x14ac:dyDescent="0.25">
      <c r="A130" s="751"/>
      <c r="B130" s="751"/>
      <c r="C130" s="321" t="s">
        <v>261</v>
      </c>
      <c r="D130" s="279" t="s">
        <v>262</v>
      </c>
      <c r="E130" s="280"/>
      <c r="F130" s="279"/>
      <c r="G130" s="279"/>
      <c r="H130" s="345">
        <f t="shared" ref="H130:AM130" si="222">H129*H16</f>
        <v>5.5618992000000013E-2</v>
      </c>
      <c r="I130" s="345">
        <f t="shared" si="222"/>
        <v>6.2045766525600017E-2</v>
      </c>
      <c r="J130" s="345">
        <f t="shared" si="222"/>
        <v>6.921515484763309E-2</v>
      </c>
      <c r="K130" s="345">
        <f t="shared" si="222"/>
        <v>7.7212965990277105E-2</v>
      </c>
      <c r="L130" s="345">
        <f t="shared" si="222"/>
        <v>8.6134924210453601E-2</v>
      </c>
      <c r="M130" s="345">
        <f t="shared" si="222"/>
        <v>9.6087814702971522E-2</v>
      </c>
      <c r="N130" s="345">
        <f t="shared" si="222"/>
        <v>0.10719076169189988</v>
      </c>
      <c r="O130" s="345">
        <f t="shared" si="222"/>
        <v>0.1195766542053989</v>
      </c>
      <c r="P130" s="345">
        <f t="shared" si="222"/>
        <v>0.13339373659883272</v>
      </c>
      <c r="Q130" s="345">
        <f t="shared" si="222"/>
        <v>0.14880738286282785</v>
      </c>
      <c r="R130" s="345">
        <f t="shared" si="222"/>
        <v>0.16600207595262761</v>
      </c>
      <c r="S130" s="345">
        <f t="shared" si="222"/>
        <v>0.18518361582895373</v>
      </c>
      <c r="T130" s="345">
        <f t="shared" si="222"/>
        <v>0.20658158263798931</v>
      </c>
      <c r="U130" s="345">
        <f t="shared" si="222"/>
        <v>0.23045208451180896</v>
      </c>
      <c r="V130" s="345">
        <f t="shared" si="222"/>
        <v>0.25708082287714851</v>
      </c>
      <c r="W130" s="345">
        <f t="shared" si="222"/>
        <v>0.28678651196060295</v>
      </c>
      <c r="X130" s="345">
        <f t="shared" si="222"/>
        <v>0.31992469341765067</v>
      </c>
      <c r="Y130" s="345">
        <f t="shared" si="222"/>
        <v>0.35689199174206021</v>
      </c>
      <c r="Z130" s="345">
        <f t="shared" si="222"/>
        <v>0.39813086138785519</v>
      </c>
      <c r="AA130" s="345">
        <f t="shared" si="222"/>
        <v>0.44413488242122195</v>
      </c>
      <c r="AB130" s="345">
        <f t="shared" si="222"/>
        <v>0.49545466808499417</v>
      </c>
      <c r="AC130" s="345">
        <f t="shared" si="222"/>
        <v>0.55270445498221532</v>
      </c>
      <c r="AD130" s="345">
        <f t="shared" si="222"/>
        <v>0.61656945475541025</v>
      </c>
      <c r="AE130" s="345">
        <f t="shared" si="222"/>
        <v>0.6878140552523978</v>
      </c>
      <c r="AF130" s="345">
        <f t="shared" si="222"/>
        <v>0.7672909693368124</v>
      </c>
      <c r="AG130" s="345">
        <f t="shared" si="222"/>
        <v>0.85595144084368091</v>
      </c>
      <c r="AH130" s="345">
        <f t="shared" si="222"/>
        <v>0.95485662983316832</v>
      </c>
      <c r="AI130" s="345">
        <f t="shared" si="222"/>
        <v>0.95485662983316832</v>
      </c>
      <c r="AJ130" s="345">
        <f t="shared" si="222"/>
        <v>0.95485662983316832</v>
      </c>
      <c r="AK130" s="345">
        <f t="shared" si="222"/>
        <v>0.95485662983316832</v>
      </c>
      <c r="AL130" s="345">
        <f t="shared" si="222"/>
        <v>0.95485662983316832</v>
      </c>
      <c r="AM130" s="345">
        <f t="shared" si="222"/>
        <v>0.95485662983316832</v>
      </c>
      <c r="AN130" s="345">
        <f t="shared" ref="AN130:BS130" si="223">AN129*AN16</f>
        <v>0.95485662983316832</v>
      </c>
      <c r="AO130" s="345">
        <f t="shared" si="223"/>
        <v>0.95485662983316832</v>
      </c>
      <c r="AP130" s="345">
        <f t="shared" si="223"/>
        <v>0.95485662983316832</v>
      </c>
      <c r="AQ130" s="345">
        <f t="shared" si="223"/>
        <v>0.95485662983316832</v>
      </c>
      <c r="AR130" s="345">
        <f t="shared" si="223"/>
        <v>0.95485662983316832</v>
      </c>
      <c r="AS130" s="345">
        <f t="shared" si="223"/>
        <v>0.95485662983316832</v>
      </c>
      <c r="AT130" s="345">
        <f t="shared" si="223"/>
        <v>0.95485662983316832</v>
      </c>
      <c r="AU130" s="345">
        <f t="shared" si="223"/>
        <v>0.95485662983316832</v>
      </c>
      <c r="AV130" s="345">
        <f t="shared" si="223"/>
        <v>0.95485662983316832</v>
      </c>
      <c r="AW130" s="345">
        <f t="shared" si="223"/>
        <v>0.95485662983316832</v>
      </c>
      <c r="AX130" s="345">
        <f t="shared" si="223"/>
        <v>0.95485662983316832</v>
      </c>
      <c r="AY130" s="345">
        <f t="shared" si="223"/>
        <v>0.95485662983316832</v>
      </c>
      <c r="AZ130" s="345">
        <f t="shared" si="223"/>
        <v>0.95485662983316832</v>
      </c>
      <c r="BA130" s="345">
        <f t="shared" si="223"/>
        <v>0.95485662983316832</v>
      </c>
      <c r="BB130" s="345">
        <f t="shared" si="223"/>
        <v>0.95485662983316832</v>
      </c>
      <c r="BC130" s="345">
        <f t="shared" si="223"/>
        <v>0.95485662983316832</v>
      </c>
      <c r="BD130" s="345">
        <f t="shared" si="223"/>
        <v>0.95485662983316832</v>
      </c>
      <c r="BE130" s="345">
        <f t="shared" si="223"/>
        <v>0.95485662983316832</v>
      </c>
      <c r="BF130" s="345">
        <f t="shared" si="223"/>
        <v>0.95485662983316832</v>
      </c>
      <c r="BG130" s="345">
        <f t="shared" si="223"/>
        <v>0.95485662983316832</v>
      </c>
      <c r="BH130" s="345">
        <f t="shared" si="223"/>
        <v>0.95485662983316832</v>
      </c>
      <c r="BI130" s="345">
        <f t="shared" si="223"/>
        <v>0.95485662983316832</v>
      </c>
      <c r="BJ130" s="345">
        <f t="shared" si="223"/>
        <v>0.95485662983316832</v>
      </c>
      <c r="BK130" s="345">
        <f t="shared" si="223"/>
        <v>0.95485662983316832</v>
      </c>
      <c r="BL130" s="345">
        <f t="shared" si="223"/>
        <v>0.95485662983316832</v>
      </c>
      <c r="BM130" s="345">
        <f t="shared" si="223"/>
        <v>0.95485662983316832</v>
      </c>
      <c r="BN130" s="345">
        <f t="shared" si="223"/>
        <v>0.95485662983316832</v>
      </c>
      <c r="BO130" s="345">
        <f t="shared" si="223"/>
        <v>0.95485662983316832</v>
      </c>
      <c r="BP130" s="345">
        <f t="shared" si="223"/>
        <v>0.95485662983316832</v>
      </c>
      <c r="BQ130" s="345">
        <f t="shared" si="223"/>
        <v>0.95485662983316832</v>
      </c>
      <c r="BR130" s="345">
        <f t="shared" si="223"/>
        <v>0.95485662983316832</v>
      </c>
      <c r="BS130" s="345">
        <f t="shared" si="223"/>
        <v>0.95485662983316832</v>
      </c>
      <c r="BT130" s="345">
        <f t="shared" ref="BT130:CY130" si="224">BT129*BT16</f>
        <v>0.95485662983316832</v>
      </c>
      <c r="BU130" s="345">
        <f t="shared" si="224"/>
        <v>0.95485662983316832</v>
      </c>
      <c r="BV130" s="345">
        <f t="shared" si="224"/>
        <v>0.95485662983316832</v>
      </c>
      <c r="BW130" s="345">
        <f t="shared" si="224"/>
        <v>0.95485662983316832</v>
      </c>
      <c r="BX130" s="345">
        <f t="shared" si="224"/>
        <v>0.95485662983316832</v>
      </c>
      <c r="BY130" s="345">
        <f t="shared" si="224"/>
        <v>0.95485662983316832</v>
      </c>
      <c r="BZ130" s="345">
        <f t="shared" si="224"/>
        <v>0.95485662983316832</v>
      </c>
      <c r="CA130" s="345">
        <f t="shared" si="224"/>
        <v>0.95485662983316832</v>
      </c>
      <c r="CB130" s="345">
        <f t="shared" si="224"/>
        <v>0.95485662983316832</v>
      </c>
      <c r="CC130" s="345">
        <f t="shared" si="224"/>
        <v>0.95485662983316832</v>
      </c>
      <c r="CD130" s="345">
        <f t="shared" si="224"/>
        <v>0.95485662983316832</v>
      </c>
      <c r="CE130" s="345">
        <f t="shared" si="224"/>
        <v>0.95485662983316832</v>
      </c>
      <c r="CF130" s="345">
        <f t="shared" si="224"/>
        <v>0.95485662983316832</v>
      </c>
      <c r="CG130" s="345">
        <f t="shared" si="224"/>
        <v>0.95485662983316832</v>
      </c>
      <c r="CH130" s="345">
        <f t="shared" si="224"/>
        <v>0.95485662983316832</v>
      </c>
      <c r="CI130" s="345">
        <f t="shared" si="224"/>
        <v>0.95485662983316832</v>
      </c>
      <c r="CJ130" s="345">
        <f t="shared" si="224"/>
        <v>0.95485662983316832</v>
      </c>
      <c r="CK130" s="345">
        <f t="shared" si="224"/>
        <v>0.95485662983316832</v>
      </c>
      <c r="CL130" s="345">
        <f t="shared" si="224"/>
        <v>0.95485662983316832</v>
      </c>
      <c r="CM130" s="345">
        <f t="shared" si="224"/>
        <v>0.95485662983316832</v>
      </c>
      <c r="CN130" s="345">
        <f t="shared" si="224"/>
        <v>0.95485662983316832</v>
      </c>
      <c r="CO130" s="345">
        <f t="shared" si="224"/>
        <v>0.95485662983316832</v>
      </c>
      <c r="CP130" s="345">
        <f t="shared" si="224"/>
        <v>0.95485662983316832</v>
      </c>
      <c r="CQ130" s="345">
        <f t="shared" si="224"/>
        <v>0.95485662983316832</v>
      </c>
      <c r="CR130" s="345">
        <f t="shared" si="224"/>
        <v>0.95485662983316832</v>
      </c>
      <c r="CS130" s="345">
        <f t="shared" si="224"/>
        <v>0.95485662983316832</v>
      </c>
      <c r="CT130" s="345">
        <f t="shared" si="224"/>
        <v>0.95485662983316832</v>
      </c>
      <c r="CU130" s="345">
        <f t="shared" si="224"/>
        <v>0.95485662983316832</v>
      </c>
      <c r="CV130" s="345">
        <f t="shared" si="224"/>
        <v>0.95485662983316832</v>
      </c>
      <c r="CW130" s="345">
        <f t="shared" si="224"/>
        <v>0.95485662983316832</v>
      </c>
      <c r="CX130" s="345">
        <f t="shared" si="224"/>
        <v>0.95485662983316832</v>
      </c>
      <c r="CY130" s="345">
        <f t="shared" si="224"/>
        <v>0.95485662983316832</v>
      </c>
      <c r="CZ130" s="345">
        <f t="shared" ref="CZ130:DE130" si="225">CZ129*CZ16</f>
        <v>0.95485662983316832</v>
      </c>
      <c r="DA130" s="345">
        <f t="shared" si="225"/>
        <v>0.95485662983316832</v>
      </c>
      <c r="DB130" s="345">
        <f t="shared" si="225"/>
        <v>0.95485662983316832</v>
      </c>
      <c r="DC130" s="345">
        <f t="shared" si="225"/>
        <v>0.95485662983316832</v>
      </c>
      <c r="DD130" s="345">
        <f t="shared" si="225"/>
        <v>0.95485662983316832</v>
      </c>
      <c r="DE130" s="345">
        <f t="shared" si="225"/>
        <v>0.95485662983316832</v>
      </c>
      <c r="DF130" s="346"/>
      <c r="DG130" s="346"/>
      <c r="DH130" s="346"/>
      <c r="DI130" s="346"/>
      <c r="DJ130" s="346"/>
      <c r="DK130" s="346"/>
      <c r="DL130" s="346"/>
    </row>
    <row r="131" spans="1:116" ht="15.75" customHeight="1" outlineLevel="1" x14ac:dyDescent="0.25">
      <c r="A131" s="751"/>
      <c r="B131" s="751"/>
      <c r="C131" s="321" t="s">
        <v>263</v>
      </c>
      <c r="D131" s="279"/>
      <c r="E131" s="280"/>
      <c r="F131" s="279"/>
      <c r="G131" s="279"/>
      <c r="H131" s="345">
        <f>H130*H125</f>
        <v>1.1902464288000001</v>
      </c>
      <c r="I131" s="346">
        <f t="shared" ref="I131:DE131" si="226">I130*I125</f>
        <v>1.3277794036478403</v>
      </c>
      <c r="J131" s="346">
        <f t="shared" si="226"/>
        <v>1.481204313739348</v>
      </c>
      <c r="K131" s="346">
        <f t="shared" si="226"/>
        <v>1.6523574721919299</v>
      </c>
      <c r="L131" s="346">
        <f t="shared" si="226"/>
        <v>1.8432873781037069</v>
      </c>
      <c r="M131" s="346">
        <f t="shared" si="226"/>
        <v>2.0562792346435903</v>
      </c>
      <c r="N131" s="346">
        <f t="shared" si="226"/>
        <v>2.2938823002066573</v>
      </c>
      <c r="O131" s="346">
        <f t="shared" si="226"/>
        <v>2.558940399995536</v>
      </c>
      <c r="P131" s="346">
        <f t="shared" si="226"/>
        <v>2.8546259632150202</v>
      </c>
      <c r="Q131" s="346">
        <f t="shared" si="226"/>
        <v>3.1844779932645157</v>
      </c>
      <c r="R131" s="346">
        <f t="shared" si="226"/>
        <v>3.5524444253862306</v>
      </c>
      <c r="S131" s="346">
        <f t="shared" si="226"/>
        <v>3.9629293787396098</v>
      </c>
      <c r="T131" s="346">
        <f t="shared" si="226"/>
        <v>4.4208458684529708</v>
      </c>
      <c r="U131" s="346">
        <f t="shared" si="226"/>
        <v>4.9316746085527114</v>
      </c>
      <c r="V131" s="346">
        <f t="shared" si="226"/>
        <v>5.5015296095709774</v>
      </c>
      <c r="W131" s="346">
        <f t="shared" si="226"/>
        <v>6.1372313559569029</v>
      </c>
      <c r="X131" s="346">
        <f t="shared" si="226"/>
        <v>6.8463884391377237</v>
      </c>
      <c r="Y131" s="346">
        <f t="shared" si="226"/>
        <v>7.6374886232800883</v>
      </c>
      <c r="Z131" s="346">
        <f t="shared" si="226"/>
        <v>8.5200004337001012</v>
      </c>
      <c r="AA131" s="346">
        <f t="shared" si="226"/>
        <v>9.5044864838141496</v>
      </c>
      <c r="AB131" s="346">
        <f t="shared" si="226"/>
        <v>10.602729897018875</v>
      </c>
      <c r="AC131" s="346">
        <f t="shared" si="226"/>
        <v>11.827875336619407</v>
      </c>
      <c r="AD131" s="346">
        <f t="shared" si="226"/>
        <v>13.194586331765779</v>
      </c>
      <c r="AE131" s="346">
        <f t="shared" si="226"/>
        <v>14.719220782401312</v>
      </c>
      <c r="AF131" s="346">
        <f t="shared" si="226"/>
        <v>16.420026743807785</v>
      </c>
      <c r="AG131" s="346">
        <f t="shared" si="226"/>
        <v>18.317360834054771</v>
      </c>
      <c r="AH131" s="346">
        <f t="shared" si="226"/>
        <v>20.433931878429799</v>
      </c>
      <c r="AI131" s="346">
        <f t="shared" si="226"/>
        <v>20.433931878429799</v>
      </c>
      <c r="AJ131" s="346">
        <f t="shared" si="226"/>
        <v>20.433931878429799</v>
      </c>
      <c r="AK131" s="346">
        <f t="shared" si="226"/>
        <v>20.433931878429799</v>
      </c>
      <c r="AL131" s="346">
        <f t="shared" si="226"/>
        <v>20.433931878429799</v>
      </c>
      <c r="AM131" s="346">
        <f t="shared" si="226"/>
        <v>20.433931878429799</v>
      </c>
      <c r="AN131" s="346">
        <f t="shared" si="226"/>
        <v>20.433931878429799</v>
      </c>
      <c r="AO131" s="346">
        <f t="shared" si="226"/>
        <v>20.433931878429799</v>
      </c>
      <c r="AP131" s="346">
        <f t="shared" si="226"/>
        <v>20.433931878429799</v>
      </c>
      <c r="AQ131" s="346">
        <f t="shared" si="226"/>
        <v>20.433931878429799</v>
      </c>
      <c r="AR131" s="346">
        <f t="shared" si="226"/>
        <v>20.433931878429799</v>
      </c>
      <c r="AS131" s="346">
        <f t="shared" si="226"/>
        <v>20.433931878429799</v>
      </c>
      <c r="AT131" s="346">
        <f t="shared" si="226"/>
        <v>20.433931878429799</v>
      </c>
      <c r="AU131" s="346">
        <f t="shared" si="226"/>
        <v>20.433931878429799</v>
      </c>
      <c r="AV131" s="346">
        <f t="shared" si="226"/>
        <v>20.433931878429799</v>
      </c>
      <c r="AW131" s="346">
        <f t="shared" si="226"/>
        <v>20.433931878429799</v>
      </c>
      <c r="AX131" s="346">
        <f t="shared" si="226"/>
        <v>20.433931878429799</v>
      </c>
      <c r="AY131" s="346">
        <f t="shared" si="226"/>
        <v>20.433931878429799</v>
      </c>
      <c r="AZ131" s="346">
        <f t="shared" si="226"/>
        <v>20.433931878429799</v>
      </c>
      <c r="BA131" s="346">
        <f t="shared" si="226"/>
        <v>20.433931878429799</v>
      </c>
      <c r="BB131" s="346">
        <f t="shared" si="226"/>
        <v>20.433931878429799</v>
      </c>
      <c r="BC131" s="346">
        <f t="shared" si="226"/>
        <v>20.433931878429799</v>
      </c>
      <c r="BD131" s="346">
        <f t="shared" si="226"/>
        <v>20.433931878429799</v>
      </c>
      <c r="BE131" s="346">
        <f t="shared" si="226"/>
        <v>20.433931878429799</v>
      </c>
      <c r="BF131" s="346">
        <f t="shared" si="226"/>
        <v>20.433931878429799</v>
      </c>
      <c r="BG131" s="346">
        <f t="shared" si="226"/>
        <v>20.433931878429799</v>
      </c>
      <c r="BH131" s="346">
        <f t="shared" si="226"/>
        <v>20.433931878429799</v>
      </c>
      <c r="BI131" s="346">
        <f t="shared" si="226"/>
        <v>20.433931878429799</v>
      </c>
      <c r="BJ131" s="346">
        <f t="shared" si="226"/>
        <v>20.433931878429799</v>
      </c>
      <c r="BK131" s="346">
        <f t="shared" si="226"/>
        <v>20.433931878429799</v>
      </c>
      <c r="BL131" s="346">
        <f t="shared" si="226"/>
        <v>20.433931878429799</v>
      </c>
      <c r="BM131" s="346">
        <f t="shared" si="226"/>
        <v>20.433931878429799</v>
      </c>
      <c r="BN131" s="346">
        <f t="shared" si="226"/>
        <v>20.433931878429799</v>
      </c>
      <c r="BO131" s="346">
        <f t="shared" si="226"/>
        <v>20.433931878429799</v>
      </c>
      <c r="BP131" s="346">
        <f t="shared" si="226"/>
        <v>20.433931878429799</v>
      </c>
      <c r="BQ131" s="346">
        <f t="shared" si="226"/>
        <v>20.433931878429799</v>
      </c>
      <c r="BR131" s="346">
        <f t="shared" si="226"/>
        <v>20.433931878429799</v>
      </c>
      <c r="BS131" s="346">
        <f t="shared" si="226"/>
        <v>20.433931878429799</v>
      </c>
      <c r="BT131" s="346">
        <f t="shared" si="226"/>
        <v>20.433931878429799</v>
      </c>
      <c r="BU131" s="346">
        <f t="shared" si="226"/>
        <v>20.433931878429799</v>
      </c>
      <c r="BV131" s="346">
        <f t="shared" si="226"/>
        <v>20.433931878429799</v>
      </c>
      <c r="BW131" s="346">
        <f t="shared" si="226"/>
        <v>20.433931878429799</v>
      </c>
      <c r="BX131" s="346">
        <f t="shared" si="226"/>
        <v>20.433931878429799</v>
      </c>
      <c r="BY131" s="346">
        <f t="shared" si="226"/>
        <v>20.433931878429799</v>
      </c>
      <c r="BZ131" s="346">
        <f t="shared" si="226"/>
        <v>20.433931878429799</v>
      </c>
      <c r="CA131" s="346">
        <f t="shared" si="226"/>
        <v>20.433931878429799</v>
      </c>
      <c r="CB131" s="346">
        <f t="shared" si="226"/>
        <v>20.433931878429799</v>
      </c>
      <c r="CC131" s="346">
        <f t="shared" si="226"/>
        <v>20.433931878429799</v>
      </c>
      <c r="CD131" s="346">
        <f t="shared" si="226"/>
        <v>20.433931878429799</v>
      </c>
      <c r="CE131" s="346">
        <f t="shared" si="226"/>
        <v>20.433931878429799</v>
      </c>
      <c r="CF131" s="346">
        <f t="shared" si="226"/>
        <v>20.433931878429799</v>
      </c>
      <c r="CG131" s="346">
        <f t="shared" si="226"/>
        <v>20.433931878429799</v>
      </c>
      <c r="CH131" s="346">
        <f t="shared" si="226"/>
        <v>20.433931878429799</v>
      </c>
      <c r="CI131" s="346">
        <f t="shared" si="226"/>
        <v>20.433931878429799</v>
      </c>
      <c r="CJ131" s="346">
        <f t="shared" si="226"/>
        <v>20.433931878429799</v>
      </c>
      <c r="CK131" s="346">
        <f t="shared" si="226"/>
        <v>20.433931878429799</v>
      </c>
      <c r="CL131" s="346">
        <f t="shared" si="226"/>
        <v>20.433931878429799</v>
      </c>
      <c r="CM131" s="346">
        <f t="shared" si="226"/>
        <v>20.433931878429799</v>
      </c>
      <c r="CN131" s="346">
        <f t="shared" si="226"/>
        <v>20.433931878429799</v>
      </c>
      <c r="CO131" s="346">
        <f t="shared" si="226"/>
        <v>20.433931878429799</v>
      </c>
      <c r="CP131" s="346">
        <f t="shared" si="226"/>
        <v>20.433931878429799</v>
      </c>
      <c r="CQ131" s="346">
        <f t="shared" si="226"/>
        <v>20.433931878429799</v>
      </c>
      <c r="CR131" s="346">
        <f t="shared" si="226"/>
        <v>20.433931878429799</v>
      </c>
      <c r="CS131" s="346">
        <f t="shared" si="226"/>
        <v>20.433931878429799</v>
      </c>
      <c r="CT131" s="346">
        <f t="shared" si="226"/>
        <v>20.433931878429799</v>
      </c>
      <c r="CU131" s="346">
        <f t="shared" si="226"/>
        <v>20.433931878429799</v>
      </c>
      <c r="CV131" s="346">
        <f t="shared" si="226"/>
        <v>20.433931878429799</v>
      </c>
      <c r="CW131" s="346">
        <f t="shared" si="226"/>
        <v>20.433931878429799</v>
      </c>
      <c r="CX131" s="346">
        <f t="shared" si="226"/>
        <v>20.433931878429799</v>
      </c>
      <c r="CY131" s="346">
        <f t="shared" si="226"/>
        <v>20.433931878429799</v>
      </c>
      <c r="CZ131" s="346">
        <f t="shared" si="226"/>
        <v>20.433931878429799</v>
      </c>
      <c r="DA131" s="346">
        <f t="shared" si="226"/>
        <v>20.433931878429799</v>
      </c>
      <c r="DB131" s="346">
        <f t="shared" si="226"/>
        <v>20.433931878429799</v>
      </c>
      <c r="DC131" s="346">
        <f t="shared" si="226"/>
        <v>20.433931878429799</v>
      </c>
      <c r="DD131" s="346">
        <f t="shared" si="226"/>
        <v>20.433931878429799</v>
      </c>
      <c r="DE131" s="346">
        <f t="shared" si="226"/>
        <v>20.433931878429799</v>
      </c>
      <c r="DF131" s="346"/>
      <c r="DG131" s="346"/>
      <c r="DH131" s="346"/>
      <c r="DI131" s="346"/>
      <c r="DJ131" s="346"/>
      <c r="DK131" s="346"/>
      <c r="DL131" s="346"/>
    </row>
    <row r="132" spans="1:116" ht="15.75" customHeight="1" outlineLevel="1" x14ac:dyDescent="0.25">
      <c r="A132" s="751"/>
      <c r="B132" s="751"/>
      <c r="C132" s="347" t="s">
        <v>244</v>
      </c>
      <c r="D132" s="348"/>
      <c r="E132" s="349"/>
      <c r="F132" s="348"/>
      <c r="G132" s="348"/>
      <c r="H132" s="350">
        <f>'Unit Costs and Indicators'!$A$132*I131</f>
        <v>34.888836916893005</v>
      </c>
      <c r="I132" s="351">
        <f>'Unit Costs and Indicators'!$A$132*I131</f>
        <v>34.888836916893005</v>
      </c>
      <c r="J132" s="352">
        <f>'Unit Costs and Indicators'!$A$132*J131</f>
        <v>38.920242022639989</v>
      </c>
      <c r="K132" s="352">
        <f>'Unit Costs and Indicators'!$A$132*K131</f>
        <v>43.417475988356045</v>
      </c>
      <c r="L132" s="352">
        <f>'Unit Costs and Indicators'!$A$132*L131</f>
        <v>48.434365338810572</v>
      </c>
      <c r="M132" s="352">
        <f>'Unit Costs and Indicators'!$A$132*M131</f>
        <v>54.030956253710137</v>
      </c>
      <c r="N132" s="352">
        <f>'Unit Costs and Indicators'!$A$132*N131</f>
        <v>60.274233248826349</v>
      </c>
      <c r="O132" s="352">
        <f>'Unit Costs and Indicators'!$A$132*O131</f>
        <v>67.238920900728218</v>
      </c>
      <c r="P132" s="352">
        <f>'Unit Costs and Indicators'!$A$132*P131</f>
        <v>75.008378210807365</v>
      </c>
      <c r="Q132" s="352">
        <f>'Unit Costs and Indicators'!$A$132*Q131</f>
        <v>83.675596313066151</v>
      </c>
      <c r="R132" s="352">
        <f>'Unit Costs and Indicators'!$A$132*R131</f>
        <v>93.344311467040953</v>
      </c>
      <c r="S132" s="352">
        <f>'Unit Costs and Indicators'!$A$132*S131</f>
        <v>104.13024665705754</v>
      </c>
      <c r="T132" s="352">
        <f>'Unit Costs and Indicators'!$A$132*T131</f>
        <v>116.16249665828052</v>
      </c>
      <c r="U132" s="352">
        <f>'Unit Costs and Indicators'!$A$132*U131</f>
        <v>129.58507314714481</v>
      </c>
      <c r="V132" s="352">
        <f>'Unit Costs and Indicators'!$A$132*V131</f>
        <v>144.55862834929741</v>
      </c>
      <c r="W132" s="352">
        <f>'Unit Costs and Indicators'!$A$132*W131</f>
        <v>161.2623778550587</v>
      </c>
      <c r="X132" s="352">
        <f>'Unit Costs and Indicators'!$A$132*X131</f>
        <v>179.89624561621076</v>
      </c>
      <c r="Y132" s="352">
        <f>'Unit Costs and Indicators'!$A$132*Y131</f>
        <v>200.68325679716392</v>
      </c>
      <c r="Z132" s="352">
        <f>'Unit Costs and Indicators'!$A$132*Z131</f>
        <v>223.87220712007618</v>
      </c>
      <c r="AA132" s="352">
        <f>'Unit Costs and Indicators'!$A$132*AA131</f>
        <v>249.74064065280103</v>
      </c>
      <c r="AB132" s="352">
        <f>'Unit Costs and Indicators'!$A$132*AB131</f>
        <v>278.59817168023221</v>
      </c>
      <c r="AC132" s="352">
        <f>'Unit Costs and Indicators'!$A$132*AC131</f>
        <v>310.79019041788303</v>
      </c>
      <c r="AD132" s="352">
        <f>'Unit Costs and Indicators'!$A$132*AD131</f>
        <v>346.70199692066939</v>
      </c>
      <c r="AE132" s="352">
        <f>'Unit Costs and Indicators'!$A$132*AE131</f>
        <v>386.76341266485269</v>
      </c>
      <c r="AF132" s="352">
        <f>'Unit Costs and Indicators'!$A$132*AF131</f>
        <v>431.45392499827648</v>
      </c>
      <c r="AG132" s="352">
        <f>'Unit Costs and Indicators'!$A$132*AG131</f>
        <v>481.3084260318272</v>
      </c>
      <c r="AH132" s="352">
        <f>'Unit Costs and Indicators'!$A$132*AH131</f>
        <v>536.9236146598048</v>
      </c>
      <c r="AI132" s="352">
        <f>'Unit Costs and Indicators'!$A$132*AI131</f>
        <v>536.9236146598048</v>
      </c>
      <c r="AJ132" s="352">
        <f>'Unit Costs and Indicators'!$A$132*AJ131</f>
        <v>536.9236146598048</v>
      </c>
      <c r="AK132" s="352">
        <f>'Unit Costs and Indicators'!$A$132*AK131</f>
        <v>536.9236146598048</v>
      </c>
      <c r="AL132" s="352">
        <f>'Unit Costs and Indicators'!$A$132*AL131</f>
        <v>536.9236146598048</v>
      </c>
      <c r="AM132" s="352">
        <f>'Unit Costs and Indicators'!$A$132*AM131</f>
        <v>536.9236146598048</v>
      </c>
      <c r="AN132" s="352">
        <f>'Unit Costs and Indicators'!$A$132*AN131</f>
        <v>536.9236146598048</v>
      </c>
      <c r="AO132" s="352">
        <f>'Unit Costs and Indicators'!$A$132*AO131</f>
        <v>536.9236146598048</v>
      </c>
      <c r="AP132" s="352">
        <f>'Unit Costs and Indicators'!$A$132*AP131</f>
        <v>536.9236146598048</v>
      </c>
      <c r="AQ132" s="352">
        <f>'Unit Costs and Indicators'!$A$132*AQ131</f>
        <v>536.9236146598048</v>
      </c>
      <c r="AR132" s="352">
        <f>'Unit Costs and Indicators'!$A$132*AR131</f>
        <v>536.9236146598048</v>
      </c>
      <c r="AS132" s="352">
        <f>'Unit Costs and Indicators'!$A$132*AS131</f>
        <v>536.9236146598048</v>
      </c>
      <c r="AT132" s="352">
        <f>'Unit Costs and Indicators'!$A$132*AT131</f>
        <v>536.9236146598048</v>
      </c>
      <c r="AU132" s="352">
        <f>'Unit Costs and Indicators'!$A$132*AU131</f>
        <v>536.9236146598048</v>
      </c>
      <c r="AV132" s="352">
        <f>'Unit Costs and Indicators'!$A$132*AV131</f>
        <v>536.9236146598048</v>
      </c>
      <c r="AW132" s="352">
        <f>'Unit Costs and Indicators'!$A$132*AW131</f>
        <v>536.9236146598048</v>
      </c>
      <c r="AX132" s="352">
        <f>'Unit Costs and Indicators'!$A$132*AX131</f>
        <v>536.9236146598048</v>
      </c>
      <c r="AY132" s="352">
        <f>'Unit Costs and Indicators'!$A$132*AY131</f>
        <v>536.9236146598048</v>
      </c>
      <c r="AZ132" s="352">
        <f>'Unit Costs and Indicators'!$A$132*AZ131</f>
        <v>536.9236146598048</v>
      </c>
      <c r="BA132" s="352">
        <f>'Unit Costs and Indicators'!$A$132*BA131</f>
        <v>536.9236146598048</v>
      </c>
      <c r="BB132" s="352">
        <f>'Unit Costs and Indicators'!$A$132*BB131</f>
        <v>536.9236146598048</v>
      </c>
      <c r="BC132" s="352">
        <f>'Unit Costs and Indicators'!$A$132*BC131</f>
        <v>536.9236146598048</v>
      </c>
      <c r="BD132" s="352">
        <f>'Unit Costs and Indicators'!$A$132*BD131</f>
        <v>536.9236146598048</v>
      </c>
      <c r="BE132" s="352">
        <f>'Unit Costs and Indicators'!$A$132*BE131</f>
        <v>536.9236146598048</v>
      </c>
      <c r="BF132" s="352">
        <f>'Unit Costs and Indicators'!$A$132*BF131</f>
        <v>536.9236146598048</v>
      </c>
      <c r="BG132" s="352">
        <f>'Unit Costs and Indicators'!$A$132*BG131</f>
        <v>536.9236146598048</v>
      </c>
      <c r="BH132" s="352">
        <f>'Unit Costs and Indicators'!$A$132*BH131</f>
        <v>536.9236146598048</v>
      </c>
      <c r="BI132" s="352">
        <f>'Unit Costs and Indicators'!$A$132*BI131</f>
        <v>536.9236146598048</v>
      </c>
      <c r="BJ132" s="352">
        <f>'Unit Costs and Indicators'!$A$132*BJ131</f>
        <v>536.9236146598048</v>
      </c>
      <c r="BK132" s="352">
        <f>'Unit Costs and Indicators'!$A$132*BK131</f>
        <v>536.9236146598048</v>
      </c>
      <c r="BL132" s="352">
        <f>'Unit Costs and Indicators'!$A$132*BL131</f>
        <v>536.9236146598048</v>
      </c>
      <c r="BM132" s="352">
        <f>'Unit Costs and Indicators'!$A$132*BM131</f>
        <v>536.9236146598048</v>
      </c>
      <c r="BN132" s="352">
        <f>'Unit Costs and Indicators'!$A$132*BN131</f>
        <v>536.9236146598048</v>
      </c>
      <c r="BO132" s="352">
        <f>'Unit Costs and Indicators'!$A$132*BO131</f>
        <v>536.9236146598048</v>
      </c>
      <c r="BP132" s="352">
        <f>'Unit Costs and Indicators'!$A$132*BP131</f>
        <v>536.9236146598048</v>
      </c>
      <c r="BQ132" s="352">
        <f>'Unit Costs and Indicators'!$A$132*BQ131</f>
        <v>536.9236146598048</v>
      </c>
      <c r="BR132" s="352">
        <f>'Unit Costs and Indicators'!$A$132*BR131</f>
        <v>536.9236146598048</v>
      </c>
      <c r="BS132" s="352">
        <f>'Unit Costs and Indicators'!$A$132*BS131</f>
        <v>536.9236146598048</v>
      </c>
      <c r="BT132" s="352">
        <f>'Unit Costs and Indicators'!$A$132*BT131</f>
        <v>536.9236146598048</v>
      </c>
      <c r="BU132" s="352">
        <f>'Unit Costs and Indicators'!$A$132*BU131</f>
        <v>536.9236146598048</v>
      </c>
      <c r="BV132" s="352">
        <f>'Unit Costs and Indicators'!$A$132*BV131</f>
        <v>536.9236146598048</v>
      </c>
      <c r="BW132" s="352">
        <f>'Unit Costs and Indicators'!$A$132*BW131</f>
        <v>536.9236146598048</v>
      </c>
      <c r="BX132" s="352">
        <f>'Unit Costs and Indicators'!$A$132*BX131</f>
        <v>536.9236146598048</v>
      </c>
      <c r="BY132" s="352">
        <f>'Unit Costs and Indicators'!$A$132*BY131</f>
        <v>536.9236146598048</v>
      </c>
      <c r="BZ132" s="352">
        <f>'Unit Costs and Indicators'!$A$132*BZ131</f>
        <v>536.9236146598048</v>
      </c>
      <c r="CA132" s="352">
        <f>'Unit Costs and Indicators'!$A$132*CA131</f>
        <v>536.9236146598048</v>
      </c>
      <c r="CB132" s="352">
        <f>'Unit Costs and Indicators'!$A$132*CB131</f>
        <v>536.9236146598048</v>
      </c>
      <c r="CC132" s="352">
        <f>'Unit Costs and Indicators'!$A$132*CC131</f>
        <v>536.9236146598048</v>
      </c>
      <c r="CD132" s="352">
        <f>'Unit Costs and Indicators'!$A$132*CD131</f>
        <v>536.9236146598048</v>
      </c>
      <c r="CE132" s="352">
        <f>'Unit Costs and Indicators'!$A$132*CE131</f>
        <v>536.9236146598048</v>
      </c>
      <c r="CF132" s="352">
        <f>'Unit Costs and Indicators'!$A$132*CF131</f>
        <v>536.9236146598048</v>
      </c>
      <c r="CG132" s="352">
        <f>'Unit Costs and Indicators'!$A$132*CG131</f>
        <v>536.9236146598048</v>
      </c>
      <c r="CH132" s="352">
        <f>'Unit Costs and Indicators'!$A$132*CH131</f>
        <v>536.9236146598048</v>
      </c>
      <c r="CI132" s="352">
        <f>'Unit Costs and Indicators'!$A$132*CI131</f>
        <v>536.9236146598048</v>
      </c>
      <c r="CJ132" s="352">
        <f>'Unit Costs and Indicators'!$A$132*CJ131</f>
        <v>536.9236146598048</v>
      </c>
      <c r="CK132" s="352">
        <f>'Unit Costs and Indicators'!$A$132*CK131</f>
        <v>536.9236146598048</v>
      </c>
      <c r="CL132" s="352">
        <f>'Unit Costs and Indicators'!$A$132*CL131</f>
        <v>536.9236146598048</v>
      </c>
      <c r="CM132" s="352">
        <f>'Unit Costs and Indicators'!$A$132*CM131</f>
        <v>536.9236146598048</v>
      </c>
      <c r="CN132" s="352">
        <f>'Unit Costs and Indicators'!$A$132*CN131</f>
        <v>536.9236146598048</v>
      </c>
      <c r="CO132" s="352">
        <f>'Unit Costs and Indicators'!$A$132*CO131</f>
        <v>536.9236146598048</v>
      </c>
      <c r="CP132" s="352">
        <f>'Unit Costs and Indicators'!$A$132*CP131</f>
        <v>536.9236146598048</v>
      </c>
      <c r="CQ132" s="352">
        <f>'Unit Costs and Indicators'!$A$132*CQ131</f>
        <v>536.9236146598048</v>
      </c>
      <c r="CR132" s="352">
        <f>'Unit Costs and Indicators'!$A$132*CR131</f>
        <v>536.9236146598048</v>
      </c>
      <c r="CS132" s="352">
        <f>'Unit Costs and Indicators'!$A$132*CS131</f>
        <v>536.9236146598048</v>
      </c>
      <c r="CT132" s="352">
        <f>'Unit Costs and Indicators'!$A$132*CT131</f>
        <v>536.9236146598048</v>
      </c>
      <c r="CU132" s="352">
        <f>'Unit Costs and Indicators'!$A$132*CU131</f>
        <v>536.9236146598048</v>
      </c>
      <c r="CV132" s="352">
        <f>'Unit Costs and Indicators'!$A$132*CV131</f>
        <v>536.9236146598048</v>
      </c>
      <c r="CW132" s="352">
        <f>'Unit Costs and Indicators'!$A$132*CW131</f>
        <v>536.9236146598048</v>
      </c>
      <c r="CX132" s="352">
        <f>'Unit Costs and Indicators'!$A$132*CX131</f>
        <v>536.9236146598048</v>
      </c>
      <c r="CY132" s="352">
        <f>'Unit Costs and Indicators'!$A$132*CY131</f>
        <v>536.9236146598048</v>
      </c>
      <c r="CZ132" s="352">
        <f>'Unit Costs and Indicators'!$A$132*CZ131</f>
        <v>536.9236146598048</v>
      </c>
      <c r="DA132" s="352">
        <f>'Unit Costs and Indicators'!$A$132*DA131</f>
        <v>536.9236146598048</v>
      </c>
      <c r="DB132" s="352">
        <f>'Unit Costs and Indicators'!$A$132*DB131</f>
        <v>536.9236146598048</v>
      </c>
      <c r="DC132" s="352">
        <f>'Unit Costs and Indicators'!$A$132*DC131</f>
        <v>536.9236146598048</v>
      </c>
      <c r="DD132" s="352">
        <f>'Unit Costs and Indicators'!$A$132*DD131</f>
        <v>536.9236146598048</v>
      </c>
      <c r="DE132" s="352">
        <f>'Unit Costs and Indicators'!$A$132*DE131</f>
        <v>536.9236146598048</v>
      </c>
      <c r="DF132" s="353"/>
      <c r="DG132" s="353"/>
      <c r="DH132" s="353"/>
      <c r="DI132" s="353"/>
      <c r="DJ132" s="353"/>
      <c r="DK132" s="353"/>
      <c r="DL132" s="353"/>
    </row>
    <row r="133" spans="1:116" ht="15.75" customHeight="1" outlineLevel="1" x14ac:dyDescent="0.25">
      <c r="A133" s="751"/>
      <c r="B133" s="751"/>
      <c r="C133" s="347" t="s">
        <v>264</v>
      </c>
      <c r="D133" s="348"/>
      <c r="E133" s="349"/>
      <c r="F133" s="348"/>
      <c r="G133" s="348"/>
      <c r="H133" s="350">
        <f>211200000*'Unit Costs and Indicators'!$L$10</f>
        <v>17676.767676767675</v>
      </c>
      <c r="I133" s="351">
        <f>211200000*'Unit Costs and Indicators'!$L$10</f>
        <v>17676.767676767675</v>
      </c>
      <c r="J133" s="352">
        <f>211200000*'Unit Costs and Indicators'!$L$10</f>
        <v>17676.767676767675</v>
      </c>
      <c r="K133" s="352">
        <f>211200000*'Unit Costs and Indicators'!$L$10</f>
        <v>17676.767676767675</v>
      </c>
      <c r="L133" s="352">
        <f>211200000*'Unit Costs and Indicators'!$L$10</f>
        <v>17676.767676767675</v>
      </c>
      <c r="M133" s="352">
        <f>211200000*'Unit Costs and Indicators'!$L$10</f>
        <v>17676.767676767675</v>
      </c>
      <c r="N133" s="352">
        <f>211200000*'Unit Costs and Indicators'!$L$10</f>
        <v>17676.767676767675</v>
      </c>
      <c r="O133" s="352">
        <f>211200000*'Unit Costs and Indicators'!$L$10</f>
        <v>17676.767676767675</v>
      </c>
      <c r="P133" s="352">
        <f>211200000*'Unit Costs and Indicators'!$L$10</f>
        <v>17676.767676767675</v>
      </c>
      <c r="Q133" s="352">
        <f>211200000*'Unit Costs and Indicators'!$L$10</f>
        <v>17676.767676767675</v>
      </c>
      <c r="R133" s="352">
        <f>211200000*'Unit Costs and Indicators'!$L$10</f>
        <v>17676.767676767675</v>
      </c>
      <c r="S133" s="352">
        <f>211200000*'Unit Costs and Indicators'!$L$10</f>
        <v>17676.767676767675</v>
      </c>
      <c r="T133" s="352">
        <f>211200000*'Unit Costs and Indicators'!$L$10</f>
        <v>17676.767676767675</v>
      </c>
      <c r="U133" s="352">
        <f>211200000*'Unit Costs and Indicators'!$L$10</f>
        <v>17676.767676767675</v>
      </c>
      <c r="V133" s="352">
        <f>211200000*'Unit Costs and Indicators'!$L$10</f>
        <v>17676.767676767675</v>
      </c>
      <c r="W133" s="352">
        <f>211200000*'Unit Costs and Indicators'!$L$10</f>
        <v>17676.767676767675</v>
      </c>
      <c r="X133" s="352">
        <f>211200000*'Unit Costs and Indicators'!$L$10</f>
        <v>17676.767676767675</v>
      </c>
      <c r="Y133" s="352">
        <f>211200000*'Unit Costs and Indicators'!$L$10</f>
        <v>17676.767676767675</v>
      </c>
      <c r="Z133" s="352">
        <f>211200000*'Unit Costs and Indicators'!$L$10</f>
        <v>17676.767676767675</v>
      </c>
      <c r="AA133" s="352">
        <f>211200000*'Unit Costs and Indicators'!$L$10</f>
        <v>17676.767676767675</v>
      </c>
      <c r="AB133" s="352">
        <f>211200000*'Unit Costs and Indicators'!$L$10</f>
        <v>17676.767676767675</v>
      </c>
      <c r="AC133" s="352">
        <f>211200000*'Unit Costs and Indicators'!$L$10</f>
        <v>17676.767676767675</v>
      </c>
      <c r="AD133" s="352">
        <f>211200000*'Unit Costs and Indicators'!$L$10</f>
        <v>17676.767676767675</v>
      </c>
      <c r="AE133" s="352">
        <f>211200000*'Unit Costs and Indicators'!$L$10</f>
        <v>17676.767676767675</v>
      </c>
      <c r="AF133" s="352">
        <f>211200000*'Unit Costs and Indicators'!$L$10</f>
        <v>17676.767676767675</v>
      </c>
      <c r="AG133" s="352">
        <f>211200000*'Unit Costs and Indicators'!$L$10</f>
        <v>17676.767676767675</v>
      </c>
      <c r="AH133" s="352">
        <f>211200000*'Unit Costs and Indicators'!$L$10</f>
        <v>17676.767676767675</v>
      </c>
      <c r="AI133" s="352">
        <f>211200000*'Unit Costs and Indicators'!$L$10</f>
        <v>17676.767676767675</v>
      </c>
      <c r="AJ133" s="352">
        <f>211200000*'Unit Costs and Indicators'!$L$10</f>
        <v>17676.767676767675</v>
      </c>
      <c r="AK133" s="352">
        <f>211200000*'Unit Costs and Indicators'!$L$10</f>
        <v>17676.767676767675</v>
      </c>
      <c r="AL133" s="352">
        <f>211200000*'Unit Costs and Indicators'!$L$10</f>
        <v>17676.767676767675</v>
      </c>
      <c r="AM133" s="352">
        <f>211200000*'Unit Costs and Indicators'!$L$10</f>
        <v>17676.767676767675</v>
      </c>
      <c r="AN133" s="352">
        <f>211200000*'Unit Costs and Indicators'!$L$10</f>
        <v>17676.767676767675</v>
      </c>
      <c r="AO133" s="352">
        <f>211200000*'Unit Costs and Indicators'!$L$10</f>
        <v>17676.767676767675</v>
      </c>
      <c r="AP133" s="352">
        <f>211200000*'Unit Costs and Indicators'!$L$10</f>
        <v>17676.767676767675</v>
      </c>
      <c r="AQ133" s="352">
        <f>211200000*'Unit Costs and Indicators'!$L$10</f>
        <v>17676.767676767675</v>
      </c>
      <c r="AR133" s="352">
        <f>211200000*'Unit Costs and Indicators'!$L$10</f>
        <v>17676.767676767675</v>
      </c>
      <c r="AS133" s="352">
        <f>211200000*'Unit Costs and Indicators'!$L$10</f>
        <v>17676.767676767675</v>
      </c>
      <c r="AT133" s="352">
        <f>211200000*'Unit Costs and Indicators'!$L$10</f>
        <v>17676.767676767675</v>
      </c>
      <c r="AU133" s="352">
        <f>211200000*'Unit Costs and Indicators'!$L$10</f>
        <v>17676.767676767675</v>
      </c>
      <c r="AV133" s="352">
        <f>211200000*'Unit Costs and Indicators'!$L$10</f>
        <v>17676.767676767675</v>
      </c>
      <c r="AW133" s="352">
        <f>211200000*'Unit Costs and Indicators'!$L$10</f>
        <v>17676.767676767675</v>
      </c>
      <c r="AX133" s="352">
        <f>211200000*'Unit Costs and Indicators'!$L$10</f>
        <v>17676.767676767675</v>
      </c>
      <c r="AY133" s="352">
        <f>211200000*'Unit Costs and Indicators'!$L$10</f>
        <v>17676.767676767675</v>
      </c>
      <c r="AZ133" s="352">
        <f>211200000*'Unit Costs and Indicators'!$L$10</f>
        <v>17676.767676767675</v>
      </c>
      <c r="BA133" s="352">
        <f>211200000*'Unit Costs and Indicators'!$L$10</f>
        <v>17676.767676767675</v>
      </c>
      <c r="BB133" s="352">
        <f>211200000*'Unit Costs and Indicators'!$L$10</f>
        <v>17676.767676767675</v>
      </c>
      <c r="BC133" s="352">
        <f>211200000*'Unit Costs and Indicators'!$L$10</f>
        <v>17676.767676767675</v>
      </c>
      <c r="BD133" s="352">
        <f>211200000*'Unit Costs and Indicators'!$L$10</f>
        <v>17676.767676767675</v>
      </c>
      <c r="BE133" s="352">
        <f>211200000*'Unit Costs and Indicators'!$L$10</f>
        <v>17676.767676767675</v>
      </c>
      <c r="BF133" s="352">
        <f>211200000*'Unit Costs and Indicators'!$L$10</f>
        <v>17676.767676767675</v>
      </c>
      <c r="BG133" s="352">
        <f>211200000*'Unit Costs and Indicators'!$L$10</f>
        <v>17676.767676767675</v>
      </c>
      <c r="BH133" s="352">
        <f>211200000*'Unit Costs and Indicators'!$L$10</f>
        <v>17676.767676767675</v>
      </c>
      <c r="BI133" s="352">
        <f>211200000*'Unit Costs and Indicators'!$L$10</f>
        <v>17676.767676767675</v>
      </c>
      <c r="BJ133" s="352">
        <f>211200000*'Unit Costs and Indicators'!$L$10</f>
        <v>17676.767676767675</v>
      </c>
      <c r="BK133" s="352">
        <f>211200000*'Unit Costs and Indicators'!$L$10</f>
        <v>17676.767676767675</v>
      </c>
      <c r="BL133" s="352">
        <f>211200000*'Unit Costs and Indicators'!$L$10</f>
        <v>17676.767676767675</v>
      </c>
      <c r="BM133" s="352">
        <f>211200000*'Unit Costs and Indicators'!$L$10</f>
        <v>17676.767676767675</v>
      </c>
      <c r="BN133" s="352">
        <f>211200000*'Unit Costs and Indicators'!$L$10</f>
        <v>17676.767676767675</v>
      </c>
      <c r="BO133" s="352">
        <f>211200000*'Unit Costs and Indicators'!$L$10</f>
        <v>17676.767676767675</v>
      </c>
      <c r="BP133" s="352">
        <f>211200000*'Unit Costs and Indicators'!$L$10</f>
        <v>17676.767676767675</v>
      </c>
      <c r="BQ133" s="352">
        <f>211200000*'Unit Costs and Indicators'!$L$10</f>
        <v>17676.767676767675</v>
      </c>
      <c r="BR133" s="352">
        <f>211200000*'Unit Costs and Indicators'!$L$10</f>
        <v>17676.767676767675</v>
      </c>
      <c r="BS133" s="352">
        <f>211200000*'Unit Costs and Indicators'!$L$10</f>
        <v>17676.767676767675</v>
      </c>
      <c r="BT133" s="352">
        <f>211200000*'Unit Costs and Indicators'!$L$10</f>
        <v>17676.767676767675</v>
      </c>
      <c r="BU133" s="352">
        <f>211200000*'Unit Costs and Indicators'!$L$10</f>
        <v>17676.767676767675</v>
      </c>
      <c r="BV133" s="352">
        <f>211200000*'Unit Costs and Indicators'!$L$10</f>
        <v>17676.767676767675</v>
      </c>
      <c r="BW133" s="352">
        <f>211200000*'Unit Costs and Indicators'!$L$10</f>
        <v>17676.767676767675</v>
      </c>
      <c r="BX133" s="352">
        <f>211200000*'Unit Costs and Indicators'!$L$10</f>
        <v>17676.767676767675</v>
      </c>
      <c r="BY133" s="352">
        <f>211200000*'Unit Costs and Indicators'!$L$10</f>
        <v>17676.767676767675</v>
      </c>
      <c r="BZ133" s="352">
        <f>211200000*'Unit Costs and Indicators'!$L$10</f>
        <v>17676.767676767675</v>
      </c>
      <c r="CA133" s="352">
        <f>211200000*'Unit Costs and Indicators'!$L$10</f>
        <v>17676.767676767675</v>
      </c>
      <c r="CB133" s="352">
        <f>211200000*'Unit Costs and Indicators'!$L$10</f>
        <v>17676.767676767675</v>
      </c>
      <c r="CC133" s="352">
        <f>211200000*'Unit Costs and Indicators'!$L$10</f>
        <v>17676.767676767675</v>
      </c>
      <c r="CD133" s="352">
        <f>211200000*'Unit Costs and Indicators'!$L$10</f>
        <v>17676.767676767675</v>
      </c>
      <c r="CE133" s="352">
        <f>211200000*'Unit Costs and Indicators'!$L$10</f>
        <v>17676.767676767675</v>
      </c>
      <c r="CF133" s="352">
        <f>211200000*'Unit Costs and Indicators'!$L$10</f>
        <v>17676.767676767675</v>
      </c>
      <c r="CG133" s="352">
        <f>211200000*'Unit Costs and Indicators'!$L$10</f>
        <v>17676.767676767675</v>
      </c>
      <c r="CH133" s="352">
        <f>211200000*'Unit Costs and Indicators'!$L$10</f>
        <v>17676.767676767675</v>
      </c>
      <c r="CI133" s="352">
        <f>211200000*'Unit Costs and Indicators'!$L$10</f>
        <v>17676.767676767675</v>
      </c>
      <c r="CJ133" s="352">
        <f>211200000*'Unit Costs and Indicators'!$L$10</f>
        <v>17676.767676767675</v>
      </c>
      <c r="CK133" s="352">
        <f>211200000*'Unit Costs and Indicators'!$L$10</f>
        <v>17676.767676767675</v>
      </c>
      <c r="CL133" s="352">
        <f>211200000*'Unit Costs and Indicators'!$L$10</f>
        <v>17676.767676767675</v>
      </c>
      <c r="CM133" s="352">
        <f>211200000*'Unit Costs and Indicators'!$L$10</f>
        <v>17676.767676767675</v>
      </c>
      <c r="CN133" s="352">
        <f>211200000*'Unit Costs and Indicators'!$L$10</f>
        <v>17676.767676767675</v>
      </c>
      <c r="CO133" s="352">
        <f>211200000*'Unit Costs and Indicators'!$L$10</f>
        <v>17676.767676767675</v>
      </c>
      <c r="CP133" s="352">
        <f>211200000*'Unit Costs and Indicators'!$L$10</f>
        <v>17676.767676767675</v>
      </c>
      <c r="CQ133" s="352">
        <f>211200000*'Unit Costs and Indicators'!$L$10</f>
        <v>17676.767676767675</v>
      </c>
      <c r="CR133" s="352">
        <f>211200000*'Unit Costs and Indicators'!$L$10</f>
        <v>17676.767676767675</v>
      </c>
      <c r="CS133" s="352">
        <f>211200000*'Unit Costs and Indicators'!$L$10</f>
        <v>17676.767676767675</v>
      </c>
      <c r="CT133" s="352">
        <f>211200000*'Unit Costs and Indicators'!$L$10</f>
        <v>17676.767676767675</v>
      </c>
      <c r="CU133" s="352">
        <f>211200000*'Unit Costs and Indicators'!$L$10</f>
        <v>17676.767676767675</v>
      </c>
      <c r="CV133" s="352">
        <f>211200000*'Unit Costs and Indicators'!$L$10</f>
        <v>17676.767676767675</v>
      </c>
      <c r="CW133" s="352">
        <f>211200000*'Unit Costs and Indicators'!$L$10</f>
        <v>17676.767676767675</v>
      </c>
      <c r="CX133" s="352">
        <f>211200000*'Unit Costs and Indicators'!$L$10</f>
        <v>17676.767676767675</v>
      </c>
      <c r="CY133" s="352">
        <f>211200000*'Unit Costs and Indicators'!$L$10</f>
        <v>17676.767676767675</v>
      </c>
      <c r="CZ133" s="352">
        <f>211200000*'Unit Costs and Indicators'!$L$10</f>
        <v>17676.767676767675</v>
      </c>
      <c r="DA133" s="352">
        <f>211200000*'Unit Costs and Indicators'!$L$10</f>
        <v>17676.767676767675</v>
      </c>
      <c r="DB133" s="352">
        <f>211200000*'Unit Costs and Indicators'!$L$10</f>
        <v>17676.767676767675</v>
      </c>
      <c r="DC133" s="352">
        <f>211200000*'Unit Costs and Indicators'!$L$10</f>
        <v>17676.767676767675</v>
      </c>
      <c r="DD133" s="352">
        <f>211200000*'Unit Costs and Indicators'!$L$10</f>
        <v>17676.767676767675</v>
      </c>
      <c r="DE133" s="352">
        <f>211200000*'Unit Costs and Indicators'!$L$10</f>
        <v>17676.767676767675</v>
      </c>
      <c r="DF133" s="353"/>
      <c r="DG133" s="353"/>
      <c r="DH133" s="353"/>
      <c r="DI133" s="353"/>
      <c r="DJ133" s="353"/>
      <c r="DK133" s="353"/>
      <c r="DL133" s="353"/>
    </row>
    <row r="134" spans="1:116" ht="15.75" customHeight="1" outlineLevel="1" x14ac:dyDescent="0.25">
      <c r="A134" s="751"/>
      <c r="B134" s="354"/>
      <c r="C134" s="355" t="s">
        <v>244</v>
      </c>
      <c r="D134" s="356" t="s">
        <v>247</v>
      </c>
      <c r="E134" s="357"/>
      <c r="F134" s="316" t="s">
        <v>14</v>
      </c>
      <c r="G134" s="358">
        <f t="array" ref="G134">NPV($D$6, J134:DE134)+I134</f>
        <v>820322.49181041727</v>
      </c>
      <c r="H134" s="359">
        <f>H128+H132+H133</f>
        <v>18026.137242796605</v>
      </c>
      <c r="I134" s="360">
        <f>(I128+I132+I133)</f>
        <v>18026.137242796605</v>
      </c>
      <c r="J134" s="360">
        <f t="shared" ref="J134:AO134" si="227">(J128+J132+J133)*(1 + $D$5)^(J2-$I$2)</f>
        <v>18390.772020860401</v>
      </c>
      <c r="K134" s="360">
        <f t="shared" si="227"/>
        <v>18763.266383495535</v>
      </c>
      <c r="L134" s="360">
        <f t="shared" si="227"/>
        <v>19143.855674279264</v>
      </c>
      <c r="M134" s="360">
        <f t="shared" si="227"/>
        <v>19532.7907177575</v>
      </c>
      <c r="N134" s="360">
        <f t="shared" si="227"/>
        <v>19930.339614392022</v>
      </c>
      <c r="O134" s="360">
        <f t="shared" si="227"/>
        <v>20336.789776175345</v>
      </c>
      <c r="P134" s="360">
        <f t="shared" si="227"/>
        <v>20752.450235956348</v>
      </c>
      <c r="Q134" s="360">
        <f t="shared" si="227"/>
        <v>21177.65426807218</v>
      </c>
      <c r="R134" s="360">
        <f t="shared" si="227"/>
        <v>21612.762363062269</v>
      </c>
      <c r="S134" s="360">
        <f t="shared" si="227"/>
        <v>22058.165605134567</v>
      </c>
      <c r="T134" s="360">
        <f t="shared" si="227"/>
        <v>22514.289507760957</v>
      </c>
      <c r="U134" s="360">
        <f t="shared" si="227"/>
        <v>22981.598370410069</v>
      </c>
      <c r="V134" s="360">
        <f t="shared" si="227"/>
        <v>23460.600228109241</v>
      </c>
      <c r="W134" s="360">
        <f t="shared" si="227"/>
        <v>23951.852475407803</v>
      </c>
      <c r="X134" s="360">
        <f t="shared" si="227"/>
        <v>24455.968257556207</v>
      </c>
      <c r="Y134" s="360">
        <f t="shared" si="227"/>
        <v>24973.623734508103</v>
      </c>
      <c r="Z134" s="360">
        <f t="shared" si="227"/>
        <v>25505.566337908007</v>
      </c>
      <c r="AA134" s="360">
        <f t="shared" si="227"/>
        <v>26052.624157789953</v>
      </c>
      <c r="AB134" s="360">
        <f t="shared" si="227"/>
        <v>26615.716614558081</v>
      </c>
      <c r="AC134" s="360">
        <f t="shared" si="227"/>
        <v>27195.866593263745</v>
      </c>
      <c r="AD134" s="360">
        <f t="shared" si="227"/>
        <v>27794.214241593862</v>
      </c>
      <c r="AE134" s="360">
        <f t="shared" si="227"/>
        <v>28412.032660748751</v>
      </c>
      <c r="AF134" s="360">
        <f t="shared" si="227"/>
        <v>29050.745749978636</v>
      </c>
      <c r="AG134" s="360">
        <f t="shared" si="227"/>
        <v>29711.948501494571</v>
      </c>
      <c r="AH134" s="360">
        <f t="shared" si="227"/>
        <v>30397.430083370811</v>
      </c>
      <c r="AI134" s="360">
        <f t="shared" si="227"/>
        <v>31005.378685038231</v>
      </c>
      <c r="AJ134" s="360">
        <f t="shared" si="227"/>
        <v>31625.486258738991</v>
      </c>
      <c r="AK134" s="360">
        <f t="shared" si="227"/>
        <v>32257.995983913777</v>
      </c>
      <c r="AL134" s="360">
        <f t="shared" si="227"/>
        <v>32903.155903592051</v>
      </c>
      <c r="AM134" s="360">
        <f t="shared" si="227"/>
        <v>33561.219021663892</v>
      </c>
      <c r="AN134" s="360">
        <f t="shared" si="227"/>
        <v>34232.44340209716</v>
      </c>
      <c r="AO134" s="360">
        <f t="shared" si="227"/>
        <v>34917.09227013911</v>
      </c>
      <c r="AP134" s="360">
        <f t="shared" ref="AP134:BU134" si="228">(AP128+AP132+AP133)*(1 + $D$5)^(AP2-$I$2)</f>
        <v>35615.434115541895</v>
      </c>
      <c r="AQ134" s="360">
        <f t="shared" si="228"/>
        <v>36327.742797852734</v>
      </c>
      <c r="AR134" s="360">
        <f t="shared" si="228"/>
        <v>37054.297653809786</v>
      </c>
      <c r="AS134" s="360">
        <f t="shared" si="228"/>
        <v>37795.383606885982</v>
      </c>
      <c r="AT134" s="360">
        <f t="shared" si="228"/>
        <v>38551.291279023702</v>
      </c>
      <c r="AU134" s="360">
        <f t="shared" si="228"/>
        <v>39322.317104604183</v>
      </c>
      <c r="AV134" s="360">
        <f t="shared" si="228"/>
        <v>40108.763446696248</v>
      </c>
      <c r="AW134" s="360">
        <f t="shared" si="228"/>
        <v>40910.938715630189</v>
      </c>
      <c r="AX134" s="360">
        <f t="shared" si="228"/>
        <v>41729.157489942787</v>
      </c>
      <c r="AY134" s="360">
        <f t="shared" si="228"/>
        <v>42563.740639741642</v>
      </c>
      <c r="AZ134" s="360">
        <f t="shared" si="228"/>
        <v>43415.015452536471</v>
      </c>
      <c r="BA134" s="360">
        <f t="shared" si="228"/>
        <v>44283.315761587211</v>
      </c>
      <c r="BB134" s="360">
        <f t="shared" si="228"/>
        <v>45168.982076818946</v>
      </c>
      <c r="BC134" s="360">
        <f t="shared" si="228"/>
        <v>46072.361718355336</v>
      </c>
      <c r="BD134" s="360">
        <f t="shared" si="228"/>
        <v>46993.808952722422</v>
      </c>
      <c r="BE134" s="360">
        <f t="shared" si="228"/>
        <v>47933.685131776881</v>
      </c>
      <c r="BF134" s="360">
        <f t="shared" si="228"/>
        <v>48892.358834412422</v>
      </c>
      <c r="BG134" s="360">
        <f t="shared" si="228"/>
        <v>49870.206011100672</v>
      </c>
      <c r="BH134" s="360">
        <f t="shared" si="228"/>
        <v>50867.610131322675</v>
      </c>
      <c r="BI134" s="360">
        <f t="shared" si="228"/>
        <v>51884.962333949137</v>
      </c>
      <c r="BJ134" s="360">
        <f t="shared" si="228"/>
        <v>52922.661580628112</v>
      </c>
      <c r="BK134" s="360">
        <f t="shared" si="228"/>
        <v>53981.114812240681</v>
      </c>
      <c r="BL134" s="360">
        <f t="shared" si="228"/>
        <v>55060.737108485482</v>
      </c>
      <c r="BM134" s="360">
        <f t="shared" si="228"/>
        <v>56161.95185065519</v>
      </c>
      <c r="BN134" s="360">
        <f t="shared" si="228"/>
        <v>57285.190887668294</v>
      </c>
      <c r="BO134" s="360">
        <f t="shared" si="228"/>
        <v>58430.89470542167</v>
      </c>
      <c r="BP134" s="360">
        <f t="shared" si="228"/>
        <v>59599.512599530091</v>
      </c>
      <c r="BQ134" s="360">
        <f t="shared" si="228"/>
        <v>60791.502851520709</v>
      </c>
      <c r="BR134" s="360">
        <f t="shared" si="228"/>
        <v>62007.332908551114</v>
      </c>
      <c r="BS134" s="360">
        <f t="shared" si="228"/>
        <v>63247.479566722141</v>
      </c>
      <c r="BT134" s="360">
        <f t="shared" si="228"/>
        <v>64512.42915805657</v>
      </c>
      <c r="BU134" s="360">
        <f t="shared" si="228"/>
        <v>65802.677741217718</v>
      </c>
      <c r="BV134" s="360">
        <f t="shared" ref="BV134:DA134" si="229">(BV128+BV132+BV133)*(1 + $D$5)^(BV2-$I$2)</f>
        <v>67118.731296042068</v>
      </c>
      <c r="BW134" s="360">
        <f t="shared" si="229"/>
        <v>68461.10592196291</v>
      </c>
      <c r="BX134" s="360">
        <f t="shared" si="229"/>
        <v>69830.328040402164</v>
      </c>
      <c r="BY134" s="360">
        <f t="shared" si="229"/>
        <v>71226.934601210203</v>
      </c>
      <c r="BZ134" s="360">
        <f t="shared" si="229"/>
        <v>72651.47329323442</v>
      </c>
      <c r="CA134" s="360">
        <f t="shared" si="229"/>
        <v>74104.502759099109</v>
      </c>
      <c r="CB134" s="360">
        <f t="shared" si="229"/>
        <v>75586.592814281088</v>
      </c>
      <c r="CC134" s="360">
        <f t="shared" si="229"/>
        <v>77098.324670566712</v>
      </c>
      <c r="CD134" s="360">
        <f t="shared" si="229"/>
        <v>78640.291163978036</v>
      </c>
      <c r="CE134" s="360">
        <f t="shared" si="229"/>
        <v>80213.09698725761</v>
      </c>
      <c r="CF134" s="360">
        <f t="shared" si="229"/>
        <v>81817.358927002744</v>
      </c>
      <c r="CG134" s="360">
        <f t="shared" si="229"/>
        <v>83453.706105542806</v>
      </c>
      <c r="CH134" s="360">
        <f t="shared" si="229"/>
        <v>85122.780227653668</v>
      </c>
      <c r="CI134" s="360">
        <f t="shared" si="229"/>
        <v>86825.235832206745</v>
      </c>
      <c r="CJ134" s="360">
        <f t="shared" si="229"/>
        <v>88561.740548850852</v>
      </c>
      <c r="CK134" s="360">
        <f t="shared" si="229"/>
        <v>90332.975359827891</v>
      </c>
      <c r="CL134" s="360">
        <f t="shared" si="229"/>
        <v>92139.634867024433</v>
      </c>
      <c r="CM134" s="360">
        <f t="shared" si="229"/>
        <v>93982.427564364916</v>
      </c>
      <c r="CN134" s="360">
        <f t="shared" si="229"/>
        <v>95862.07611565222</v>
      </c>
      <c r="CO134" s="360">
        <f t="shared" si="229"/>
        <v>97779.317637965272</v>
      </c>
      <c r="CP134" s="360">
        <f t="shared" si="229"/>
        <v>99734.903990724575</v>
      </c>
      <c r="CQ134" s="360">
        <f t="shared" si="229"/>
        <v>101729.60207053907</v>
      </c>
      <c r="CR134" s="360">
        <f t="shared" si="229"/>
        <v>103764.19411194982</v>
      </c>
      <c r="CS134" s="360">
        <f t="shared" si="229"/>
        <v>105839.47799418883</v>
      </c>
      <c r="CT134" s="360">
        <f t="shared" si="229"/>
        <v>107956.26755407262</v>
      </c>
      <c r="CU134" s="360">
        <f t="shared" si="229"/>
        <v>110115.39290515408</v>
      </c>
      <c r="CV134" s="360">
        <f t="shared" si="229"/>
        <v>112317.70076325713</v>
      </c>
      <c r="CW134" s="360">
        <f t="shared" si="229"/>
        <v>114564.0547785223</v>
      </c>
      <c r="CX134" s="360">
        <f t="shared" si="229"/>
        <v>116855.33587409274</v>
      </c>
      <c r="CY134" s="360">
        <f t="shared" si="229"/>
        <v>119192.4425915746</v>
      </c>
      <c r="CZ134" s="360">
        <f t="shared" si="229"/>
        <v>121576.29144340607</v>
      </c>
      <c r="DA134" s="360">
        <f t="shared" si="229"/>
        <v>124007.8172722742</v>
      </c>
      <c r="DB134" s="360">
        <f t="shared" ref="DB134:DE134" si="230">(DB128+DB132+DB133)*(1 + $D$5)^(DB2-$I$2)</f>
        <v>126487.9736177197</v>
      </c>
      <c r="DC134" s="360">
        <f t="shared" si="230"/>
        <v>129017.73309007408</v>
      </c>
      <c r="DD134" s="360">
        <f t="shared" si="230"/>
        <v>131598.08775187557</v>
      </c>
      <c r="DE134" s="360">
        <f t="shared" si="230"/>
        <v>134230.04950691306</v>
      </c>
      <c r="DF134" s="361"/>
      <c r="DG134" s="361"/>
      <c r="DH134" s="361"/>
      <c r="DI134" s="361"/>
      <c r="DJ134" s="361"/>
      <c r="DK134" s="361"/>
      <c r="DL134" s="361"/>
    </row>
    <row r="135" spans="1:116" ht="15.75" customHeight="1" outlineLevel="1" x14ac:dyDescent="0.25">
      <c r="A135" s="751"/>
      <c r="B135" s="765" t="s">
        <v>265</v>
      </c>
      <c r="C135" s="362" t="s">
        <v>266</v>
      </c>
      <c r="D135" s="363"/>
      <c r="E135" s="364"/>
      <c r="F135" s="363"/>
      <c r="G135" s="363"/>
      <c r="H135" s="365">
        <f t="shared" ref="H135:DE135" si="231">((H149*8)+H127)/40</f>
        <v>0.27287255916893915</v>
      </c>
      <c r="I135" s="366">
        <f t="shared" si="231"/>
        <v>0.27287255916893915</v>
      </c>
      <c r="J135" s="366">
        <f t="shared" si="231"/>
        <v>0.27287255916893915</v>
      </c>
      <c r="K135" s="366">
        <f t="shared" si="231"/>
        <v>0.27287255916893915</v>
      </c>
      <c r="L135" s="366">
        <f t="shared" si="231"/>
        <v>0.27287255916893915</v>
      </c>
      <c r="M135" s="366">
        <f t="shared" si="231"/>
        <v>0.27287255916893915</v>
      </c>
      <c r="N135" s="366">
        <f t="shared" si="231"/>
        <v>0.27287255916893915</v>
      </c>
      <c r="O135" s="366">
        <f t="shared" si="231"/>
        <v>0.27287255916893915</v>
      </c>
      <c r="P135" s="366">
        <f t="shared" si="231"/>
        <v>0.27287255916893915</v>
      </c>
      <c r="Q135" s="366">
        <f t="shared" si="231"/>
        <v>0.27287255916893915</v>
      </c>
      <c r="R135" s="366">
        <f t="shared" si="231"/>
        <v>0.27287255916893915</v>
      </c>
      <c r="S135" s="366">
        <f t="shared" si="231"/>
        <v>0.27287255916893915</v>
      </c>
      <c r="T135" s="366">
        <f t="shared" si="231"/>
        <v>0.27287255916893915</v>
      </c>
      <c r="U135" s="366">
        <f t="shared" si="231"/>
        <v>0.27287255916893915</v>
      </c>
      <c r="V135" s="366">
        <f t="shared" si="231"/>
        <v>0.27287255916893915</v>
      </c>
      <c r="W135" s="366">
        <f t="shared" si="231"/>
        <v>0.27287255916893915</v>
      </c>
      <c r="X135" s="366">
        <f t="shared" si="231"/>
        <v>0.27287255916893915</v>
      </c>
      <c r="Y135" s="366">
        <f t="shared" si="231"/>
        <v>0.27287255916893915</v>
      </c>
      <c r="Z135" s="366">
        <f t="shared" si="231"/>
        <v>0.27287255916893915</v>
      </c>
      <c r="AA135" s="366">
        <f t="shared" si="231"/>
        <v>0.27287255916893915</v>
      </c>
      <c r="AB135" s="366">
        <f t="shared" si="231"/>
        <v>0.27287255916893915</v>
      </c>
      <c r="AC135" s="366">
        <f t="shared" si="231"/>
        <v>0.27287255916893915</v>
      </c>
      <c r="AD135" s="366">
        <f t="shared" si="231"/>
        <v>0.27287255916893915</v>
      </c>
      <c r="AE135" s="366">
        <f t="shared" si="231"/>
        <v>0.27287255916893915</v>
      </c>
      <c r="AF135" s="366">
        <f t="shared" si="231"/>
        <v>0.27287255916893915</v>
      </c>
      <c r="AG135" s="366">
        <f t="shared" si="231"/>
        <v>0.27287255916893915</v>
      </c>
      <c r="AH135" s="366">
        <f t="shared" si="231"/>
        <v>0.27287255916893915</v>
      </c>
      <c r="AI135" s="366">
        <f t="shared" si="231"/>
        <v>0.27287255916893915</v>
      </c>
      <c r="AJ135" s="366">
        <f t="shared" si="231"/>
        <v>0.27287255916893915</v>
      </c>
      <c r="AK135" s="366">
        <f t="shared" si="231"/>
        <v>0.27287255916893915</v>
      </c>
      <c r="AL135" s="366">
        <f t="shared" si="231"/>
        <v>0.27287255916893915</v>
      </c>
      <c r="AM135" s="366">
        <f t="shared" si="231"/>
        <v>0.27287255916893915</v>
      </c>
      <c r="AN135" s="366">
        <f t="shared" si="231"/>
        <v>0.27287255916893915</v>
      </c>
      <c r="AO135" s="366">
        <f t="shared" si="231"/>
        <v>0.27287255916893915</v>
      </c>
      <c r="AP135" s="366">
        <f t="shared" si="231"/>
        <v>0.27287255916893915</v>
      </c>
      <c r="AQ135" s="366">
        <f t="shared" si="231"/>
        <v>0.27287255916893915</v>
      </c>
      <c r="AR135" s="366">
        <f t="shared" si="231"/>
        <v>0.27287255916893915</v>
      </c>
      <c r="AS135" s="366">
        <f t="shared" si="231"/>
        <v>0.27287255916893915</v>
      </c>
      <c r="AT135" s="366">
        <f t="shared" si="231"/>
        <v>0.27287255916893915</v>
      </c>
      <c r="AU135" s="366">
        <f t="shared" si="231"/>
        <v>0.27287255916893915</v>
      </c>
      <c r="AV135" s="366">
        <f t="shared" si="231"/>
        <v>0.27287255916893915</v>
      </c>
      <c r="AW135" s="366">
        <f t="shared" si="231"/>
        <v>0.27287255916893915</v>
      </c>
      <c r="AX135" s="366">
        <f t="shared" si="231"/>
        <v>0.27287255916893915</v>
      </c>
      <c r="AY135" s="366">
        <f t="shared" si="231"/>
        <v>0.27287255916893915</v>
      </c>
      <c r="AZ135" s="366">
        <f t="shared" si="231"/>
        <v>0.27287255916893915</v>
      </c>
      <c r="BA135" s="366">
        <f t="shared" si="231"/>
        <v>0.27287255916893915</v>
      </c>
      <c r="BB135" s="366">
        <f t="shared" si="231"/>
        <v>0.27287255916893915</v>
      </c>
      <c r="BC135" s="366">
        <f t="shared" si="231"/>
        <v>0.27287255916893915</v>
      </c>
      <c r="BD135" s="366">
        <f t="shared" si="231"/>
        <v>0.27287255916893915</v>
      </c>
      <c r="BE135" s="366">
        <f t="shared" si="231"/>
        <v>0.27287255916893915</v>
      </c>
      <c r="BF135" s="366">
        <f t="shared" si="231"/>
        <v>0.27287255916893915</v>
      </c>
      <c r="BG135" s="366">
        <f t="shared" si="231"/>
        <v>0.27287255916893915</v>
      </c>
      <c r="BH135" s="366">
        <f t="shared" si="231"/>
        <v>0.27287255916893915</v>
      </c>
      <c r="BI135" s="366">
        <f t="shared" si="231"/>
        <v>0.27287255916893915</v>
      </c>
      <c r="BJ135" s="366">
        <f t="shared" si="231"/>
        <v>0.27287255916893915</v>
      </c>
      <c r="BK135" s="366">
        <f t="shared" si="231"/>
        <v>0.27287255916893915</v>
      </c>
      <c r="BL135" s="366">
        <f t="shared" si="231"/>
        <v>0.27287255916893915</v>
      </c>
      <c r="BM135" s="366">
        <f t="shared" si="231"/>
        <v>0.27287255916893915</v>
      </c>
      <c r="BN135" s="366">
        <f t="shared" si="231"/>
        <v>0.27287255916893915</v>
      </c>
      <c r="BO135" s="366">
        <f t="shared" si="231"/>
        <v>0.27287255916893915</v>
      </c>
      <c r="BP135" s="366">
        <f t="shared" si="231"/>
        <v>0.27287255916893915</v>
      </c>
      <c r="BQ135" s="366">
        <f t="shared" si="231"/>
        <v>0.27287255916893915</v>
      </c>
      <c r="BR135" s="366">
        <f t="shared" si="231"/>
        <v>0.27287255916893915</v>
      </c>
      <c r="BS135" s="366">
        <f t="shared" si="231"/>
        <v>0.27287255916893915</v>
      </c>
      <c r="BT135" s="366">
        <f t="shared" si="231"/>
        <v>0.27287255916893915</v>
      </c>
      <c r="BU135" s="366">
        <f t="shared" si="231"/>
        <v>0.27287255916893915</v>
      </c>
      <c r="BV135" s="366">
        <f t="shared" si="231"/>
        <v>0.27287255916893915</v>
      </c>
      <c r="BW135" s="366">
        <f t="shared" si="231"/>
        <v>0.27287255916893915</v>
      </c>
      <c r="BX135" s="366">
        <f t="shared" si="231"/>
        <v>0.27287255916893915</v>
      </c>
      <c r="BY135" s="366">
        <f t="shared" si="231"/>
        <v>0.27287255916893915</v>
      </c>
      <c r="BZ135" s="366">
        <f t="shared" si="231"/>
        <v>0.27287255916893915</v>
      </c>
      <c r="CA135" s="366">
        <f t="shared" si="231"/>
        <v>0.27287255916893915</v>
      </c>
      <c r="CB135" s="366">
        <f t="shared" si="231"/>
        <v>0.27287255916893915</v>
      </c>
      <c r="CC135" s="366">
        <f t="shared" si="231"/>
        <v>0.27287255916893915</v>
      </c>
      <c r="CD135" s="366">
        <f t="shared" si="231"/>
        <v>0.27287255916893915</v>
      </c>
      <c r="CE135" s="366">
        <f t="shared" si="231"/>
        <v>0.27287255916893915</v>
      </c>
      <c r="CF135" s="366">
        <f t="shared" si="231"/>
        <v>0.27287255916893915</v>
      </c>
      <c r="CG135" s="366">
        <f t="shared" si="231"/>
        <v>0.27287255916893915</v>
      </c>
      <c r="CH135" s="366">
        <f t="shared" si="231"/>
        <v>0.27287255916893915</v>
      </c>
      <c r="CI135" s="366">
        <f t="shared" si="231"/>
        <v>0.27287255916893915</v>
      </c>
      <c r="CJ135" s="366">
        <f t="shared" si="231"/>
        <v>0.27287255916893915</v>
      </c>
      <c r="CK135" s="366">
        <f t="shared" si="231"/>
        <v>0.27287255916893915</v>
      </c>
      <c r="CL135" s="366">
        <f t="shared" si="231"/>
        <v>0.27287255916893915</v>
      </c>
      <c r="CM135" s="366">
        <f t="shared" si="231"/>
        <v>0.27287255916893915</v>
      </c>
      <c r="CN135" s="366">
        <f t="shared" si="231"/>
        <v>0.27287255916893915</v>
      </c>
      <c r="CO135" s="366">
        <f t="shared" si="231"/>
        <v>0.27287255916893915</v>
      </c>
      <c r="CP135" s="366">
        <f t="shared" si="231"/>
        <v>0.27287255916893915</v>
      </c>
      <c r="CQ135" s="366">
        <f t="shared" si="231"/>
        <v>0.27287255916893915</v>
      </c>
      <c r="CR135" s="366">
        <f t="shared" si="231"/>
        <v>0.27287255916893915</v>
      </c>
      <c r="CS135" s="366">
        <f t="shared" si="231"/>
        <v>0.27287255916893915</v>
      </c>
      <c r="CT135" s="366">
        <f t="shared" si="231"/>
        <v>0.27287255916893915</v>
      </c>
      <c r="CU135" s="366">
        <f t="shared" si="231"/>
        <v>0.27287255916893915</v>
      </c>
      <c r="CV135" s="366">
        <f t="shared" si="231"/>
        <v>0.27287255916893915</v>
      </c>
      <c r="CW135" s="366">
        <f t="shared" si="231"/>
        <v>0.27287255916893915</v>
      </c>
      <c r="CX135" s="366">
        <f t="shared" si="231"/>
        <v>0.27287255916893915</v>
      </c>
      <c r="CY135" s="366">
        <f t="shared" si="231"/>
        <v>0.27287255916893915</v>
      </c>
      <c r="CZ135" s="366">
        <f t="shared" si="231"/>
        <v>0.27287255916893915</v>
      </c>
      <c r="DA135" s="366">
        <f t="shared" si="231"/>
        <v>0.27287255916893915</v>
      </c>
      <c r="DB135" s="366">
        <f t="shared" si="231"/>
        <v>0.27287255916893915</v>
      </c>
      <c r="DC135" s="366">
        <f t="shared" si="231"/>
        <v>0.27287255916893915</v>
      </c>
      <c r="DD135" s="366">
        <f t="shared" si="231"/>
        <v>0.27287255916893915</v>
      </c>
      <c r="DE135" s="366">
        <f t="shared" si="231"/>
        <v>0.27287255916893915</v>
      </c>
      <c r="DF135" s="366"/>
      <c r="DG135" s="366"/>
      <c r="DH135" s="366"/>
      <c r="DI135" s="366"/>
      <c r="DJ135" s="366"/>
      <c r="DK135" s="366"/>
      <c r="DL135" s="366"/>
    </row>
    <row r="136" spans="1:116" ht="15.75" customHeight="1" outlineLevel="1" x14ac:dyDescent="0.25">
      <c r="A136" s="751"/>
      <c r="B136" s="751"/>
      <c r="C136" s="321" t="s">
        <v>267</v>
      </c>
      <c r="D136" s="279" t="s">
        <v>38</v>
      </c>
      <c r="E136" s="367" t="s">
        <v>268</v>
      </c>
      <c r="F136" s="279"/>
      <c r="G136" s="279" t="s">
        <v>269</v>
      </c>
      <c r="H136" s="368">
        <v>3.4999999999999997E-5</v>
      </c>
      <c r="I136" s="369">
        <v>3.4999999999999997E-5</v>
      </c>
      <c r="J136" s="369">
        <v>3.4999999999999997E-5</v>
      </c>
      <c r="K136" s="369">
        <v>3.4999999999999997E-5</v>
      </c>
      <c r="L136" s="369">
        <v>3.4999999999999997E-5</v>
      </c>
      <c r="M136" s="369">
        <v>3.4999999999999997E-5</v>
      </c>
      <c r="N136" s="369">
        <v>3.4999999999999997E-5</v>
      </c>
      <c r="O136" s="369">
        <v>3.4999999999999997E-5</v>
      </c>
      <c r="P136" s="369">
        <v>3.4999999999999997E-5</v>
      </c>
      <c r="Q136" s="369">
        <v>3.4999999999999997E-5</v>
      </c>
      <c r="R136" s="369">
        <v>3.4999999999999997E-5</v>
      </c>
      <c r="S136" s="369">
        <v>3.4999999999999997E-5</v>
      </c>
      <c r="T136" s="369">
        <v>3.4999999999999997E-5</v>
      </c>
      <c r="U136" s="369">
        <v>3.4999999999999997E-5</v>
      </c>
      <c r="V136" s="369">
        <v>3.4999999999999997E-5</v>
      </c>
      <c r="W136" s="369">
        <v>3.4999999999999997E-5</v>
      </c>
      <c r="X136" s="369">
        <v>3.4999999999999997E-5</v>
      </c>
      <c r="Y136" s="369">
        <v>3.4999999999999997E-5</v>
      </c>
      <c r="Z136" s="369">
        <v>3.4999999999999997E-5</v>
      </c>
      <c r="AA136" s="369">
        <v>3.4999999999999997E-5</v>
      </c>
      <c r="AB136" s="369">
        <v>3.4999999999999997E-5</v>
      </c>
      <c r="AC136" s="369">
        <v>3.4999999999999997E-5</v>
      </c>
      <c r="AD136" s="369">
        <v>3.4999999999999997E-5</v>
      </c>
      <c r="AE136" s="369">
        <v>3.4999999999999997E-5</v>
      </c>
      <c r="AF136" s="369">
        <v>3.4999999999999997E-5</v>
      </c>
      <c r="AG136" s="369">
        <v>3.4999999999999997E-5</v>
      </c>
      <c r="AH136" s="369">
        <v>3.4999999999999997E-5</v>
      </c>
      <c r="AI136" s="369">
        <v>3.4999999999999997E-5</v>
      </c>
      <c r="AJ136" s="369">
        <v>3.4999999999999997E-5</v>
      </c>
      <c r="AK136" s="369">
        <v>3.4999999999999997E-5</v>
      </c>
      <c r="AL136" s="369">
        <v>3.4999999999999997E-5</v>
      </c>
      <c r="AM136" s="369">
        <v>3.4999999999999997E-5</v>
      </c>
      <c r="AN136" s="369">
        <v>3.4999999999999997E-5</v>
      </c>
      <c r="AO136" s="369">
        <v>3.4999999999999997E-5</v>
      </c>
      <c r="AP136" s="369">
        <v>3.4999999999999997E-5</v>
      </c>
      <c r="AQ136" s="369">
        <v>3.4999999999999997E-5</v>
      </c>
      <c r="AR136" s="369">
        <v>3.4999999999999997E-5</v>
      </c>
      <c r="AS136" s="369">
        <v>3.4999999999999997E-5</v>
      </c>
      <c r="AT136" s="369">
        <v>3.4999999999999997E-5</v>
      </c>
      <c r="AU136" s="369">
        <v>3.4999999999999997E-5</v>
      </c>
      <c r="AV136" s="369">
        <v>3.4999999999999997E-5</v>
      </c>
      <c r="AW136" s="369">
        <v>3.4999999999999997E-5</v>
      </c>
      <c r="AX136" s="369">
        <v>3.4999999999999997E-5</v>
      </c>
      <c r="AY136" s="369">
        <v>3.4999999999999997E-5</v>
      </c>
      <c r="AZ136" s="369">
        <v>3.4999999999999997E-5</v>
      </c>
      <c r="BA136" s="369">
        <v>3.4999999999999997E-5</v>
      </c>
      <c r="BB136" s="369">
        <v>3.4999999999999997E-5</v>
      </c>
      <c r="BC136" s="369">
        <v>3.4999999999999997E-5</v>
      </c>
      <c r="BD136" s="369">
        <v>3.4999999999999997E-5</v>
      </c>
      <c r="BE136" s="369">
        <v>3.4999999999999997E-5</v>
      </c>
      <c r="BF136" s="369">
        <v>3.4999999999999997E-5</v>
      </c>
      <c r="BG136" s="369">
        <v>3.4999999999999997E-5</v>
      </c>
      <c r="BH136" s="369">
        <v>3.4999999999999997E-5</v>
      </c>
      <c r="BI136" s="369">
        <v>3.4999999999999997E-5</v>
      </c>
      <c r="BJ136" s="369">
        <v>3.4999999999999997E-5</v>
      </c>
      <c r="BK136" s="369">
        <v>3.4999999999999997E-5</v>
      </c>
      <c r="BL136" s="369">
        <v>3.4999999999999997E-5</v>
      </c>
      <c r="BM136" s="369">
        <v>3.4999999999999997E-5</v>
      </c>
      <c r="BN136" s="369">
        <v>3.4999999999999997E-5</v>
      </c>
      <c r="BO136" s="369">
        <v>3.4999999999999997E-5</v>
      </c>
      <c r="BP136" s="369">
        <v>3.4999999999999997E-5</v>
      </c>
      <c r="BQ136" s="369">
        <v>3.4999999999999997E-5</v>
      </c>
      <c r="BR136" s="369">
        <v>3.4999999999999997E-5</v>
      </c>
      <c r="BS136" s="369">
        <v>3.4999999999999997E-5</v>
      </c>
      <c r="BT136" s="369">
        <v>3.4999999999999997E-5</v>
      </c>
      <c r="BU136" s="369">
        <v>3.4999999999999997E-5</v>
      </c>
      <c r="BV136" s="369">
        <v>3.4999999999999997E-5</v>
      </c>
      <c r="BW136" s="369">
        <v>3.4999999999999997E-5</v>
      </c>
      <c r="BX136" s="369">
        <v>3.4999999999999997E-5</v>
      </c>
      <c r="BY136" s="369">
        <v>3.4999999999999997E-5</v>
      </c>
      <c r="BZ136" s="369">
        <v>3.4999999999999997E-5</v>
      </c>
      <c r="CA136" s="369">
        <v>3.4999999999999997E-5</v>
      </c>
      <c r="CB136" s="369">
        <v>3.4999999999999997E-5</v>
      </c>
      <c r="CC136" s="369">
        <v>3.4999999999999997E-5</v>
      </c>
      <c r="CD136" s="369">
        <v>3.4999999999999997E-5</v>
      </c>
      <c r="CE136" s="369">
        <v>3.4999999999999997E-5</v>
      </c>
      <c r="CF136" s="369">
        <v>3.4999999999999997E-5</v>
      </c>
      <c r="CG136" s="369">
        <v>3.4999999999999997E-5</v>
      </c>
      <c r="CH136" s="369">
        <v>3.4999999999999997E-5</v>
      </c>
      <c r="CI136" s="369">
        <v>3.4999999999999997E-5</v>
      </c>
      <c r="CJ136" s="369">
        <v>3.4999999999999997E-5</v>
      </c>
      <c r="CK136" s="369">
        <v>3.4999999999999997E-5</v>
      </c>
      <c r="CL136" s="369">
        <v>3.4999999999999997E-5</v>
      </c>
      <c r="CM136" s="369">
        <v>3.4999999999999997E-5</v>
      </c>
      <c r="CN136" s="369">
        <v>3.4999999999999997E-5</v>
      </c>
      <c r="CO136" s="369">
        <v>3.4999999999999997E-5</v>
      </c>
      <c r="CP136" s="369">
        <v>3.4999999999999997E-5</v>
      </c>
      <c r="CQ136" s="369">
        <v>3.4999999999999997E-5</v>
      </c>
      <c r="CR136" s="369">
        <v>3.4999999999999997E-5</v>
      </c>
      <c r="CS136" s="369">
        <v>3.4999999999999997E-5</v>
      </c>
      <c r="CT136" s="369">
        <v>3.4999999999999997E-5</v>
      </c>
      <c r="CU136" s="369">
        <v>3.4999999999999997E-5</v>
      </c>
      <c r="CV136" s="369">
        <v>3.4999999999999997E-5</v>
      </c>
      <c r="CW136" s="369">
        <v>3.4999999999999997E-5</v>
      </c>
      <c r="CX136" s="369">
        <v>3.4999999999999997E-5</v>
      </c>
      <c r="CY136" s="369">
        <v>3.4999999999999997E-5</v>
      </c>
      <c r="CZ136" s="369">
        <v>3.4999999999999997E-5</v>
      </c>
      <c r="DA136" s="369">
        <v>3.4999999999999997E-5</v>
      </c>
      <c r="DB136" s="369">
        <v>3.4999999999999997E-5</v>
      </c>
      <c r="DC136" s="369">
        <v>3.4999999999999997E-5</v>
      </c>
      <c r="DD136" s="369">
        <v>3.4999999999999997E-5</v>
      </c>
      <c r="DE136" s="369">
        <v>3.4999999999999997E-5</v>
      </c>
      <c r="DF136" s="369"/>
      <c r="DG136" s="369"/>
      <c r="DH136" s="369"/>
      <c r="DI136" s="369"/>
      <c r="DJ136" s="369"/>
      <c r="DK136" s="369"/>
      <c r="DL136" s="369"/>
    </row>
    <row r="137" spans="1:116" ht="15.75" customHeight="1" outlineLevel="1" x14ac:dyDescent="0.25">
      <c r="A137" s="751"/>
      <c r="B137" s="751"/>
      <c r="C137" s="338" t="s">
        <v>270</v>
      </c>
      <c r="D137" s="339"/>
      <c r="E137" s="340"/>
      <c r="F137" s="339"/>
      <c r="G137" s="339"/>
      <c r="H137" s="368">
        <f t="shared" ref="H137:DE137" si="232">H135*H136</f>
        <v>9.5505395709128691E-6</v>
      </c>
      <c r="I137" s="369">
        <f t="shared" si="232"/>
        <v>9.5505395709128691E-6</v>
      </c>
      <c r="J137" s="369">
        <f t="shared" si="232"/>
        <v>9.5505395709128691E-6</v>
      </c>
      <c r="K137" s="369">
        <f t="shared" si="232"/>
        <v>9.5505395709128691E-6</v>
      </c>
      <c r="L137" s="369">
        <f t="shared" si="232"/>
        <v>9.5505395709128691E-6</v>
      </c>
      <c r="M137" s="369">
        <f t="shared" si="232"/>
        <v>9.5505395709128691E-6</v>
      </c>
      <c r="N137" s="369">
        <f t="shared" si="232"/>
        <v>9.5505395709128691E-6</v>
      </c>
      <c r="O137" s="369">
        <f t="shared" si="232"/>
        <v>9.5505395709128691E-6</v>
      </c>
      <c r="P137" s="369">
        <f t="shared" si="232"/>
        <v>9.5505395709128691E-6</v>
      </c>
      <c r="Q137" s="369">
        <f t="shared" si="232"/>
        <v>9.5505395709128691E-6</v>
      </c>
      <c r="R137" s="369">
        <f t="shared" si="232"/>
        <v>9.5505395709128691E-6</v>
      </c>
      <c r="S137" s="369">
        <f t="shared" si="232"/>
        <v>9.5505395709128691E-6</v>
      </c>
      <c r="T137" s="369">
        <f t="shared" si="232"/>
        <v>9.5505395709128691E-6</v>
      </c>
      <c r="U137" s="369">
        <f t="shared" si="232"/>
        <v>9.5505395709128691E-6</v>
      </c>
      <c r="V137" s="369">
        <f t="shared" si="232"/>
        <v>9.5505395709128691E-6</v>
      </c>
      <c r="W137" s="369">
        <f t="shared" si="232"/>
        <v>9.5505395709128691E-6</v>
      </c>
      <c r="X137" s="369">
        <f t="shared" si="232"/>
        <v>9.5505395709128691E-6</v>
      </c>
      <c r="Y137" s="369">
        <f t="shared" si="232"/>
        <v>9.5505395709128691E-6</v>
      </c>
      <c r="Z137" s="369">
        <f t="shared" si="232"/>
        <v>9.5505395709128691E-6</v>
      </c>
      <c r="AA137" s="369">
        <f t="shared" si="232"/>
        <v>9.5505395709128691E-6</v>
      </c>
      <c r="AB137" s="369">
        <f t="shared" si="232"/>
        <v>9.5505395709128691E-6</v>
      </c>
      <c r="AC137" s="369">
        <f t="shared" si="232"/>
        <v>9.5505395709128691E-6</v>
      </c>
      <c r="AD137" s="369">
        <f t="shared" si="232"/>
        <v>9.5505395709128691E-6</v>
      </c>
      <c r="AE137" s="369">
        <f t="shared" si="232"/>
        <v>9.5505395709128691E-6</v>
      </c>
      <c r="AF137" s="369">
        <f t="shared" si="232"/>
        <v>9.5505395709128691E-6</v>
      </c>
      <c r="AG137" s="369">
        <f t="shared" si="232"/>
        <v>9.5505395709128691E-6</v>
      </c>
      <c r="AH137" s="369">
        <f t="shared" si="232"/>
        <v>9.5505395709128691E-6</v>
      </c>
      <c r="AI137" s="369">
        <f t="shared" si="232"/>
        <v>9.5505395709128691E-6</v>
      </c>
      <c r="AJ137" s="369">
        <f t="shared" si="232"/>
        <v>9.5505395709128691E-6</v>
      </c>
      <c r="AK137" s="369">
        <f t="shared" si="232"/>
        <v>9.5505395709128691E-6</v>
      </c>
      <c r="AL137" s="369">
        <f t="shared" si="232"/>
        <v>9.5505395709128691E-6</v>
      </c>
      <c r="AM137" s="369">
        <f t="shared" si="232"/>
        <v>9.5505395709128691E-6</v>
      </c>
      <c r="AN137" s="369">
        <f t="shared" si="232"/>
        <v>9.5505395709128691E-6</v>
      </c>
      <c r="AO137" s="369">
        <f t="shared" si="232"/>
        <v>9.5505395709128691E-6</v>
      </c>
      <c r="AP137" s="369">
        <f t="shared" si="232"/>
        <v>9.5505395709128691E-6</v>
      </c>
      <c r="AQ137" s="369">
        <f t="shared" si="232"/>
        <v>9.5505395709128691E-6</v>
      </c>
      <c r="AR137" s="369">
        <f t="shared" si="232"/>
        <v>9.5505395709128691E-6</v>
      </c>
      <c r="AS137" s="369">
        <f t="shared" si="232"/>
        <v>9.5505395709128691E-6</v>
      </c>
      <c r="AT137" s="369">
        <f t="shared" si="232"/>
        <v>9.5505395709128691E-6</v>
      </c>
      <c r="AU137" s="369">
        <f t="shared" si="232"/>
        <v>9.5505395709128691E-6</v>
      </c>
      <c r="AV137" s="369">
        <f t="shared" si="232"/>
        <v>9.5505395709128691E-6</v>
      </c>
      <c r="AW137" s="369">
        <f t="shared" si="232"/>
        <v>9.5505395709128691E-6</v>
      </c>
      <c r="AX137" s="369">
        <f t="shared" si="232"/>
        <v>9.5505395709128691E-6</v>
      </c>
      <c r="AY137" s="369">
        <f t="shared" si="232"/>
        <v>9.5505395709128691E-6</v>
      </c>
      <c r="AZ137" s="369">
        <f t="shared" si="232"/>
        <v>9.5505395709128691E-6</v>
      </c>
      <c r="BA137" s="369">
        <f t="shared" si="232"/>
        <v>9.5505395709128691E-6</v>
      </c>
      <c r="BB137" s="369">
        <f t="shared" si="232"/>
        <v>9.5505395709128691E-6</v>
      </c>
      <c r="BC137" s="369">
        <f t="shared" si="232"/>
        <v>9.5505395709128691E-6</v>
      </c>
      <c r="BD137" s="369">
        <f t="shared" si="232"/>
        <v>9.5505395709128691E-6</v>
      </c>
      <c r="BE137" s="369">
        <f t="shared" si="232"/>
        <v>9.5505395709128691E-6</v>
      </c>
      <c r="BF137" s="369">
        <f t="shared" si="232"/>
        <v>9.5505395709128691E-6</v>
      </c>
      <c r="BG137" s="369">
        <f t="shared" si="232"/>
        <v>9.5505395709128691E-6</v>
      </c>
      <c r="BH137" s="369">
        <f t="shared" si="232"/>
        <v>9.5505395709128691E-6</v>
      </c>
      <c r="BI137" s="369">
        <f t="shared" si="232"/>
        <v>9.5505395709128691E-6</v>
      </c>
      <c r="BJ137" s="369">
        <f t="shared" si="232"/>
        <v>9.5505395709128691E-6</v>
      </c>
      <c r="BK137" s="369">
        <f t="shared" si="232"/>
        <v>9.5505395709128691E-6</v>
      </c>
      <c r="BL137" s="369">
        <f t="shared" si="232"/>
        <v>9.5505395709128691E-6</v>
      </c>
      <c r="BM137" s="369">
        <f t="shared" si="232"/>
        <v>9.5505395709128691E-6</v>
      </c>
      <c r="BN137" s="369">
        <f t="shared" si="232"/>
        <v>9.5505395709128691E-6</v>
      </c>
      <c r="BO137" s="369">
        <f t="shared" si="232"/>
        <v>9.5505395709128691E-6</v>
      </c>
      <c r="BP137" s="369">
        <f t="shared" si="232"/>
        <v>9.5505395709128691E-6</v>
      </c>
      <c r="BQ137" s="369">
        <f t="shared" si="232"/>
        <v>9.5505395709128691E-6</v>
      </c>
      <c r="BR137" s="369">
        <f t="shared" si="232"/>
        <v>9.5505395709128691E-6</v>
      </c>
      <c r="BS137" s="369">
        <f t="shared" si="232"/>
        <v>9.5505395709128691E-6</v>
      </c>
      <c r="BT137" s="369">
        <f t="shared" si="232"/>
        <v>9.5505395709128691E-6</v>
      </c>
      <c r="BU137" s="369">
        <f t="shared" si="232"/>
        <v>9.5505395709128691E-6</v>
      </c>
      <c r="BV137" s="369">
        <f t="shared" si="232"/>
        <v>9.5505395709128691E-6</v>
      </c>
      <c r="BW137" s="369">
        <f t="shared" si="232"/>
        <v>9.5505395709128691E-6</v>
      </c>
      <c r="BX137" s="369">
        <f t="shared" si="232"/>
        <v>9.5505395709128691E-6</v>
      </c>
      <c r="BY137" s="369">
        <f t="shared" si="232"/>
        <v>9.5505395709128691E-6</v>
      </c>
      <c r="BZ137" s="369">
        <f t="shared" si="232"/>
        <v>9.5505395709128691E-6</v>
      </c>
      <c r="CA137" s="369">
        <f t="shared" si="232"/>
        <v>9.5505395709128691E-6</v>
      </c>
      <c r="CB137" s="369">
        <f t="shared" si="232"/>
        <v>9.5505395709128691E-6</v>
      </c>
      <c r="CC137" s="369">
        <f t="shared" si="232"/>
        <v>9.5505395709128691E-6</v>
      </c>
      <c r="CD137" s="369">
        <f t="shared" si="232"/>
        <v>9.5505395709128691E-6</v>
      </c>
      <c r="CE137" s="369">
        <f t="shared" si="232"/>
        <v>9.5505395709128691E-6</v>
      </c>
      <c r="CF137" s="369">
        <f t="shared" si="232"/>
        <v>9.5505395709128691E-6</v>
      </c>
      <c r="CG137" s="369">
        <f t="shared" si="232"/>
        <v>9.5505395709128691E-6</v>
      </c>
      <c r="CH137" s="369">
        <f t="shared" si="232"/>
        <v>9.5505395709128691E-6</v>
      </c>
      <c r="CI137" s="369">
        <f t="shared" si="232"/>
        <v>9.5505395709128691E-6</v>
      </c>
      <c r="CJ137" s="369">
        <f t="shared" si="232"/>
        <v>9.5505395709128691E-6</v>
      </c>
      <c r="CK137" s="369">
        <f t="shared" si="232"/>
        <v>9.5505395709128691E-6</v>
      </c>
      <c r="CL137" s="369">
        <f t="shared" si="232"/>
        <v>9.5505395709128691E-6</v>
      </c>
      <c r="CM137" s="369">
        <f t="shared" si="232"/>
        <v>9.5505395709128691E-6</v>
      </c>
      <c r="CN137" s="369">
        <f t="shared" si="232"/>
        <v>9.5505395709128691E-6</v>
      </c>
      <c r="CO137" s="369">
        <f t="shared" si="232"/>
        <v>9.5505395709128691E-6</v>
      </c>
      <c r="CP137" s="369">
        <f t="shared" si="232"/>
        <v>9.5505395709128691E-6</v>
      </c>
      <c r="CQ137" s="369">
        <f t="shared" si="232"/>
        <v>9.5505395709128691E-6</v>
      </c>
      <c r="CR137" s="369">
        <f t="shared" si="232"/>
        <v>9.5505395709128691E-6</v>
      </c>
      <c r="CS137" s="369">
        <f t="shared" si="232"/>
        <v>9.5505395709128691E-6</v>
      </c>
      <c r="CT137" s="369">
        <f t="shared" si="232"/>
        <v>9.5505395709128691E-6</v>
      </c>
      <c r="CU137" s="369">
        <f t="shared" si="232"/>
        <v>9.5505395709128691E-6</v>
      </c>
      <c r="CV137" s="369">
        <f t="shared" si="232"/>
        <v>9.5505395709128691E-6</v>
      </c>
      <c r="CW137" s="369">
        <f t="shared" si="232"/>
        <v>9.5505395709128691E-6</v>
      </c>
      <c r="CX137" s="369">
        <f t="shared" si="232"/>
        <v>9.5505395709128691E-6</v>
      </c>
      <c r="CY137" s="369">
        <f t="shared" si="232"/>
        <v>9.5505395709128691E-6</v>
      </c>
      <c r="CZ137" s="369">
        <f t="shared" si="232"/>
        <v>9.5505395709128691E-6</v>
      </c>
      <c r="DA137" s="369">
        <f t="shared" si="232"/>
        <v>9.5505395709128691E-6</v>
      </c>
      <c r="DB137" s="369">
        <f t="shared" si="232"/>
        <v>9.5505395709128691E-6</v>
      </c>
      <c r="DC137" s="369">
        <f t="shared" si="232"/>
        <v>9.5505395709128691E-6</v>
      </c>
      <c r="DD137" s="369">
        <f t="shared" si="232"/>
        <v>9.5505395709128691E-6</v>
      </c>
      <c r="DE137" s="369">
        <f t="shared" si="232"/>
        <v>9.5505395709128691E-6</v>
      </c>
      <c r="DF137" s="369"/>
      <c r="DG137" s="369"/>
      <c r="DH137" s="369"/>
      <c r="DI137" s="369"/>
      <c r="DJ137" s="369"/>
      <c r="DK137" s="369"/>
      <c r="DL137" s="369"/>
    </row>
    <row r="138" spans="1:116" ht="15.75" customHeight="1" outlineLevel="1" x14ac:dyDescent="0.25">
      <c r="A138" s="751"/>
      <c r="B138" s="751"/>
      <c r="C138" s="347" t="s">
        <v>271</v>
      </c>
      <c r="D138" s="348" t="s">
        <v>239</v>
      </c>
      <c r="E138" s="370" t="s">
        <v>272</v>
      </c>
      <c r="F138" s="348"/>
      <c r="G138" s="371"/>
      <c r="H138" s="372">
        <f>H137*'Unit Costs and Indicators'!$A$133*0.5</f>
        <v>0.26199256757165651</v>
      </c>
      <c r="I138" s="373">
        <f>I137*'Unit Costs and Indicators'!$A$133*0.5</f>
        <v>0.26199256757165651</v>
      </c>
      <c r="J138" s="373">
        <f>(J137*'Unit Costs and Indicators'!$A$133*0.5)+I138</f>
        <v>0.52398513514331302</v>
      </c>
      <c r="K138" s="373">
        <f>(K137*'Unit Costs and Indicators'!$A$133*0.5)+J138</f>
        <v>0.78597770271496947</v>
      </c>
      <c r="L138" s="373">
        <f>(L137*'Unit Costs and Indicators'!$A$133*0.5)+K138</f>
        <v>1.047970270286626</v>
      </c>
      <c r="M138" s="373">
        <f>(M137*'Unit Costs and Indicators'!$A$133*0.5)+L138</f>
        <v>1.3099628378582826</v>
      </c>
      <c r="N138" s="373">
        <f>(N137*'Unit Costs and Indicators'!$A$133*0.5)+M138</f>
        <v>1.5719554054299392</v>
      </c>
      <c r="O138" s="373">
        <f>(O137*'Unit Costs and Indicators'!$A$133*0.5)+N138</f>
        <v>1.8339479730015957</v>
      </c>
      <c r="P138" s="373">
        <f>(P137*'Unit Costs and Indicators'!$A$133*0.5)+O138</f>
        <v>2.0959405405732521</v>
      </c>
      <c r="Q138" s="373">
        <f>(Q137*'Unit Costs and Indicators'!$A$133*0.5)+P138</f>
        <v>2.3579331081449086</v>
      </c>
      <c r="R138" s="373">
        <f>(R137*'Unit Costs and Indicators'!$A$133*0.5)+Q138</f>
        <v>2.6199256757165652</v>
      </c>
      <c r="S138" s="373">
        <f>(S137*'Unit Costs and Indicators'!$A$133*0.5)+R138</f>
        <v>2.8819182432882218</v>
      </c>
      <c r="T138" s="373">
        <f>(T137*'Unit Costs and Indicators'!$A$133*0.5)+S138</f>
        <v>3.1439108108598783</v>
      </c>
      <c r="U138" s="373">
        <f>(U137*'Unit Costs and Indicators'!$A$133*0.5)+T138</f>
        <v>3.4059033784315349</v>
      </c>
      <c r="V138" s="373">
        <f>(V137*'Unit Costs and Indicators'!$A$133*0.5)+U138</f>
        <v>3.6678959460031915</v>
      </c>
      <c r="W138" s="373">
        <f>(W137*'Unit Costs and Indicators'!$A$133*0.5)+V138</f>
        <v>3.929888513574848</v>
      </c>
      <c r="X138" s="373">
        <f>(X137*'Unit Costs and Indicators'!$A$133*0.5)+W138</f>
        <v>4.1918810811465042</v>
      </c>
      <c r="Y138" s="373">
        <f>(Y137*'Unit Costs and Indicators'!$A$133*0.5)+X138</f>
        <v>4.4538736487181607</v>
      </c>
      <c r="Z138" s="373">
        <f>(Z137*'Unit Costs and Indicators'!$A$133*0.5)+Y138</f>
        <v>4.7158662162898173</v>
      </c>
      <c r="AA138" s="373">
        <f>(AA137*'Unit Costs and Indicators'!$A$133*0.5)+Z138</f>
        <v>4.9778587838614738</v>
      </c>
      <c r="AB138" s="373">
        <f>(AB137*'Unit Costs and Indicators'!$A$133*0.5)+AA138</f>
        <v>5.2398513514331304</v>
      </c>
      <c r="AC138" s="373">
        <f>(AC137*'Unit Costs and Indicators'!$A$133*0.5)+AB138</f>
        <v>5.501843919004787</v>
      </c>
      <c r="AD138" s="373">
        <f>(AD137*'Unit Costs and Indicators'!$A$133*0.5)+AC138</f>
        <v>5.7638364865764435</v>
      </c>
      <c r="AE138" s="373">
        <f>(AE137*'Unit Costs and Indicators'!$A$133*0.5)+AD138</f>
        <v>6.0258290541481001</v>
      </c>
      <c r="AF138" s="373">
        <f>(AF137*'Unit Costs and Indicators'!$A$133*0.5)+AE138</f>
        <v>6.2878216217197567</v>
      </c>
      <c r="AG138" s="373">
        <f>(AG137*'Unit Costs and Indicators'!$A$133*0.5)+AF138</f>
        <v>6.5498141892914132</v>
      </c>
      <c r="AH138" s="373">
        <f>(AH137*'Unit Costs and Indicators'!$A$133*0.5)+AG138</f>
        <v>6.8118067568630698</v>
      </c>
      <c r="AI138" s="373">
        <f>(AI137*'Unit Costs and Indicators'!$A$133*0.5)+AH138</f>
        <v>7.0737993244347264</v>
      </c>
      <c r="AJ138" s="373">
        <f>(AJ137*'Unit Costs and Indicators'!$A$133*0.5)+AI138</f>
        <v>7.3357918920063829</v>
      </c>
      <c r="AK138" s="373">
        <f>(AK137*'Unit Costs and Indicators'!$A$133*0.5)+AJ138</f>
        <v>7.5977844595780395</v>
      </c>
      <c r="AL138" s="373">
        <f>(AL137*'Unit Costs and Indicators'!$A$133*0.5)+AK138</f>
        <v>7.8597770271496961</v>
      </c>
      <c r="AM138" s="373">
        <f>(AM137*'Unit Costs and Indicators'!$A$133*0.5)+AL138</f>
        <v>8.1217695947213517</v>
      </c>
      <c r="AN138" s="373">
        <f>(AN137*'Unit Costs and Indicators'!$A$133*0.5)+AM138</f>
        <v>8.3837621622930083</v>
      </c>
      <c r="AO138" s="373">
        <f>(AO137*'Unit Costs and Indicators'!$A$133*0.5)+AN138</f>
        <v>8.6457547298646649</v>
      </c>
      <c r="AP138" s="373">
        <f>(AP137*'Unit Costs and Indicators'!$A$133*0.5)+AO138</f>
        <v>8.9077472974363214</v>
      </c>
      <c r="AQ138" s="373">
        <f>(AQ137*'Unit Costs and Indicators'!$A$133*0.5)+AP138</f>
        <v>9.169739865007978</v>
      </c>
      <c r="AR138" s="373">
        <f>(AR137*'Unit Costs and Indicators'!$A$133*0.5)+AQ138</f>
        <v>9.4317324325796346</v>
      </c>
      <c r="AS138" s="373">
        <f>(AS137*'Unit Costs and Indicators'!$A$133*0.5)+AR138</f>
        <v>9.6937250001512911</v>
      </c>
      <c r="AT138" s="373">
        <f>(AT137*'Unit Costs and Indicators'!$A$133*0.5)+AS138</f>
        <v>9.9557175677229477</v>
      </c>
      <c r="AU138" s="373">
        <f>(AU137*'Unit Costs and Indicators'!$A$133*0.5)+AT138</f>
        <v>10.217710135294604</v>
      </c>
      <c r="AV138" s="373">
        <f>(AV137*'Unit Costs and Indicators'!$A$133*0.5)+AU138</f>
        <v>10.479702702866261</v>
      </c>
      <c r="AW138" s="373">
        <f>(AW137*'Unit Costs and Indicators'!$A$133*0.5)+AV138</f>
        <v>10.741695270437917</v>
      </c>
      <c r="AX138" s="373">
        <f>(AX137*'Unit Costs and Indicators'!$A$133*0.5)+AW138</f>
        <v>11.003687838009574</v>
      </c>
      <c r="AY138" s="373">
        <f>(AY137*'Unit Costs and Indicators'!$A$133*0.5)+AX138</f>
        <v>11.265680405581231</v>
      </c>
      <c r="AZ138" s="373">
        <f>(AZ137*'Unit Costs and Indicators'!$A$133*0.5)+AY138</f>
        <v>11.527672973152887</v>
      </c>
      <c r="BA138" s="373">
        <f>(BA137*'Unit Costs and Indicators'!$A$133*0.5)+AZ138</f>
        <v>11.789665540724544</v>
      </c>
      <c r="BB138" s="373">
        <f>(BB137*'Unit Costs and Indicators'!$A$133*0.5)+BA138</f>
        <v>12.0516581082962</v>
      </c>
      <c r="BC138" s="373">
        <f>(BC137*'Unit Costs and Indicators'!$A$133*0.5)+BB138</f>
        <v>12.313650675867857</v>
      </c>
      <c r="BD138" s="373">
        <f>(BD137*'Unit Costs and Indicators'!$A$133*0.5)+BC138</f>
        <v>12.575643243439513</v>
      </c>
      <c r="BE138" s="373">
        <f>(BE137*'Unit Costs and Indicators'!$A$133*0.5)+BD138</f>
        <v>12.83763581101117</v>
      </c>
      <c r="BF138" s="373">
        <f>(BF137*'Unit Costs and Indicators'!$A$133*0.5)+BE138</f>
        <v>13.099628378582826</v>
      </c>
      <c r="BG138" s="373">
        <f>(BG137*'Unit Costs and Indicators'!$A$133*0.5)+BF138</f>
        <v>13.361620946154483</v>
      </c>
      <c r="BH138" s="373">
        <f>(BH137*'Unit Costs and Indicators'!$A$133*0.5)+BG138</f>
        <v>13.62361351372614</v>
      </c>
      <c r="BI138" s="373">
        <f>(BI137*'Unit Costs and Indicators'!$A$133*0.5)+BH138</f>
        <v>13.885606081297796</v>
      </c>
      <c r="BJ138" s="373">
        <f>(BJ137*'Unit Costs and Indicators'!$A$133*0.5)+BI138</f>
        <v>14.147598648869453</v>
      </c>
      <c r="BK138" s="373">
        <f>(BK137*'Unit Costs and Indicators'!$A$133*0.5)+BJ138</f>
        <v>14.409591216441109</v>
      </c>
      <c r="BL138" s="373">
        <f>(BL137*'Unit Costs and Indicators'!$A$133*0.5)+BK138</f>
        <v>14.671583784012766</v>
      </c>
      <c r="BM138" s="373">
        <f>(BM137*'Unit Costs and Indicators'!$A$133*0.5)+BL138</f>
        <v>14.933576351584422</v>
      </c>
      <c r="BN138" s="373">
        <f>(BN137*'Unit Costs and Indicators'!$A$133*0.5)+BM138</f>
        <v>15.195568919156079</v>
      </c>
      <c r="BO138" s="373">
        <f>(BO137*'Unit Costs and Indicators'!$A$133*0.5)+BN138</f>
        <v>15.457561486727736</v>
      </c>
      <c r="BP138" s="373">
        <f>(BP137*'Unit Costs and Indicators'!$A$133*0.5)+BO138</f>
        <v>15.719554054299392</v>
      </c>
      <c r="BQ138" s="373">
        <f>(BQ137*'Unit Costs and Indicators'!$A$133*0.5)+BP138</f>
        <v>15.981546621871049</v>
      </c>
      <c r="BR138" s="373">
        <f>(BR137*'Unit Costs and Indicators'!$A$133*0.5)+BQ138</f>
        <v>16.243539189442703</v>
      </c>
      <c r="BS138" s="373">
        <f>(BS137*'Unit Costs and Indicators'!$A$133*0.5)+BR138</f>
        <v>16.50553175701436</v>
      </c>
      <c r="BT138" s="373">
        <f>(BT137*'Unit Costs and Indicators'!$A$133*0.5)+BS138</f>
        <v>16.767524324586017</v>
      </c>
      <c r="BU138" s="373">
        <f>(BU137*'Unit Costs and Indicators'!$A$133*0.5)+BT138</f>
        <v>17.029516892157673</v>
      </c>
      <c r="BV138" s="373">
        <f>(BV137*'Unit Costs and Indicators'!$A$133*0.5)+BU138</f>
        <v>17.29150945972933</v>
      </c>
      <c r="BW138" s="373">
        <f>(BW137*'Unit Costs and Indicators'!$A$133*0.5)+BV138</f>
        <v>17.553502027300986</v>
      </c>
      <c r="BX138" s="373">
        <f>(BX137*'Unit Costs and Indicators'!$A$133*0.5)+BW138</f>
        <v>17.815494594872643</v>
      </c>
      <c r="BY138" s="373">
        <f>(BY137*'Unit Costs and Indicators'!$A$133*0.5)+BX138</f>
        <v>18.077487162444299</v>
      </c>
      <c r="BZ138" s="373">
        <f>(BZ137*'Unit Costs and Indicators'!$A$133*0.5)+BY138</f>
        <v>18.339479730015956</v>
      </c>
      <c r="CA138" s="373">
        <f>(CA137*'Unit Costs and Indicators'!$A$133*0.5)+BZ138</f>
        <v>18.601472297587613</v>
      </c>
      <c r="CB138" s="373">
        <f>(CB137*'Unit Costs and Indicators'!$A$133*0.5)+CA138</f>
        <v>18.863464865159269</v>
      </c>
      <c r="CC138" s="373">
        <f>(CC137*'Unit Costs and Indicators'!$A$133*0.5)+CB138</f>
        <v>19.125457432730926</v>
      </c>
      <c r="CD138" s="373">
        <f>(CD137*'Unit Costs and Indicators'!$A$133*0.5)+CC138</f>
        <v>19.387450000302582</v>
      </c>
      <c r="CE138" s="373">
        <f>(CE137*'Unit Costs and Indicators'!$A$133*0.5)+CD138</f>
        <v>19.649442567874239</v>
      </c>
      <c r="CF138" s="373">
        <f>(CF137*'Unit Costs and Indicators'!$A$133*0.5)+CE138</f>
        <v>19.911435135445895</v>
      </c>
      <c r="CG138" s="373">
        <f>(CG137*'Unit Costs and Indicators'!$A$133*0.5)+CF138</f>
        <v>20.173427703017552</v>
      </c>
      <c r="CH138" s="373">
        <f>(CH137*'Unit Costs and Indicators'!$A$133*0.5)+CG138</f>
        <v>20.435420270589209</v>
      </c>
      <c r="CI138" s="373">
        <f>(CI137*'Unit Costs and Indicators'!$A$133*0.5)+CH138</f>
        <v>20.697412838160865</v>
      </c>
      <c r="CJ138" s="373">
        <f>(CJ137*'Unit Costs and Indicators'!$A$133*0.5)+CI138</f>
        <v>20.959405405732522</v>
      </c>
      <c r="CK138" s="373">
        <f>(CK137*'Unit Costs and Indicators'!$A$133*0.5)+CJ138</f>
        <v>21.221397973304178</v>
      </c>
      <c r="CL138" s="373">
        <f>(CL137*'Unit Costs and Indicators'!$A$133*0.5)+CK138</f>
        <v>21.483390540875835</v>
      </c>
      <c r="CM138" s="373">
        <f>(CM137*'Unit Costs and Indicators'!$A$133*0.5)+CL138</f>
        <v>21.745383108447491</v>
      </c>
      <c r="CN138" s="373">
        <f>(CN137*'Unit Costs and Indicators'!$A$133*0.5)+CM138</f>
        <v>22.007375676019148</v>
      </c>
      <c r="CO138" s="373">
        <f>(CO137*'Unit Costs and Indicators'!$A$133*0.5)+CN138</f>
        <v>22.269368243590804</v>
      </c>
      <c r="CP138" s="373">
        <f>(CP137*'Unit Costs and Indicators'!$A$133*0.5)+CO138</f>
        <v>22.531360811162461</v>
      </c>
      <c r="CQ138" s="373">
        <f>(CQ137*'Unit Costs and Indicators'!$A$133*0.5)+CP138</f>
        <v>22.793353378734118</v>
      </c>
      <c r="CR138" s="373">
        <f>(CR137*'Unit Costs and Indicators'!$A$133*0.5)+CQ138</f>
        <v>23.055345946305774</v>
      </c>
      <c r="CS138" s="373">
        <f>(CS137*'Unit Costs and Indicators'!$A$133*0.5)+CR138</f>
        <v>23.317338513877431</v>
      </c>
      <c r="CT138" s="373">
        <f>(CT137*'Unit Costs and Indicators'!$A$133*0.5)+CS138</f>
        <v>23.579331081449087</v>
      </c>
      <c r="CU138" s="373">
        <f>(CU137*'Unit Costs and Indicators'!$A$133*0.5)+CT138</f>
        <v>23.841323649020744</v>
      </c>
      <c r="CV138" s="373">
        <f>(CV137*'Unit Costs and Indicators'!$A$133*0.5)+CU138</f>
        <v>24.1033162165924</v>
      </c>
      <c r="CW138" s="373">
        <f>(CW137*'Unit Costs and Indicators'!$A$133*0.5)+CV138</f>
        <v>24.365308784164057</v>
      </c>
      <c r="CX138" s="373">
        <f>(CX137*'Unit Costs and Indicators'!$A$133*0.5)+CW138</f>
        <v>24.627301351735714</v>
      </c>
      <c r="CY138" s="373">
        <f>(CY137*'Unit Costs and Indicators'!$A$133*0.5)+CX138</f>
        <v>24.88929391930737</v>
      </c>
      <c r="CZ138" s="373">
        <f>(CZ137*'Unit Costs and Indicators'!$A$133*0.5)+CY138</f>
        <v>25.151286486879027</v>
      </c>
      <c r="DA138" s="373">
        <f>(DA137*'Unit Costs and Indicators'!$A$133*0.5)+CZ138</f>
        <v>25.413279054450683</v>
      </c>
      <c r="DB138" s="373">
        <f>(DB137*'Unit Costs and Indicators'!$A$133*0.5)+DA138</f>
        <v>25.67527162202234</v>
      </c>
      <c r="DC138" s="373">
        <f>(DC137*'Unit Costs and Indicators'!$A$133*0.5)+DB138</f>
        <v>25.937264189593996</v>
      </c>
      <c r="DD138" s="373">
        <f>(DD137*'Unit Costs and Indicators'!$A$133*0.5)+DC138</f>
        <v>26.199256757165653</v>
      </c>
      <c r="DE138" s="373">
        <f>(DE137*'Unit Costs and Indicators'!$A$133*0.5)+DD138</f>
        <v>26.46124932473731</v>
      </c>
      <c r="DF138" s="301"/>
      <c r="DG138" s="301"/>
      <c r="DH138" s="301"/>
      <c r="DI138" s="301"/>
      <c r="DJ138" s="301"/>
      <c r="DK138" s="301"/>
      <c r="DL138" s="301"/>
    </row>
    <row r="139" spans="1:116" ht="15.75" customHeight="1" outlineLevel="1" x14ac:dyDescent="0.25">
      <c r="A139" s="751"/>
      <c r="B139" s="751"/>
      <c r="C139" s="374" t="s">
        <v>273</v>
      </c>
      <c r="D139" s="375"/>
      <c r="E139" s="376"/>
      <c r="F139" s="375"/>
      <c r="G139" s="375"/>
      <c r="H139" s="286">
        <v>170</v>
      </c>
      <c r="I139" s="312">
        <f>H139*(1+'Unit Costs and Indicators'!$D$169)</f>
        <v>170</v>
      </c>
      <c r="J139" s="312">
        <f>I139*(1+'Unit Costs and Indicators'!$D$169)</f>
        <v>170</v>
      </c>
      <c r="K139" s="312">
        <f>J139*(1+'Unit Costs and Indicators'!$D$169)</f>
        <v>170</v>
      </c>
      <c r="L139" s="312">
        <f>K139*(1+'Unit Costs and Indicators'!$D$169)</f>
        <v>170</v>
      </c>
      <c r="M139" s="312">
        <f>L139*(1+'Unit Costs and Indicators'!$D$169)</f>
        <v>170</v>
      </c>
      <c r="N139" s="312">
        <f>M139*(1+'Unit Costs and Indicators'!$D$169)</f>
        <v>170</v>
      </c>
      <c r="O139" s="312">
        <f>N139*(1+'Unit Costs and Indicators'!$D$169)</f>
        <v>170</v>
      </c>
      <c r="P139" s="312">
        <f>O139*(1+'Unit Costs and Indicators'!$D$169)</f>
        <v>170</v>
      </c>
      <c r="Q139" s="312">
        <f>P139*(1+'Unit Costs and Indicators'!$D$169)</f>
        <v>170</v>
      </c>
      <c r="R139" s="312">
        <f>Q139*(1+'Unit Costs and Indicators'!$D$169)</f>
        <v>170</v>
      </c>
      <c r="S139" s="312">
        <f>R139*(1+'Unit Costs and Indicators'!$D$169)</f>
        <v>170</v>
      </c>
      <c r="T139" s="312">
        <f>S139*(1+'Unit Costs and Indicators'!$D$169)</f>
        <v>170</v>
      </c>
      <c r="U139" s="312">
        <f>T139*(1+'Unit Costs and Indicators'!$D$169)</f>
        <v>170</v>
      </c>
      <c r="V139" s="312">
        <f>U139*(1+'Unit Costs and Indicators'!$D$169)</f>
        <v>170</v>
      </c>
      <c r="W139" s="312">
        <f>V139*(1+'Unit Costs and Indicators'!$D$169)</f>
        <v>170</v>
      </c>
      <c r="X139" s="312">
        <f>W139*(1+'Unit Costs and Indicators'!$D$169)</f>
        <v>170</v>
      </c>
      <c r="Y139" s="312">
        <f>X139*(1+'Unit Costs and Indicators'!$D$169)</f>
        <v>170</v>
      </c>
      <c r="Z139" s="312">
        <f>Y139*(1+'Unit Costs and Indicators'!$D$169)</f>
        <v>170</v>
      </c>
      <c r="AA139" s="312">
        <f>Z139*(1+'Unit Costs and Indicators'!$D$169)</f>
        <v>170</v>
      </c>
      <c r="AB139" s="312">
        <f>AA139*(1+'Unit Costs and Indicators'!$D$169)</f>
        <v>170</v>
      </c>
      <c r="AC139" s="312">
        <f>AB139*(1+'Unit Costs and Indicators'!$D$169)</f>
        <v>170</v>
      </c>
      <c r="AD139" s="312">
        <f>AC139*(1+'Unit Costs and Indicators'!$D$169)</f>
        <v>170</v>
      </c>
      <c r="AE139" s="312">
        <f>AD139*(1+'Unit Costs and Indicators'!$D$169)</f>
        <v>170</v>
      </c>
      <c r="AF139" s="312">
        <f>AE139*(1+'Unit Costs and Indicators'!$D$169)</f>
        <v>170</v>
      </c>
      <c r="AG139" s="312">
        <f>AF139*(1+'Unit Costs and Indicators'!$D$169)</f>
        <v>170</v>
      </c>
      <c r="AH139" s="312">
        <f>AG139*(1+'Unit Costs and Indicators'!$D$169)</f>
        <v>170</v>
      </c>
      <c r="AI139" s="312">
        <f>AH139*(1+'Unit Costs and Indicators'!$D$169)</f>
        <v>170</v>
      </c>
      <c r="AJ139" s="312">
        <f>AI139*(1+'Unit Costs and Indicators'!$D$169)</f>
        <v>170</v>
      </c>
      <c r="AK139" s="312">
        <f>AJ139*(1+'Unit Costs and Indicators'!$D$169)</f>
        <v>170</v>
      </c>
      <c r="AL139" s="312">
        <f>AK139*(1+'Unit Costs and Indicators'!$D$169)</f>
        <v>170</v>
      </c>
      <c r="AM139" s="312">
        <f>AL139*(1+'Unit Costs and Indicators'!$D$169)</f>
        <v>170</v>
      </c>
      <c r="AN139" s="312">
        <f>AM139*(1+'Unit Costs and Indicators'!$D$169)</f>
        <v>170</v>
      </c>
      <c r="AO139" s="312">
        <f>AN139*(1+'Unit Costs and Indicators'!$D$169)</f>
        <v>170</v>
      </c>
      <c r="AP139" s="312">
        <f>AO139*(1+'Unit Costs and Indicators'!$D$169)</f>
        <v>170</v>
      </c>
      <c r="AQ139" s="312">
        <f>AP139*(1+'Unit Costs and Indicators'!$D$169)</f>
        <v>170</v>
      </c>
      <c r="AR139" s="312">
        <f>AQ139*(1+'Unit Costs and Indicators'!$D$169)</f>
        <v>170</v>
      </c>
      <c r="AS139" s="312">
        <f>AR139*(1+'Unit Costs and Indicators'!$D$169)</f>
        <v>170</v>
      </c>
      <c r="AT139" s="312">
        <f>AS139*(1+'Unit Costs and Indicators'!$D$169)</f>
        <v>170</v>
      </c>
      <c r="AU139" s="312">
        <f>AT139*(1+'Unit Costs and Indicators'!$D$169)</f>
        <v>170</v>
      </c>
      <c r="AV139" s="312">
        <f>AU139*(1+'Unit Costs and Indicators'!$D$169)</f>
        <v>170</v>
      </c>
      <c r="AW139" s="312">
        <f>AV139*(1+'Unit Costs and Indicators'!$D$169)</f>
        <v>170</v>
      </c>
      <c r="AX139" s="312">
        <f>AW139*(1+'Unit Costs and Indicators'!$D$169)</f>
        <v>170</v>
      </c>
      <c r="AY139" s="312">
        <f>AX139*(1+'Unit Costs and Indicators'!$D$169)</f>
        <v>170</v>
      </c>
      <c r="AZ139" s="312">
        <f>AY139*(1+'Unit Costs and Indicators'!$D$169)</f>
        <v>170</v>
      </c>
      <c r="BA139" s="312">
        <f>AZ139*(1+'Unit Costs and Indicators'!$D$169)</f>
        <v>170</v>
      </c>
      <c r="BB139" s="312">
        <f>BA139*(1+'Unit Costs and Indicators'!$D$169)</f>
        <v>170</v>
      </c>
      <c r="BC139" s="312">
        <f>BB139*(1+'Unit Costs and Indicators'!$D$169)</f>
        <v>170</v>
      </c>
      <c r="BD139" s="312">
        <f>BC139*(1+'Unit Costs and Indicators'!$D$169)</f>
        <v>170</v>
      </c>
      <c r="BE139" s="312">
        <f>BD139*(1+'Unit Costs and Indicators'!$D$169)</f>
        <v>170</v>
      </c>
      <c r="BF139" s="312">
        <f>BE139*(1+'Unit Costs and Indicators'!$D$169)</f>
        <v>170</v>
      </c>
      <c r="BG139" s="312">
        <f>BF139*(1+'Unit Costs and Indicators'!$D$169)</f>
        <v>170</v>
      </c>
      <c r="BH139" s="312">
        <f>BG139*(1+'Unit Costs and Indicators'!$D$169)</f>
        <v>170</v>
      </c>
      <c r="BI139" s="312">
        <f>BH139*(1+'Unit Costs and Indicators'!$D$169)</f>
        <v>170</v>
      </c>
      <c r="BJ139" s="312">
        <f>BI139*(1+'Unit Costs and Indicators'!$D$169)</f>
        <v>170</v>
      </c>
      <c r="BK139" s="312">
        <f>BJ139*(1+'Unit Costs and Indicators'!$D$169)</f>
        <v>170</v>
      </c>
      <c r="BL139" s="312">
        <f>BK139*(1+'Unit Costs and Indicators'!$D$169)</f>
        <v>170</v>
      </c>
      <c r="BM139" s="312">
        <f>BL139*(1+'Unit Costs and Indicators'!$D$169)</f>
        <v>170</v>
      </c>
      <c r="BN139" s="312">
        <f>BM139*(1+'Unit Costs and Indicators'!$D$169)</f>
        <v>170</v>
      </c>
      <c r="BO139" s="312">
        <f>BN139*(1+'Unit Costs and Indicators'!$D$169)</f>
        <v>170</v>
      </c>
      <c r="BP139" s="312">
        <f>BO139*(1+'Unit Costs and Indicators'!$D$169)</f>
        <v>170</v>
      </c>
      <c r="BQ139" s="312">
        <f>BP139*(1+'Unit Costs and Indicators'!$D$169)</f>
        <v>170</v>
      </c>
      <c r="BR139" s="312">
        <f>BQ139*(1+'Unit Costs and Indicators'!$D$169)</f>
        <v>170</v>
      </c>
      <c r="BS139" s="312">
        <f>BR139*(1+'Unit Costs and Indicators'!$D$169)</f>
        <v>170</v>
      </c>
      <c r="BT139" s="312">
        <f>BS139*(1+'Unit Costs and Indicators'!$D$169)</f>
        <v>170</v>
      </c>
      <c r="BU139" s="312">
        <f>BT139*(1+'Unit Costs and Indicators'!$D$169)</f>
        <v>170</v>
      </c>
      <c r="BV139" s="312">
        <f>BU139*(1+'Unit Costs and Indicators'!$D$169)</f>
        <v>170</v>
      </c>
      <c r="BW139" s="312">
        <f>BV139*(1+'Unit Costs and Indicators'!$D$169)</f>
        <v>170</v>
      </c>
      <c r="BX139" s="312">
        <f>BW139*(1+'Unit Costs and Indicators'!$D$169)</f>
        <v>170</v>
      </c>
      <c r="BY139" s="312">
        <f>BX139*(1+'Unit Costs and Indicators'!$D$169)</f>
        <v>170</v>
      </c>
      <c r="BZ139" s="312">
        <f>BY139*(1+'Unit Costs and Indicators'!$D$169)</f>
        <v>170</v>
      </c>
      <c r="CA139" s="312">
        <f>BZ139*(1+'Unit Costs and Indicators'!$D$169)</f>
        <v>170</v>
      </c>
      <c r="CB139" s="312">
        <f>CA139*(1+'Unit Costs and Indicators'!$D$169)</f>
        <v>170</v>
      </c>
      <c r="CC139" s="312">
        <f>CB139*(1+'Unit Costs and Indicators'!$D$169)</f>
        <v>170</v>
      </c>
      <c r="CD139" s="312">
        <f>CC139*(1+'Unit Costs and Indicators'!$D$169)</f>
        <v>170</v>
      </c>
      <c r="CE139" s="312">
        <f>CD139*(1+'Unit Costs and Indicators'!$D$169)</f>
        <v>170</v>
      </c>
      <c r="CF139" s="312">
        <f>CE139*(1+'Unit Costs and Indicators'!$D$169)</f>
        <v>170</v>
      </c>
      <c r="CG139" s="312">
        <f>CF139*(1+'Unit Costs and Indicators'!$D$169)</f>
        <v>170</v>
      </c>
      <c r="CH139" s="312">
        <f>CG139*(1+'Unit Costs and Indicators'!$D$169)</f>
        <v>170</v>
      </c>
      <c r="CI139" s="312">
        <f>CH139*(1+'Unit Costs and Indicators'!$D$169)</f>
        <v>170</v>
      </c>
      <c r="CJ139" s="312">
        <f>CI139*(1+'Unit Costs and Indicators'!$D$169)</f>
        <v>170</v>
      </c>
      <c r="CK139" s="312">
        <f>CJ139*(1+'Unit Costs and Indicators'!$D$169)</f>
        <v>170</v>
      </c>
      <c r="CL139" s="312">
        <f>CK139*(1+'Unit Costs and Indicators'!$D$169)</f>
        <v>170</v>
      </c>
      <c r="CM139" s="312">
        <f>CL139*(1+'Unit Costs and Indicators'!$D$169)</f>
        <v>170</v>
      </c>
      <c r="CN139" s="312">
        <f>CM139*(1+'Unit Costs and Indicators'!$D$169)</f>
        <v>170</v>
      </c>
      <c r="CO139" s="312">
        <f>CN139*(1+'Unit Costs and Indicators'!$D$169)</f>
        <v>170</v>
      </c>
      <c r="CP139" s="312">
        <f>CO139*(1+'Unit Costs and Indicators'!$D$169)</f>
        <v>170</v>
      </c>
      <c r="CQ139" s="312">
        <f>CP139*(1+'Unit Costs and Indicators'!$D$169)</f>
        <v>170</v>
      </c>
      <c r="CR139" s="312">
        <f>CQ139*(1+'Unit Costs and Indicators'!$D$169)</f>
        <v>170</v>
      </c>
      <c r="CS139" s="312">
        <f>CR139*(1+'Unit Costs and Indicators'!$D$169)</f>
        <v>170</v>
      </c>
      <c r="CT139" s="312">
        <f>CS139*(1+'Unit Costs and Indicators'!$D$169)</f>
        <v>170</v>
      </c>
      <c r="CU139" s="312">
        <f>CT139*(1+'Unit Costs and Indicators'!$D$169)</f>
        <v>170</v>
      </c>
      <c r="CV139" s="312">
        <f>CU139*(1+'Unit Costs and Indicators'!$D$169)</f>
        <v>170</v>
      </c>
      <c r="CW139" s="312">
        <f>CV139*(1+'Unit Costs and Indicators'!$D$169)</f>
        <v>170</v>
      </c>
      <c r="CX139" s="312">
        <f>CW139*(1+'Unit Costs and Indicators'!$D$169)</f>
        <v>170</v>
      </c>
      <c r="CY139" s="312">
        <f>CX139*(1+'Unit Costs and Indicators'!$D$169)</f>
        <v>170</v>
      </c>
      <c r="CZ139" s="312">
        <f>CY139*(1+'Unit Costs and Indicators'!$D$169)</f>
        <v>170</v>
      </c>
      <c r="DA139" s="312">
        <f>CZ139*(1+'Unit Costs and Indicators'!$D$169)</f>
        <v>170</v>
      </c>
      <c r="DB139" s="312">
        <f>DA139*(1+'Unit Costs and Indicators'!$D$169)</f>
        <v>170</v>
      </c>
      <c r="DC139" s="312">
        <f>DB139*(1+'Unit Costs and Indicators'!$D$169)</f>
        <v>170</v>
      </c>
      <c r="DD139" s="312">
        <f>DC139*(1+'Unit Costs and Indicators'!$D$169)</f>
        <v>170</v>
      </c>
      <c r="DE139" s="312">
        <f>DD139*(1+'Unit Costs and Indicators'!$D$169)</f>
        <v>170</v>
      </c>
      <c r="DF139" s="312"/>
      <c r="DG139" s="312"/>
      <c r="DH139" s="312"/>
      <c r="DI139" s="312"/>
      <c r="DJ139" s="312"/>
      <c r="DK139" s="312"/>
      <c r="DL139" s="312"/>
    </row>
    <row r="140" spans="1:116" ht="15.75" customHeight="1" outlineLevel="1" x14ac:dyDescent="0.25">
      <c r="A140" s="751"/>
      <c r="B140" s="751"/>
      <c r="C140" s="374" t="s">
        <v>274</v>
      </c>
      <c r="D140" s="375"/>
      <c r="E140" s="376"/>
      <c r="F140" s="375"/>
      <c r="G140" s="375"/>
      <c r="H140" s="313">
        <f>((3.49/100)*'Unit Costs and Indicators'!$A$133)*H139</f>
        <v>325510.80320880003</v>
      </c>
      <c r="I140" s="296">
        <f>((3.49/100)*'Unit Costs and Indicators'!$A$133)*I139</f>
        <v>325510.80320880003</v>
      </c>
      <c r="J140" s="296">
        <f>((3.49/100)*'Unit Costs and Indicators'!$A$133)*J139</f>
        <v>325510.80320880003</v>
      </c>
      <c r="K140" s="296">
        <f>((3.49/100)*'Unit Costs and Indicators'!$A$133)*K139</f>
        <v>325510.80320880003</v>
      </c>
      <c r="L140" s="296">
        <f>((3.49/100)*'Unit Costs and Indicators'!$A$133)*L139</f>
        <v>325510.80320880003</v>
      </c>
      <c r="M140" s="296">
        <f>((3.49/100)*'Unit Costs and Indicators'!$A$133)*M139</f>
        <v>325510.80320880003</v>
      </c>
      <c r="N140" s="296">
        <f>((3.49/100)*'Unit Costs and Indicators'!$A$133)*N139</f>
        <v>325510.80320880003</v>
      </c>
      <c r="O140" s="296">
        <f>((3.49/100)*'Unit Costs and Indicators'!$A$133)*O139</f>
        <v>325510.80320880003</v>
      </c>
      <c r="P140" s="296">
        <f>((3.49/100)*'Unit Costs and Indicators'!$A$133)*P139</f>
        <v>325510.80320880003</v>
      </c>
      <c r="Q140" s="296">
        <f>((3.49/100)*'Unit Costs and Indicators'!$A$133)*Q139</f>
        <v>325510.80320880003</v>
      </c>
      <c r="R140" s="296">
        <f>((3.49/100)*'Unit Costs and Indicators'!$A$133)*R139</f>
        <v>325510.80320880003</v>
      </c>
      <c r="S140" s="296">
        <f>((3.49/100)*'Unit Costs and Indicators'!$A$133)*S139</f>
        <v>325510.80320880003</v>
      </c>
      <c r="T140" s="296">
        <f>((3.49/100)*'Unit Costs and Indicators'!$A$133)*T139</f>
        <v>325510.80320880003</v>
      </c>
      <c r="U140" s="296">
        <f>((3.49/100)*'Unit Costs and Indicators'!$A$133)*U139</f>
        <v>325510.80320880003</v>
      </c>
      <c r="V140" s="296">
        <f>((3.49/100)*'Unit Costs and Indicators'!$A$133)*V139</f>
        <v>325510.80320880003</v>
      </c>
      <c r="W140" s="296">
        <f>((3.49/100)*'Unit Costs and Indicators'!$A$133)*W139</f>
        <v>325510.80320880003</v>
      </c>
      <c r="X140" s="296">
        <f>((3.49/100)*'Unit Costs and Indicators'!$A$133)*X139</f>
        <v>325510.80320880003</v>
      </c>
      <c r="Y140" s="296">
        <f>((3.49/100)*'Unit Costs and Indicators'!$A$133)*Y139</f>
        <v>325510.80320880003</v>
      </c>
      <c r="Z140" s="296">
        <f>((3.49/100)*'Unit Costs and Indicators'!$A$133)*Z139</f>
        <v>325510.80320880003</v>
      </c>
      <c r="AA140" s="296">
        <f>((3.49/100)*'Unit Costs and Indicators'!$A$133)*AA139</f>
        <v>325510.80320880003</v>
      </c>
      <c r="AB140" s="296">
        <f>((3.49/100)*'Unit Costs and Indicators'!$A$133)*AB139</f>
        <v>325510.80320880003</v>
      </c>
      <c r="AC140" s="296">
        <f>((3.49/100)*'Unit Costs and Indicators'!$A$133)*AC139</f>
        <v>325510.80320880003</v>
      </c>
      <c r="AD140" s="296">
        <f>((3.49/100)*'Unit Costs and Indicators'!$A$133)*AD139</f>
        <v>325510.80320880003</v>
      </c>
      <c r="AE140" s="296">
        <f>((3.49/100)*'Unit Costs and Indicators'!$A$133)*AE139</f>
        <v>325510.80320880003</v>
      </c>
      <c r="AF140" s="296">
        <f>((3.49/100)*'Unit Costs and Indicators'!$A$133)*AF139</f>
        <v>325510.80320880003</v>
      </c>
      <c r="AG140" s="296">
        <f>((3.49/100)*'Unit Costs and Indicators'!$A$133)*AG139</f>
        <v>325510.80320880003</v>
      </c>
      <c r="AH140" s="296">
        <f>((3.49/100)*'Unit Costs and Indicators'!$A$133)*AH139</f>
        <v>325510.80320880003</v>
      </c>
      <c r="AI140" s="296">
        <f>((3.49/100)*'Unit Costs and Indicators'!$A$133)*AI139</f>
        <v>325510.80320880003</v>
      </c>
      <c r="AJ140" s="296">
        <f>((3.49/100)*'Unit Costs and Indicators'!$A$133)*AJ139</f>
        <v>325510.80320880003</v>
      </c>
      <c r="AK140" s="296">
        <f>((3.49/100)*'Unit Costs and Indicators'!$A$133)*AK139</f>
        <v>325510.80320880003</v>
      </c>
      <c r="AL140" s="296">
        <f>((3.49/100)*'Unit Costs and Indicators'!$A$133)*AL139</f>
        <v>325510.80320880003</v>
      </c>
      <c r="AM140" s="296">
        <f>((3.49/100)*'Unit Costs and Indicators'!$A$133)*AM139</f>
        <v>325510.80320880003</v>
      </c>
      <c r="AN140" s="296">
        <f>((3.49/100)*'Unit Costs and Indicators'!$A$133)*AN139</f>
        <v>325510.80320880003</v>
      </c>
      <c r="AO140" s="296">
        <f>((3.49/100)*'Unit Costs and Indicators'!$A$133)*AO139</f>
        <v>325510.80320880003</v>
      </c>
      <c r="AP140" s="296">
        <f>((3.49/100)*'Unit Costs and Indicators'!$A$133)*AP139</f>
        <v>325510.80320880003</v>
      </c>
      <c r="AQ140" s="296">
        <f>((3.49/100)*'Unit Costs and Indicators'!$A$133)*AQ139</f>
        <v>325510.80320880003</v>
      </c>
      <c r="AR140" s="296">
        <f>((3.49/100)*'Unit Costs and Indicators'!$A$133)*AR139</f>
        <v>325510.80320880003</v>
      </c>
      <c r="AS140" s="296">
        <f>((3.49/100)*'Unit Costs and Indicators'!$A$133)*AS139</f>
        <v>325510.80320880003</v>
      </c>
      <c r="AT140" s="296">
        <f>((3.49/100)*'Unit Costs and Indicators'!$A$133)*AT139</f>
        <v>325510.80320880003</v>
      </c>
      <c r="AU140" s="296">
        <f>((3.49/100)*'Unit Costs and Indicators'!$A$133)*AU139</f>
        <v>325510.80320880003</v>
      </c>
      <c r="AV140" s="296">
        <f>((3.49/100)*'Unit Costs and Indicators'!$A$133)*AV139</f>
        <v>325510.80320880003</v>
      </c>
      <c r="AW140" s="296">
        <f>((3.49/100)*'Unit Costs and Indicators'!$A$133)*AW139</f>
        <v>325510.80320880003</v>
      </c>
      <c r="AX140" s="296">
        <f>((3.49/100)*'Unit Costs and Indicators'!$A$133)*AX139</f>
        <v>325510.80320880003</v>
      </c>
      <c r="AY140" s="296">
        <f>((3.49/100)*'Unit Costs and Indicators'!$A$133)*AY139</f>
        <v>325510.80320880003</v>
      </c>
      <c r="AZ140" s="296">
        <f>((3.49/100)*'Unit Costs and Indicators'!$A$133)*AZ139</f>
        <v>325510.80320880003</v>
      </c>
      <c r="BA140" s="296">
        <f>((3.49/100)*'Unit Costs and Indicators'!$A$133)*BA139</f>
        <v>325510.80320880003</v>
      </c>
      <c r="BB140" s="296">
        <f>((3.49/100)*'Unit Costs and Indicators'!$A$133)*BB139</f>
        <v>325510.80320880003</v>
      </c>
      <c r="BC140" s="296">
        <f>((3.49/100)*'Unit Costs and Indicators'!$A$133)*BC139</f>
        <v>325510.80320880003</v>
      </c>
      <c r="BD140" s="296">
        <f>((3.49/100)*'Unit Costs and Indicators'!$A$133)*BD139</f>
        <v>325510.80320880003</v>
      </c>
      <c r="BE140" s="296">
        <f>((3.49/100)*'Unit Costs and Indicators'!$A$133)*BE139</f>
        <v>325510.80320880003</v>
      </c>
      <c r="BF140" s="296">
        <f>((3.49/100)*'Unit Costs and Indicators'!$A$133)*BF139</f>
        <v>325510.80320880003</v>
      </c>
      <c r="BG140" s="296">
        <f>((3.49/100)*'Unit Costs and Indicators'!$A$133)*BG139</f>
        <v>325510.80320880003</v>
      </c>
      <c r="BH140" s="296">
        <f>((3.49/100)*'Unit Costs and Indicators'!$A$133)*BH139</f>
        <v>325510.80320880003</v>
      </c>
      <c r="BI140" s="296">
        <f>((3.49/100)*'Unit Costs and Indicators'!$A$133)*BI139</f>
        <v>325510.80320880003</v>
      </c>
      <c r="BJ140" s="296">
        <f>((3.49/100)*'Unit Costs and Indicators'!$A$133)*BJ139</f>
        <v>325510.80320880003</v>
      </c>
      <c r="BK140" s="296">
        <f>((3.49/100)*'Unit Costs and Indicators'!$A$133)*BK139</f>
        <v>325510.80320880003</v>
      </c>
      <c r="BL140" s="296">
        <f>((3.49/100)*'Unit Costs and Indicators'!$A$133)*BL139</f>
        <v>325510.80320880003</v>
      </c>
      <c r="BM140" s="296">
        <f>((3.49/100)*'Unit Costs and Indicators'!$A$133)*BM139</f>
        <v>325510.80320880003</v>
      </c>
      <c r="BN140" s="296">
        <f>((3.49/100)*'Unit Costs and Indicators'!$A$133)*BN139</f>
        <v>325510.80320880003</v>
      </c>
      <c r="BO140" s="296">
        <f>((3.49/100)*'Unit Costs and Indicators'!$A$133)*BO139</f>
        <v>325510.80320880003</v>
      </c>
      <c r="BP140" s="296">
        <f>((3.49/100)*'Unit Costs and Indicators'!$A$133)*BP139</f>
        <v>325510.80320880003</v>
      </c>
      <c r="BQ140" s="296">
        <f>((3.49/100)*'Unit Costs and Indicators'!$A$133)*BQ139</f>
        <v>325510.80320880003</v>
      </c>
      <c r="BR140" s="296">
        <f>((3.49/100)*'Unit Costs and Indicators'!$A$133)*BR139</f>
        <v>325510.80320880003</v>
      </c>
      <c r="BS140" s="296">
        <f>((3.49/100)*'Unit Costs and Indicators'!$A$133)*BS139</f>
        <v>325510.80320880003</v>
      </c>
      <c r="BT140" s="296">
        <f>((3.49/100)*'Unit Costs and Indicators'!$A$133)*BT139</f>
        <v>325510.80320880003</v>
      </c>
      <c r="BU140" s="296">
        <f>((3.49/100)*'Unit Costs and Indicators'!$A$133)*BU139</f>
        <v>325510.80320880003</v>
      </c>
      <c r="BV140" s="296">
        <f>((3.49/100)*'Unit Costs and Indicators'!$A$133)*BV139</f>
        <v>325510.80320880003</v>
      </c>
      <c r="BW140" s="296">
        <f>((3.49/100)*'Unit Costs and Indicators'!$A$133)*BW139</f>
        <v>325510.80320880003</v>
      </c>
      <c r="BX140" s="296">
        <f>((3.49/100)*'Unit Costs and Indicators'!$A$133)*BX139</f>
        <v>325510.80320880003</v>
      </c>
      <c r="BY140" s="296">
        <f>((3.49/100)*'Unit Costs and Indicators'!$A$133)*BY139</f>
        <v>325510.80320880003</v>
      </c>
      <c r="BZ140" s="296">
        <f>((3.49/100)*'Unit Costs and Indicators'!$A$133)*BZ139</f>
        <v>325510.80320880003</v>
      </c>
      <c r="CA140" s="296">
        <f>((3.49/100)*'Unit Costs and Indicators'!$A$133)*CA139</f>
        <v>325510.80320880003</v>
      </c>
      <c r="CB140" s="296">
        <f>((3.49/100)*'Unit Costs and Indicators'!$A$133)*CB139</f>
        <v>325510.80320880003</v>
      </c>
      <c r="CC140" s="296">
        <f>((3.49/100)*'Unit Costs and Indicators'!$A$133)*CC139</f>
        <v>325510.80320880003</v>
      </c>
      <c r="CD140" s="296">
        <f>((3.49/100)*'Unit Costs and Indicators'!$A$133)*CD139</f>
        <v>325510.80320880003</v>
      </c>
      <c r="CE140" s="296">
        <f>((3.49/100)*'Unit Costs and Indicators'!$A$133)*CE139</f>
        <v>325510.80320880003</v>
      </c>
      <c r="CF140" s="296">
        <f>((3.49/100)*'Unit Costs and Indicators'!$A$133)*CF139</f>
        <v>325510.80320880003</v>
      </c>
      <c r="CG140" s="296">
        <f>((3.49/100)*'Unit Costs and Indicators'!$A$133)*CG139</f>
        <v>325510.80320880003</v>
      </c>
      <c r="CH140" s="296">
        <f>((3.49/100)*'Unit Costs and Indicators'!$A$133)*CH139</f>
        <v>325510.80320880003</v>
      </c>
      <c r="CI140" s="296">
        <f>((3.49/100)*'Unit Costs and Indicators'!$A$133)*CI139</f>
        <v>325510.80320880003</v>
      </c>
      <c r="CJ140" s="296">
        <f>((3.49/100)*'Unit Costs and Indicators'!$A$133)*CJ139</f>
        <v>325510.80320880003</v>
      </c>
      <c r="CK140" s="296">
        <f>((3.49/100)*'Unit Costs and Indicators'!$A$133)*CK139</f>
        <v>325510.80320880003</v>
      </c>
      <c r="CL140" s="296">
        <f>((3.49/100)*'Unit Costs and Indicators'!$A$133)*CL139</f>
        <v>325510.80320880003</v>
      </c>
      <c r="CM140" s="296">
        <f>((3.49/100)*'Unit Costs and Indicators'!$A$133)*CM139</f>
        <v>325510.80320880003</v>
      </c>
      <c r="CN140" s="296">
        <f>((3.49/100)*'Unit Costs and Indicators'!$A$133)*CN139</f>
        <v>325510.80320880003</v>
      </c>
      <c r="CO140" s="296">
        <f>((3.49/100)*'Unit Costs and Indicators'!$A$133)*CO139</f>
        <v>325510.80320880003</v>
      </c>
      <c r="CP140" s="296">
        <f>((3.49/100)*'Unit Costs and Indicators'!$A$133)*CP139</f>
        <v>325510.80320880003</v>
      </c>
      <c r="CQ140" s="296">
        <f>((3.49/100)*'Unit Costs and Indicators'!$A$133)*CQ139</f>
        <v>325510.80320880003</v>
      </c>
      <c r="CR140" s="296">
        <f>((3.49/100)*'Unit Costs and Indicators'!$A$133)*CR139</f>
        <v>325510.80320880003</v>
      </c>
      <c r="CS140" s="296">
        <f>((3.49/100)*'Unit Costs and Indicators'!$A$133)*CS139</f>
        <v>325510.80320880003</v>
      </c>
      <c r="CT140" s="296">
        <f>((3.49/100)*'Unit Costs and Indicators'!$A$133)*CT139</f>
        <v>325510.80320880003</v>
      </c>
      <c r="CU140" s="296">
        <f>((3.49/100)*'Unit Costs and Indicators'!$A$133)*CU139</f>
        <v>325510.80320880003</v>
      </c>
      <c r="CV140" s="296">
        <f>((3.49/100)*'Unit Costs and Indicators'!$A$133)*CV139</f>
        <v>325510.80320880003</v>
      </c>
      <c r="CW140" s="296">
        <f>((3.49/100)*'Unit Costs and Indicators'!$A$133)*CW139</f>
        <v>325510.80320880003</v>
      </c>
      <c r="CX140" s="296">
        <f>((3.49/100)*'Unit Costs and Indicators'!$A$133)*CX139</f>
        <v>325510.80320880003</v>
      </c>
      <c r="CY140" s="296">
        <f>((3.49/100)*'Unit Costs and Indicators'!$A$133)*CY139</f>
        <v>325510.80320880003</v>
      </c>
      <c r="CZ140" s="296">
        <f>((3.49/100)*'Unit Costs and Indicators'!$A$133)*CZ139</f>
        <v>325510.80320880003</v>
      </c>
      <c r="DA140" s="296">
        <f>((3.49/100)*'Unit Costs and Indicators'!$A$133)*DA139</f>
        <v>325510.80320880003</v>
      </c>
      <c r="DB140" s="296">
        <f>((3.49/100)*'Unit Costs and Indicators'!$A$133)*DB139</f>
        <v>325510.80320880003</v>
      </c>
      <c r="DC140" s="296">
        <f>((3.49/100)*'Unit Costs and Indicators'!$A$133)*DC139</f>
        <v>325510.80320880003</v>
      </c>
      <c r="DD140" s="296">
        <f>((3.49/100)*'Unit Costs and Indicators'!$A$133)*DD139</f>
        <v>325510.80320880003</v>
      </c>
      <c r="DE140" s="296">
        <f>((3.49/100)*'Unit Costs and Indicators'!$A$133)*DE139</f>
        <v>325510.80320880003</v>
      </c>
      <c r="DF140" s="287"/>
      <c r="DG140" s="287"/>
      <c r="DH140" s="287"/>
      <c r="DI140" s="287"/>
      <c r="DJ140" s="287"/>
      <c r="DK140" s="287"/>
      <c r="DL140" s="287"/>
    </row>
    <row r="141" spans="1:116" ht="15.75" customHeight="1" outlineLevel="1" x14ac:dyDescent="0.25">
      <c r="A141" s="751"/>
      <c r="B141" s="751"/>
      <c r="C141" s="377" t="s">
        <v>275</v>
      </c>
      <c r="D141" s="378"/>
      <c r="E141" s="379"/>
      <c r="F141" s="378"/>
      <c r="G141" s="378"/>
      <c r="H141" s="335">
        <f>H140*'Unit Costs and Indicators'!$L$10</f>
        <v>27.244218014204545</v>
      </c>
      <c r="I141" s="336">
        <f>I140*'Unit Costs and Indicators'!$L$10</f>
        <v>27.244218014204545</v>
      </c>
      <c r="J141" s="336">
        <f>J140*'Unit Costs and Indicators'!$L$10</f>
        <v>27.244218014204545</v>
      </c>
      <c r="K141" s="336">
        <f>K140*'Unit Costs and Indicators'!$L$10</f>
        <v>27.244218014204545</v>
      </c>
      <c r="L141" s="336">
        <f>L140*'Unit Costs and Indicators'!$L$10</f>
        <v>27.244218014204545</v>
      </c>
      <c r="M141" s="336">
        <f>M140*'Unit Costs and Indicators'!$L$10</f>
        <v>27.244218014204545</v>
      </c>
      <c r="N141" s="336">
        <f>N140*'Unit Costs and Indicators'!$L$10</f>
        <v>27.244218014204545</v>
      </c>
      <c r="O141" s="336">
        <f>O140*'Unit Costs and Indicators'!$L$10</f>
        <v>27.244218014204545</v>
      </c>
      <c r="P141" s="336">
        <f>P140*'Unit Costs and Indicators'!$L$10</f>
        <v>27.244218014204545</v>
      </c>
      <c r="Q141" s="336">
        <f>Q140*'Unit Costs and Indicators'!$L$10</f>
        <v>27.244218014204545</v>
      </c>
      <c r="R141" s="336">
        <f>R140*'Unit Costs and Indicators'!$L$10</f>
        <v>27.244218014204545</v>
      </c>
      <c r="S141" s="336">
        <f>S140*'Unit Costs and Indicators'!$L$10</f>
        <v>27.244218014204545</v>
      </c>
      <c r="T141" s="336">
        <f>T140*'Unit Costs and Indicators'!$L$10</f>
        <v>27.244218014204545</v>
      </c>
      <c r="U141" s="336">
        <f>U140*'Unit Costs and Indicators'!$L$10</f>
        <v>27.244218014204545</v>
      </c>
      <c r="V141" s="336">
        <f>V140*'Unit Costs and Indicators'!$L$10</f>
        <v>27.244218014204545</v>
      </c>
      <c r="W141" s="336">
        <f>W140*'Unit Costs and Indicators'!$L$10</f>
        <v>27.244218014204545</v>
      </c>
      <c r="X141" s="336">
        <f>X140*'Unit Costs and Indicators'!$L$10</f>
        <v>27.244218014204545</v>
      </c>
      <c r="Y141" s="336">
        <f>Y140*'Unit Costs and Indicators'!$L$10</f>
        <v>27.244218014204545</v>
      </c>
      <c r="Z141" s="336">
        <f>Z140*'Unit Costs and Indicators'!$L$10</f>
        <v>27.244218014204545</v>
      </c>
      <c r="AA141" s="336">
        <f>AA140*'Unit Costs and Indicators'!$L$10</f>
        <v>27.244218014204545</v>
      </c>
      <c r="AB141" s="336">
        <f>AB140*'Unit Costs and Indicators'!$L$10</f>
        <v>27.244218014204545</v>
      </c>
      <c r="AC141" s="336">
        <f>AC140*'Unit Costs and Indicators'!$L$10</f>
        <v>27.244218014204545</v>
      </c>
      <c r="AD141" s="336">
        <f>AD140*'Unit Costs and Indicators'!$L$10</f>
        <v>27.244218014204545</v>
      </c>
      <c r="AE141" s="336">
        <f>AE140*'Unit Costs and Indicators'!$L$10</f>
        <v>27.244218014204545</v>
      </c>
      <c r="AF141" s="336">
        <f>AF140*'Unit Costs and Indicators'!$L$10</f>
        <v>27.244218014204545</v>
      </c>
      <c r="AG141" s="336">
        <f>AG140*'Unit Costs and Indicators'!$L$10</f>
        <v>27.244218014204545</v>
      </c>
      <c r="AH141" s="336">
        <f>AH140*'Unit Costs and Indicators'!$L$10</f>
        <v>27.244218014204545</v>
      </c>
      <c r="AI141" s="336">
        <f>AI140*'Unit Costs and Indicators'!$L$10</f>
        <v>27.244218014204545</v>
      </c>
      <c r="AJ141" s="336">
        <f>AJ140*'Unit Costs and Indicators'!$L$10</f>
        <v>27.244218014204545</v>
      </c>
      <c r="AK141" s="336">
        <f>AK140*'Unit Costs and Indicators'!$L$10</f>
        <v>27.244218014204545</v>
      </c>
      <c r="AL141" s="336">
        <f>AL140*'Unit Costs and Indicators'!$L$10</f>
        <v>27.244218014204545</v>
      </c>
      <c r="AM141" s="336">
        <f>AM140*'Unit Costs and Indicators'!$L$10</f>
        <v>27.244218014204545</v>
      </c>
      <c r="AN141" s="336">
        <f>AN140*'Unit Costs and Indicators'!$L$10</f>
        <v>27.244218014204545</v>
      </c>
      <c r="AO141" s="336">
        <f>AO140*'Unit Costs and Indicators'!$L$10</f>
        <v>27.244218014204545</v>
      </c>
      <c r="AP141" s="336">
        <f>AP140*'Unit Costs and Indicators'!$L$10</f>
        <v>27.244218014204545</v>
      </c>
      <c r="AQ141" s="336">
        <f>AQ140*'Unit Costs and Indicators'!$L$10</f>
        <v>27.244218014204545</v>
      </c>
      <c r="AR141" s="336">
        <f>AR140*'Unit Costs and Indicators'!$L$10</f>
        <v>27.244218014204545</v>
      </c>
      <c r="AS141" s="336">
        <f>AS140*'Unit Costs and Indicators'!$L$10</f>
        <v>27.244218014204545</v>
      </c>
      <c r="AT141" s="336">
        <f>AT140*'Unit Costs and Indicators'!$L$10</f>
        <v>27.244218014204545</v>
      </c>
      <c r="AU141" s="336">
        <f>AU140*'Unit Costs and Indicators'!$L$10</f>
        <v>27.244218014204545</v>
      </c>
      <c r="AV141" s="336">
        <f>AV140*'Unit Costs and Indicators'!$L$10</f>
        <v>27.244218014204545</v>
      </c>
      <c r="AW141" s="336">
        <f>AW140*'Unit Costs and Indicators'!$L$10</f>
        <v>27.244218014204545</v>
      </c>
      <c r="AX141" s="336">
        <f>AX140*'Unit Costs and Indicators'!$L$10</f>
        <v>27.244218014204545</v>
      </c>
      <c r="AY141" s="336">
        <f>AY140*'Unit Costs and Indicators'!$L$10</f>
        <v>27.244218014204545</v>
      </c>
      <c r="AZ141" s="336">
        <f>AZ140*'Unit Costs and Indicators'!$L$10</f>
        <v>27.244218014204545</v>
      </c>
      <c r="BA141" s="336">
        <f>BA140*'Unit Costs and Indicators'!$L$10</f>
        <v>27.244218014204545</v>
      </c>
      <c r="BB141" s="336">
        <f>BB140*'Unit Costs and Indicators'!$L$10</f>
        <v>27.244218014204545</v>
      </c>
      <c r="BC141" s="336">
        <f>BC140*'Unit Costs and Indicators'!$L$10</f>
        <v>27.244218014204545</v>
      </c>
      <c r="BD141" s="336">
        <f>BD140*'Unit Costs and Indicators'!$L$10</f>
        <v>27.244218014204545</v>
      </c>
      <c r="BE141" s="336">
        <f>BE140*'Unit Costs and Indicators'!$L$10</f>
        <v>27.244218014204545</v>
      </c>
      <c r="BF141" s="336">
        <f>BF140*'Unit Costs and Indicators'!$L$10</f>
        <v>27.244218014204545</v>
      </c>
      <c r="BG141" s="336">
        <f>BG140*'Unit Costs and Indicators'!$L$10</f>
        <v>27.244218014204545</v>
      </c>
      <c r="BH141" s="336">
        <f>BH140*'Unit Costs and Indicators'!$L$10</f>
        <v>27.244218014204545</v>
      </c>
      <c r="BI141" s="336">
        <f>BI140*'Unit Costs and Indicators'!$L$10</f>
        <v>27.244218014204545</v>
      </c>
      <c r="BJ141" s="336">
        <f>BJ140*'Unit Costs and Indicators'!$L$10</f>
        <v>27.244218014204545</v>
      </c>
      <c r="BK141" s="336">
        <f>BK140*'Unit Costs and Indicators'!$L$10</f>
        <v>27.244218014204545</v>
      </c>
      <c r="BL141" s="336">
        <f>BL140*'Unit Costs and Indicators'!$L$10</f>
        <v>27.244218014204545</v>
      </c>
      <c r="BM141" s="336">
        <f>BM140*'Unit Costs and Indicators'!$L$10</f>
        <v>27.244218014204545</v>
      </c>
      <c r="BN141" s="336">
        <f>BN140*'Unit Costs and Indicators'!$L$10</f>
        <v>27.244218014204545</v>
      </c>
      <c r="BO141" s="336">
        <f>BO140*'Unit Costs and Indicators'!$L$10</f>
        <v>27.244218014204545</v>
      </c>
      <c r="BP141" s="336">
        <f>BP140*'Unit Costs and Indicators'!$L$10</f>
        <v>27.244218014204545</v>
      </c>
      <c r="BQ141" s="336">
        <f>BQ140*'Unit Costs and Indicators'!$L$10</f>
        <v>27.244218014204545</v>
      </c>
      <c r="BR141" s="336">
        <f>BR140*'Unit Costs and Indicators'!$L$10</f>
        <v>27.244218014204545</v>
      </c>
      <c r="BS141" s="336">
        <f>BS140*'Unit Costs and Indicators'!$L$10</f>
        <v>27.244218014204545</v>
      </c>
      <c r="BT141" s="336">
        <f>BT140*'Unit Costs and Indicators'!$L$10</f>
        <v>27.244218014204545</v>
      </c>
      <c r="BU141" s="336">
        <f>BU140*'Unit Costs and Indicators'!$L$10</f>
        <v>27.244218014204545</v>
      </c>
      <c r="BV141" s="336">
        <f>BV140*'Unit Costs and Indicators'!$L$10</f>
        <v>27.244218014204545</v>
      </c>
      <c r="BW141" s="336">
        <f>BW140*'Unit Costs and Indicators'!$L$10</f>
        <v>27.244218014204545</v>
      </c>
      <c r="BX141" s="336">
        <f>BX140*'Unit Costs and Indicators'!$L$10</f>
        <v>27.244218014204545</v>
      </c>
      <c r="BY141" s="336">
        <f>BY140*'Unit Costs and Indicators'!$L$10</f>
        <v>27.244218014204545</v>
      </c>
      <c r="BZ141" s="336">
        <f>BZ140*'Unit Costs and Indicators'!$L$10</f>
        <v>27.244218014204545</v>
      </c>
      <c r="CA141" s="336">
        <f>CA140*'Unit Costs and Indicators'!$L$10</f>
        <v>27.244218014204545</v>
      </c>
      <c r="CB141" s="336">
        <f>CB140*'Unit Costs and Indicators'!$L$10</f>
        <v>27.244218014204545</v>
      </c>
      <c r="CC141" s="336">
        <f>CC140*'Unit Costs and Indicators'!$L$10</f>
        <v>27.244218014204545</v>
      </c>
      <c r="CD141" s="336">
        <f>CD140*'Unit Costs and Indicators'!$L$10</f>
        <v>27.244218014204545</v>
      </c>
      <c r="CE141" s="336">
        <f>CE140*'Unit Costs and Indicators'!$L$10</f>
        <v>27.244218014204545</v>
      </c>
      <c r="CF141" s="336">
        <f>CF140*'Unit Costs and Indicators'!$L$10</f>
        <v>27.244218014204545</v>
      </c>
      <c r="CG141" s="336">
        <f>CG140*'Unit Costs and Indicators'!$L$10</f>
        <v>27.244218014204545</v>
      </c>
      <c r="CH141" s="336">
        <f>CH140*'Unit Costs and Indicators'!$L$10</f>
        <v>27.244218014204545</v>
      </c>
      <c r="CI141" s="336">
        <f>CI140*'Unit Costs and Indicators'!$L$10</f>
        <v>27.244218014204545</v>
      </c>
      <c r="CJ141" s="336">
        <f>CJ140*'Unit Costs and Indicators'!$L$10</f>
        <v>27.244218014204545</v>
      </c>
      <c r="CK141" s="336">
        <f>CK140*'Unit Costs and Indicators'!$L$10</f>
        <v>27.244218014204545</v>
      </c>
      <c r="CL141" s="336">
        <f>CL140*'Unit Costs and Indicators'!$L$10</f>
        <v>27.244218014204545</v>
      </c>
      <c r="CM141" s="336">
        <f>CM140*'Unit Costs and Indicators'!$L$10</f>
        <v>27.244218014204545</v>
      </c>
      <c r="CN141" s="336">
        <f>CN140*'Unit Costs and Indicators'!$L$10</f>
        <v>27.244218014204545</v>
      </c>
      <c r="CO141" s="336">
        <f>CO140*'Unit Costs and Indicators'!$L$10</f>
        <v>27.244218014204545</v>
      </c>
      <c r="CP141" s="336">
        <f>CP140*'Unit Costs and Indicators'!$L$10</f>
        <v>27.244218014204545</v>
      </c>
      <c r="CQ141" s="336">
        <f>CQ140*'Unit Costs and Indicators'!$L$10</f>
        <v>27.244218014204545</v>
      </c>
      <c r="CR141" s="336">
        <f>CR140*'Unit Costs and Indicators'!$L$10</f>
        <v>27.244218014204545</v>
      </c>
      <c r="CS141" s="336">
        <f>CS140*'Unit Costs and Indicators'!$L$10</f>
        <v>27.244218014204545</v>
      </c>
      <c r="CT141" s="336">
        <f>CT140*'Unit Costs and Indicators'!$L$10</f>
        <v>27.244218014204545</v>
      </c>
      <c r="CU141" s="336">
        <f>CU140*'Unit Costs and Indicators'!$L$10</f>
        <v>27.244218014204545</v>
      </c>
      <c r="CV141" s="336">
        <f>CV140*'Unit Costs and Indicators'!$L$10</f>
        <v>27.244218014204545</v>
      </c>
      <c r="CW141" s="336">
        <f>CW140*'Unit Costs and Indicators'!$L$10</f>
        <v>27.244218014204545</v>
      </c>
      <c r="CX141" s="336">
        <f>CX140*'Unit Costs and Indicators'!$L$10</f>
        <v>27.244218014204545</v>
      </c>
      <c r="CY141" s="336">
        <f>CY140*'Unit Costs and Indicators'!$L$10</f>
        <v>27.244218014204545</v>
      </c>
      <c r="CZ141" s="336">
        <f>CZ140*'Unit Costs and Indicators'!$L$10</f>
        <v>27.244218014204545</v>
      </c>
      <c r="DA141" s="336">
        <f>DA140*'Unit Costs and Indicators'!$L$10</f>
        <v>27.244218014204545</v>
      </c>
      <c r="DB141" s="336">
        <f>DB140*'Unit Costs and Indicators'!$L$10</f>
        <v>27.244218014204545</v>
      </c>
      <c r="DC141" s="336">
        <f>DC140*'Unit Costs and Indicators'!$L$10</f>
        <v>27.244218014204545</v>
      </c>
      <c r="DD141" s="336">
        <f>DD140*'Unit Costs and Indicators'!$L$10</f>
        <v>27.244218014204545</v>
      </c>
      <c r="DE141" s="336">
        <f>DE140*'Unit Costs and Indicators'!$L$10</f>
        <v>27.244218014204545</v>
      </c>
      <c r="DF141" s="287"/>
      <c r="DG141" s="287"/>
      <c r="DH141" s="287"/>
      <c r="DI141" s="287"/>
      <c r="DJ141" s="287"/>
      <c r="DK141" s="287"/>
      <c r="DL141" s="287"/>
    </row>
    <row r="142" spans="1:116" ht="15.75" customHeight="1" outlineLevel="1" x14ac:dyDescent="0.25">
      <c r="A142" s="751"/>
      <c r="B142" s="380"/>
      <c r="C142" s="355" t="s">
        <v>244</v>
      </c>
      <c r="D142" s="356" t="s">
        <v>247</v>
      </c>
      <c r="E142" s="381"/>
      <c r="F142" s="316" t="s">
        <v>14</v>
      </c>
      <c r="G142" s="317">
        <f t="array" ref="G142">NPV($D$6, J142:DE142)+I142</f>
        <v>1632.5706787423292</v>
      </c>
      <c r="H142" s="359">
        <f>H141+H138</f>
        <v>27.506210581776202</v>
      </c>
      <c r="I142" s="360">
        <f>(I141+I138)</f>
        <v>27.506210581776202</v>
      </c>
      <c r="J142" s="360">
        <f t="shared" ref="J142:AO142" si="233">(J141+J138)*(1 + $D$5)^(J2-$I$2)</f>
        <v>28.323567212334815</v>
      </c>
      <c r="K142" s="360">
        <f t="shared" si="233"/>
        <v>29.162615623883063</v>
      </c>
      <c r="L142" s="360">
        <f t="shared" si="233"/>
        <v>30.023896545008306</v>
      </c>
      <c r="M142" s="360">
        <f t="shared" si="233"/>
        <v>30.907963656729006</v>
      </c>
      <c r="N142" s="360">
        <f t="shared" si="233"/>
        <v>31.815383894300531</v>
      </c>
      <c r="O142" s="360">
        <f t="shared" si="233"/>
        <v>32.746737755912228</v>
      </c>
      <c r="P142" s="360">
        <f t="shared" si="233"/>
        <v>33.70261961843066</v>
      </c>
      <c r="Q142" s="360">
        <f t="shared" si="233"/>
        <v>34.683638060347484</v>
      </c>
      <c r="R142" s="360">
        <f t="shared" si="233"/>
        <v>35.690416192093593</v>
      </c>
      <c r="S142" s="360">
        <f t="shared" si="233"/>
        <v>36.723591993885421</v>
      </c>
      <c r="T142" s="360">
        <f t="shared" si="233"/>
        <v>37.783818661272065</v>
      </c>
      <c r="U142" s="360">
        <f t="shared" si="233"/>
        <v>38.871764958556639</v>
      </c>
      <c r="V142" s="360">
        <f t="shared" si="233"/>
        <v>39.988115580268079</v>
      </c>
      <c r="W142" s="360">
        <f t="shared" si="233"/>
        <v>41.133571520864564</v>
      </c>
      <c r="X142" s="360">
        <f t="shared" si="233"/>
        <v>42.308850452852781</v>
      </c>
      <c r="Y142" s="360">
        <f t="shared" si="233"/>
        <v>43.514687113512203</v>
      </c>
      <c r="Z142" s="360">
        <f t="shared" si="233"/>
        <v>44.751833700416853</v>
      </c>
      <c r="AA142" s="360">
        <f t="shared" si="233"/>
        <v>46.021060275952273</v>
      </c>
      <c r="AB142" s="360">
        <f t="shared" si="233"/>
        <v>47.323155181028945</v>
      </c>
      <c r="AC142" s="360">
        <f t="shared" si="233"/>
        <v>48.658925458198318</v>
      </c>
      <c r="AD142" s="360">
        <f t="shared" si="233"/>
        <v>50.029197284382043</v>
      </c>
      <c r="AE142" s="360">
        <f t="shared" si="233"/>
        <v>51.434816413429843</v>
      </c>
      <c r="AF142" s="360">
        <f t="shared" si="233"/>
        <v>52.876648628725789</v>
      </c>
      <c r="AG142" s="360">
        <f t="shared" si="233"/>
        <v>54.355580206068218</v>
      </c>
      <c r="AH142" s="360">
        <f t="shared" si="233"/>
        <v>55.872518387052843</v>
      </c>
      <c r="AI142" s="360">
        <f t="shared" si="233"/>
        <v>57.428391863194442</v>
      </c>
      <c r="AJ142" s="360">
        <f t="shared" si="233"/>
        <v>59.024151271026859</v>
      </c>
      <c r="AK142" s="360">
        <f t="shared" si="233"/>
        <v>60.660769698427323</v>
      </c>
      <c r="AL142" s="360">
        <f t="shared" si="233"/>
        <v>62.339243202415368</v>
      </c>
      <c r="AM142" s="360">
        <f t="shared" si="233"/>
        <v>64.060591338683579</v>
      </c>
      <c r="AN142" s="360">
        <f t="shared" si="233"/>
        <v>65.825857703121528</v>
      </c>
      <c r="AO142" s="360">
        <f t="shared" si="233"/>
        <v>67.636110485601577</v>
      </c>
      <c r="AP142" s="360">
        <f t="shared" ref="AP142:BU142" si="234">(AP141+AP138)*(1 + $D$5)^(AP2-$I$2)</f>
        <v>69.492443036299534</v>
      </c>
      <c r="AQ142" s="360">
        <f t="shared" si="234"/>
        <v>71.395974444831182</v>
      </c>
      <c r="AR142" s="360">
        <f t="shared" si="234"/>
        <v>73.347850132489569</v>
      </c>
      <c r="AS142" s="360">
        <f t="shared" si="234"/>
        <v>75.349242457876358</v>
      </c>
      <c r="AT142" s="360">
        <f t="shared" si="234"/>
        <v>77.40135133622563</v>
      </c>
      <c r="AU142" s="360">
        <f t="shared" si="234"/>
        <v>79.505404872725748</v>
      </c>
      <c r="AV142" s="360">
        <f t="shared" si="234"/>
        <v>81.662660010151313</v>
      </c>
      <c r="AW142" s="360">
        <f t="shared" si="234"/>
        <v>83.874403191124884</v>
      </c>
      <c r="AX142" s="360">
        <f t="shared" si="234"/>
        <v>86.141951035333292</v>
      </c>
      <c r="AY142" s="360">
        <f t="shared" si="234"/>
        <v>88.466651032033596</v>
      </c>
      <c r="AZ142" s="360">
        <f t="shared" si="234"/>
        <v>90.849882248187768</v>
      </c>
      <c r="BA142" s="360">
        <f t="shared" si="234"/>
        <v>93.293056052575324</v>
      </c>
      <c r="BB142" s="360">
        <f t="shared" si="234"/>
        <v>95.797616856239074</v>
      </c>
      <c r="BC142" s="360">
        <f t="shared" si="234"/>
        <v>98.365042869628383</v>
      </c>
      <c r="BD142" s="360">
        <f t="shared" si="234"/>
        <v>100.99684687681071</v>
      </c>
      <c r="BE142" s="360">
        <f t="shared" si="234"/>
        <v>103.69457702713254</v>
      </c>
      <c r="BF142" s="360">
        <f t="shared" si="234"/>
        <v>106.45981764471648</v>
      </c>
      <c r="BG142" s="360">
        <f t="shared" si="234"/>
        <v>109.29419005619295</v>
      </c>
      <c r="BH142" s="360">
        <f t="shared" si="234"/>
        <v>112.19935343707056</v>
      </c>
      <c r="BI142" s="360">
        <f t="shared" si="234"/>
        <v>115.17700567716085</v>
      </c>
      <c r="BJ142" s="360">
        <f t="shared" si="234"/>
        <v>118.22888426547986</v>
      </c>
      <c r="BK142" s="360">
        <f t="shared" si="234"/>
        <v>121.35676719506083</v>
      </c>
      <c r="BL142" s="360">
        <f t="shared" si="234"/>
        <v>124.56247388811876</v>
      </c>
      <c r="BM142" s="360">
        <f t="shared" si="234"/>
        <v>127.84786614202105</v>
      </c>
      <c r="BN142" s="360">
        <f t="shared" si="234"/>
        <v>131.21484909652415</v>
      </c>
      <c r="BO142" s="360">
        <f t="shared" si="234"/>
        <v>134.66537222275062</v>
      </c>
      <c r="BP142" s="360">
        <f t="shared" si="234"/>
        <v>138.20143033438748</v>
      </c>
      <c r="BQ142" s="360">
        <f t="shared" si="234"/>
        <v>141.82506462160077</v>
      </c>
      <c r="BR142" s="360">
        <f t="shared" si="234"/>
        <v>145.53836370816879</v>
      </c>
      <c r="BS142" s="360">
        <f t="shared" si="234"/>
        <v>149.3434647323509</v>
      </c>
      <c r="BT142" s="360">
        <f t="shared" si="234"/>
        <v>153.242554452017</v>
      </c>
      <c r="BU142" s="360">
        <f t="shared" si="234"/>
        <v>157.23787037457689</v>
      </c>
      <c r="BV142" s="360">
        <f t="shared" ref="BV142:DA142" si="235">(BV141+BV138)*(1 + $D$5)^(BV2-$I$2)</f>
        <v>161.33170191225832</v>
      </c>
      <c r="BW142" s="360">
        <f t="shared" si="235"/>
        <v>165.52639156329715</v>
      </c>
      <c r="BX142" s="360">
        <f t="shared" si="235"/>
        <v>169.82433611961267</v>
      </c>
      <c r="BY142" s="360">
        <f t="shared" si="235"/>
        <v>174.22798790155548</v>
      </c>
      <c r="BZ142" s="360">
        <f t="shared" si="235"/>
        <v>178.73985602032815</v>
      </c>
      <c r="CA142" s="360">
        <f t="shared" si="235"/>
        <v>183.36250766869108</v>
      </c>
      <c r="CB142" s="360">
        <f t="shared" si="235"/>
        <v>188.09856944058043</v>
      </c>
      <c r="CC142" s="360">
        <f t="shared" si="235"/>
        <v>192.9507286802779</v>
      </c>
      <c r="CD142" s="360">
        <f t="shared" si="235"/>
        <v>197.92173486178697</v>
      </c>
      <c r="CE142" s="360">
        <f t="shared" si="235"/>
        <v>203.01440099908433</v>
      </c>
      <c r="CF142" s="360">
        <f t="shared" si="235"/>
        <v>208.23160508792884</v>
      </c>
      <c r="CG142" s="360">
        <f t="shared" si="235"/>
        <v>213.57629157992758</v>
      </c>
      <c r="CH142" s="360">
        <f t="shared" si="235"/>
        <v>219.05147288957102</v>
      </c>
      <c r="CI142" s="360">
        <f t="shared" si="235"/>
        <v>224.66023093496824</v>
      </c>
      <c r="CJ142" s="360">
        <f t="shared" si="235"/>
        <v>230.40571871302549</v>
      </c>
      <c r="CK142" s="360">
        <f t="shared" si="235"/>
        <v>236.29116190983112</v>
      </c>
      <c r="CL142" s="360">
        <f t="shared" si="235"/>
        <v>242.31986054702372</v>
      </c>
      <c r="CM142" s="360">
        <f t="shared" si="235"/>
        <v>248.49519066494005</v>
      </c>
      <c r="CN142" s="360">
        <f t="shared" si="235"/>
        <v>254.8206060433543</v>
      </c>
      <c r="CO142" s="360">
        <f t="shared" si="235"/>
        <v>261.29963996063913</v>
      </c>
      <c r="CP142" s="360">
        <f t="shared" si="235"/>
        <v>267.935906992198</v>
      </c>
      <c r="CQ142" s="360">
        <f t="shared" si="235"/>
        <v>274.73310484903499</v>
      </c>
      <c r="CR142" s="360">
        <f t="shared" si="235"/>
        <v>281.69501625734847</v>
      </c>
      <c r="CS142" s="360">
        <f t="shared" si="235"/>
        <v>288.82551088005499</v>
      </c>
      <c r="CT142" s="360">
        <f t="shared" si="235"/>
        <v>296.12854728116685</v>
      </c>
      <c r="CU142" s="360">
        <f t="shared" si="235"/>
        <v>303.6081749339711</v>
      </c>
      <c r="CV142" s="360">
        <f t="shared" si="235"/>
        <v>311.26853627397503</v>
      </c>
      <c r="CW142" s="360">
        <f t="shared" si="235"/>
        <v>319.11386879760568</v>
      </c>
      <c r="CX142" s="360">
        <f t="shared" si="235"/>
        <v>327.1485072076718</v>
      </c>
      <c r="CY142" s="360">
        <f t="shared" si="235"/>
        <v>335.37688560662156</v>
      </c>
      <c r="CZ142" s="360">
        <f t="shared" si="235"/>
        <v>343.80353973864618</v>
      </c>
      <c r="DA142" s="360">
        <f t="shared" si="235"/>
        <v>352.43310928170928</v>
      </c>
      <c r="DB142" s="360">
        <f t="shared" ref="DB142:DE142" si="236">(DB141+DB138)*(1 + $D$5)^(DB2-$I$2)</f>
        <v>361.27034019059943</v>
      </c>
      <c r="DC142" s="360">
        <f t="shared" si="236"/>
        <v>370.32008709213238</v>
      </c>
      <c r="DD142" s="360">
        <f t="shared" si="236"/>
        <v>379.58731573365048</v>
      </c>
      <c r="DE142" s="360">
        <f t="shared" si="236"/>
        <v>389.07710548599249</v>
      </c>
      <c r="DF142" s="382"/>
      <c r="DG142" s="382"/>
      <c r="DH142" s="382"/>
      <c r="DI142" s="382"/>
      <c r="DJ142" s="382"/>
      <c r="DK142" s="382"/>
      <c r="DL142" s="382"/>
    </row>
    <row r="143" spans="1:116" ht="15.75" customHeight="1" outlineLevel="1" x14ac:dyDescent="0.25">
      <c r="A143" s="751"/>
      <c r="B143" s="753" t="s">
        <v>276</v>
      </c>
      <c r="C143" s="383" t="s">
        <v>277</v>
      </c>
      <c r="D143" s="384" t="s">
        <v>278</v>
      </c>
      <c r="E143" s="385"/>
      <c r="F143" s="386"/>
      <c r="G143" s="387">
        <f>((17252000000.991)/'Unit Costs and Indicators'!J10)*'Unit Costs and Indicators'!L10</f>
        <v>206.27678299317753</v>
      </c>
      <c r="H143" s="388">
        <f>G143*(1+'Unit Costs and Indicators'!$C$128)</f>
        <v>207.31345517137967</v>
      </c>
      <c r="I143" s="289">
        <f t="shared" ref="I143" si="237">(H143)*(1+$D$11)</f>
        <v>208.35002244723654</v>
      </c>
      <c r="J143" s="289">
        <f t="shared" ref="J143" si="238">(I143)*(1+$D$11)</f>
        <v>209.39177255947271</v>
      </c>
      <c r="K143" s="289">
        <f t="shared" ref="K143" si="239">(J143)*(1+$D$11)</f>
        <v>210.43873142227005</v>
      </c>
      <c r="L143" s="289">
        <f t="shared" ref="L143" si="240">(K143)*(1+$D$11)</f>
        <v>211.49092507938138</v>
      </c>
      <c r="M143" s="289">
        <f t="shared" ref="M143" si="241">(L143)*(1+$D$11)</f>
        <v>212.54837970477826</v>
      </c>
      <c r="N143" s="289">
        <f t="shared" ref="N143" si="242">(M143)*(1+$D$11)</f>
        <v>213.61112160330214</v>
      </c>
      <c r="O143" s="289">
        <f t="shared" ref="O143" si="243">(N143)*(1+$D$11)</f>
        <v>214.67917721131863</v>
      </c>
      <c r="P143" s="289">
        <f t="shared" ref="P143" si="244">(O143)*(1+$D$11)</f>
        <v>215.7525730973752</v>
      </c>
      <c r="Q143" s="289">
        <f t="shared" ref="Q143" si="245">(P143)*(1+$D$11)</f>
        <v>216.83133596286206</v>
      </c>
      <c r="R143" s="289">
        <f t="shared" ref="R143" si="246">(Q143)*(1+$D$11)</f>
        <v>217.91549264267636</v>
      </c>
      <c r="S143" s="289">
        <f t="shared" ref="S143" si="247">(R143)*(1+$D$11)</f>
        <v>219.0050701058897</v>
      </c>
      <c r="T143" s="289">
        <f t="shared" ref="T143" si="248">(S143)*(1+$D$11)</f>
        <v>220.10009545641913</v>
      </c>
      <c r="U143" s="289">
        <f t="shared" ref="U143" si="249">(T143)*(1+$D$11)</f>
        <v>221.20059593370121</v>
      </c>
      <c r="V143" s="289">
        <f t="shared" ref="V143" si="250">(U143)*(1+$D$11)</f>
        <v>222.3065989133697</v>
      </c>
      <c r="W143" s="289">
        <f t="shared" ref="W143" si="251">(V143)*(1+$D$11)</f>
        <v>223.41813190793653</v>
      </c>
      <c r="X143" s="289">
        <f t="shared" ref="X143" si="252">(W143)*(1+$D$11)</f>
        <v>224.53522256747618</v>
      </c>
      <c r="Y143" s="289">
        <f t="shared" ref="Y143" si="253">(X143)*(1+$D$11)</f>
        <v>225.65789868031354</v>
      </c>
      <c r="Z143" s="289">
        <f t="shared" ref="Z143" si="254">(Y143)*(1+$D$11)</f>
        <v>226.78618817371509</v>
      </c>
      <c r="AA143" s="289">
        <f t="shared" ref="AA143" si="255">(Z143)*(1+$D$11)</f>
        <v>227.92011911458363</v>
      </c>
      <c r="AB143" s="289">
        <f t="shared" ref="AB143" si="256">(AA143)*(1+$D$11)</f>
        <v>229.05971971015651</v>
      </c>
      <c r="AC143" s="289">
        <f t="shared" ref="AC143" si="257">(AB143)*(1+$D$11)</f>
        <v>230.20501830870728</v>
      </c>
      <c r="AD143" s="289">
        <f t="shared" ref="AD143" si="258">(AC143)*(1+$D$11)</f>
        <v>231.3560434002508</v>
      </c>
      <c r="AE143" s="289">
        <f t="shared" ref="AE143" si="259">(AD143)*(1+$D$11)</f>
        <v>232.51282361725202</v>
      </c>
      <c r="AF143" s="289">
        <f t="shared" ref="AF143" si="260">(AE143)*(1+$D$11)</f>
        <v>233.67538773533826</v>
      </c>
      <c r="AG143" s="289">
        <f t="shared" ref="AG143" si="261">(AF143)*(1+$D$11)</f>
        <v>234.84376467401492</v>
      </c>
      <c r="AH143" s="289">
        <f t="shared" ref="AH143" si="262">(AG143)*(1+$D$11)</f>
        <v>236.01798349738496</v>
      </c>
      <c r="AI143" s="289">
        <f t="shared" ref="AI143" si="263">(AH143)</f>
        <v>236.01798349738496</v>
      </c>
      <c r="AJ143" s="289">
        <f t="shared" ref="AJ143" si="264">(AI143)</f>
        <v>236.01798349738496</v>
      </c>
      <c r="AK143" s="289">
        <f t="shared" ref="AK143" si="265">(AJ143)</f>
        <v>236.01798349738496</v>
      </c>
      <c r="AL143" s="289">
        <f t="shared" ref="AL143" si="266">(AK143)</f>
        <v>236.01798349738496</v>
      </c>
      <c r="AM143" s="289">
        <f t="shared" ref="AM143" si="267">(AL143)</f>
        <v>236.01798349738496</v>
      </c>
      <c r="AN143" s="289">
        <f t="shared" ref="AN143" si="268">(AM143)</f>
        <v>236.01798349738496</v>
      </c>
      <c r="AO143" s="289">
        <f t="shared" ref="AO143" si="269">(AN143)</f>
        <v>236.01798349738496</v>
      </c>
      <c r="AP143" s="289">
        <f t="shared" ref="AP143" si="270">(AO143)</f>
        <v>236.01798349738496</v>
      </c>
      <c r="AQ143" s="289">
        <f t="shared" ref="AQ143" si="271">(AP143)</f>
        <v>236.01798349738496</v>
      </c>
      <c r="AR143" s="289">
        <f t="shared" ref="AR143" si="272">(AQ143)</f>
        <v>236.01798349738496</v>
      </c>
      <c r="AS143" s="289">
        <f t="shared" ref="AS143" si="273">(AR143)</f>
        <v>236.01798349738496</v>
      </c>
      <c r="AT143" s="289">
        <f t="shared" ref="AT143" si="274">(AS143)</f>
        <v>236.01798349738496</v>
      </c>
      <c r="AU143" s="289">
        <f t="shared" ref="AU143" si="275">(AT143)</f>
        <v>236.01798349738496</v>
      </c>
      <c r="AV143" s="289">
        <f t="shared" ref="AV143" si="276">(AU143)</f>
        <v>236.01798349738496</v>
      </c>
      <c r="AW143" s="289">
        <f t="shared" ref="AW143" si="277">(AV143)</f>
        <v>236.01798349738496</v>
      </c>
      <c r="AX143" s="289">
        <f t="shared" ref="AX143" si="278">(AW143)</f>
        <v>236.01798349738496</v>
      </c>
      <c r="AY143" s="289">
        <f t="shared" ref="AY143" si="279">(AX143)</f>
        <v>236.01798349738496</v>
      </c>
      <c r="AZ143" s="289">
        <f t="shared" ref="AZ143" si="280">(AY143)</f>
        <v>236.01798349738496</v>
      </c>
      <c r="BA143" s="289">
        <f t="shared" ref="BA143" si="281">(AZ143)</f>
        <v>236.01798349738496</v>
      </c>
      <c r="BB143" s="289">
        <f t="shared" ref="BB143" si="282">(BA143)</f>
        <v>236.01798349738496</v>
      </c>
      <c r="BC143" s="289">
        <f t="shared" ref="BC143" si="283">(BB143)</f>
        <v>236.01798349738496</v>
      </c>
      <c r="BD143" s="289">
        <f t="shared" ref="BD143" si="284">(BC143)</f>
        <v>236.01798349738496</v>
      </c>
      <c r="BE143" s="289">
        <f t="shared" ref="BE143" si="285">(BD143)</f>
        <v>236.01798349738496</v>
      </c>
      <c r="BF143" s="289">
        <f t="shared" ref="BF143" si="286">(BE143)</f>
        <v>236.01798349738496</v>
      </c>
      <c r="BG143" s="289">
        <f t="shared" ref="BG143" si="287">(BF143)</f>
        <v>236.01798349738496</v>
      </c>
      <c r="BH143" s="289">
        <f t="shared" ref="BH143" si="288">(BG143)</f>
        <v>236.01798349738496</v>
      </c>
      <c r="BI143" s="289">
        <f t="shared" ref="BI143" si="289">(BH143)</f>
        <v>236.01798349738496</v>
      </c>
      <c r="BJ143" s="289">
        <f t="shared" ref="BJ143" si="290">(BI143)</f>
        <v>236.01798349738496</v>
      </c>
      <c r="BK143" s="289">
        <f t="shared" ref="BK143" si="291">(BJ143)</f>
        <v>236.01798349738496</v>
      </c>
      <c r="BL143" s="289">
        <f t="shared" ref="BL143" si="292">(BK143)</f>
        <v>236.01798349738496</v>
      </c>
      <c r="BM143" s="289">
        <f t="shared" ref="BM143" si="293">(BL143)</f>
        <v>236.01798349738496</v>
      </c>
      <c r="BN143" s="289">
        <f t="shared" ref="BN143" si="294">(BM143)</f>
        <v>236.01798349738496</v>
      </c>
      <c r="BO143" s="289">
        <f t="shared" ref="BO143" si="295">(BN143)</f>
        <v>236.01798349738496</v>
      </c>
      <c r="BP143" s="289">
        <f t="shared" ref="BP143" si="296">(BO143)</f>
        <v>236.01798349738496</v>
      </c>
      <c r="BQ143" s="289">
        <f t="shared" ref="BQ143" si="297">(BP143)</f>
        <v>236.01798349738496</v>
      </c>
      <c r="BR143" s="289">
        <f t="shared" ref="BR143" si="298">(BQ143)</f>
        <v>236.01798349738496</v>
      </c>
      <c r="BS143" s="289">
        <f t="shared" ref="BS143" si="299">(BR143)</f>
        <v>236.01798349738496</v>
      </c>
      <c r="BT143" s="289">
        <f t="shared" ref="BT143" si="300">(BS143)</f>
        <v>236.01798349738496</v>
      </c>
      <c r="BU143" s="289">
        <f t="shared" ref="BU143" si="301">(BT143)</f>
        <v>236.01798349738496</v>
      </c>
      <c r="BV143" s="289">
        <f t="shared" ref="BV143" si="302">(BU143)</f>
        <v>236.01798349738496</v>
      </c>
      <c r="BW143" s="289">
        <f t="shared" ref="BW143" si="303">(BV143)</f>
        <v>236.01798349738496</v>
      </c>
      <c r="BX143" s="289">
        <f t="shared" ref="BX143" si="304">(BW143)</f>
        <v>236.01798349738496</v>
      </c>
      <c r="BY143" s="289">
        <f t="shared" ref="BY143" si="305">(BX143)</f>
        <v>236.01798349738496</v>
      </c>
      <c r="BZ143" s="289">
        <f t="shared" ref="BZ143" si="306">(BY143)</f>
        <v>236.01798349738496</v>
      </c>
      <c r="CA143" s="289">
        <f t="shared" ref="CA143" si="307">(BZ143)</f>
        <v>236.01798349738496</v>
      </c>
      <c r="CB143" s="289">
        <f t="shared" ref="CB143" si="308">(CA143)</f>
        <v>236.01798349738496</v>
      </c>
      <c r="CC143" s="289">
        <f t="shared" ref="CC143" si="309">(CB143)</f>
        <v>236.01798349738496</v>
      </c>
      <c r="CD143" s="289">
        <f t="shared" ref="CD143" si="310">(CC143)</f>
        <v>236.01798349738496</v>
      </c>
      <c r="CE143" s="289">
        <f t="shared" ref="CE143" si="311">(CD143)</f>
        <v>236.01798349738496</v>
      </c>
      <c r="CF143" s="289">
        <f t="shared" ref="CF143" si="312">(CE143)</f>
        <v>236.01798349738496</v>
      </c>
      <c r="CG143" s="289">
        <f t="shared" ref="CG143" si="313">(CF143)</f>
        <v>236.01798349738496</v>
      </c>
      <c r="CH143" s="289">
        <f t="shared" ref="CH143" si="314">(CG143)</f>
        <v>236.01798349738496</v>
      </c>
      <c r="CI143" s="289">
        <f t="shared" ref="CI143" si="315">(CH143)</f>
        <v>236.01798349738496</v>
      </c>
      <c r="CJ143" s="289">
        <f t="shared" ref="CJ143" si="316">(CI143)</f>
        <v>236.01798349738496</v>
      </c>
      <c r="CK143" s="289">
        <f t="shared" ref="CK143" si="317">(CJ143)</f>
        <v>236.01798349738496</v>
      </c>
      <c r="CL143" s="289">
        <f t="shared" ref="CL143" si="318">(CK143)</f>
        <v>236.01798349738496</v>
      </c>
      <c r="CM143" s="289">
        <f t="shared" ref="CM143" si="319">(CL143)</f>
        <v>236.01798349738496</v>
      </c>
      <c r="CN143" s="289">
        <f t="shared" ref="CN143" si="320">(CM143)</f>
        <v>236.01798349738496</v>
      </c>
      <c r="CO143" s="289">
        <f t="shared" ref="CO143" si="321">(CN143)</f>
        <v>236.01798349738496</v>
      </c>
      <c r="CP143" s="289">
        <f t="shared" ref="CP143" si="322">(CO143)</f>
        <v>236.01798349738496</v>
      </c>
      <c r="CQ143" s="289">
        <f t="shared" ref="CQ143" si="323">(CP143)</f>
        <v>236.01798349738496</v>
      </c>
      <c r="CR143" s="289">
        <f t="shared" ref="CR143" si="324">(CQ143)</f>
        <v>236.01798349738496</v>
      </c>
      <c r="CS143" s="289">
        <f t="shared" ref="CS143" si="325">(CR143)</f>
        <v>236.01798349738496</v>
      </c>
      <c r="CT143" s="289">
        <f t="shared" ref="CT143" si="326">(CS143)</f>
        <v>236.01798349738496</v>
      </c>
      <c r="CU143" s="289">
        <f t="shared" ref="CU143" si="327">(CT143)</f>
        <v>236.01798349738496</v>
      </c>
      <c r="CV143" s="289">
        <f t="shared" ref="CV143" si="328">(CU143)</f>
        <v>236.01798349738496</v>
      </c>
      <c r="CW143" s="289">
        <f t="shared" ref="CW143" si="329">(CV143)</f>
        <v>236.01798349738496</v>
      </c>
      <c r="CX143" s="289">
        <f t="shared" ref="CX143" si="330">(CW143)</f>
        <v>236.01798349738496</v>
      </c>
      <c r="CY143" s="289">
        <f t="shared" ref="CY143" si="331">(CX143)</f>
        <v>236.01798349738496</v>
      </c>
      <c r="CZ143" s="289">
        <f t="shared" ref="CZ143" si="332">(CY143)</f>
        <v>236.01798349738496</v>
      </c>
      <c r="DA143" s="289">
        <f t="shared" ref="DA143" si="333">(CZ143)</f>
        <v>236.01798349738496</v>
      </c>
      <c r="DB143" s="289">
        <f t="shared" ref="DB143" si="334">(DA143)</f>
        <v>236.01798349738496</v>
      </c>
      <c r="DC143" s="289">
        <f t="shared" ref="DC143" si="335">(DB143)</f>
        <v>236.01798349738496</v>
      </c>
      <c r="DD143" s="289">
        <f t="shared" ref="DD143" si="336">(DC143)</f>
        <v>236.01798349738496</v>
      </c>
      <c r="DE143" s="289">
        <f t="shared" ref="DE143" si="337">(DD143)</f>
        <v>236.01798349738496</v>
      </c>
      <c r="DF143" s="289"/>
      <c r="DG143" s="289"/>
      <c r="DH143" s="289"/>
      <c r="DI143" s="289"/>
      <c r="DJ143" s="289"/>
      <c r="DK143" s="289"/>
      <c r="DL143" s="289"/>
    </row>
    <row r="144" spans="1:116" ht="15.75" customHeight="1" outlineLevel="1" x14ac:dyDescent="0.25">
      <c r="A144" s="751"/>
      <c r="B144" s="751"/>
      <c r="C144" s="278" t="s">
        <v>279</v>
      </c>
      <c r="D144" s="279" t="s">
        <v>280</v>
      </c>
      <c r="E144" s="280"/>
      <c r="F144" s="310"/>
      <c r="G144" s="310">
        <f>((17252353)/7000)*(1 + 2%)^3</f>
        <v>2615.4764317748568</v>
      </c>
      <c r="H144" s="300">
        <f t="shared" ref="H144" si="338">G144</f>
        <v>2615.4764317748568</v>
      </c>
      <c r="I144" s="301">
        <f t="shared" ref="I144" si="339">H144</f>
        <v>2615.4764317748568</v>
      </c>
      <c r="J144" s="301">
        <f t="shared" ref="J144" si="340">I144</f>
        <v>2615.4764317748568</v>
      </c>
      <c r="K144" s="301">
        <f t="shared" ref="K144" si="341">J144</f>
        <v>2615.4764317748568</v>
      </c>
      <c r="L144" s="301">
        <f t="shared" ref="L144" si="342">K144</f>
        <v>2615.4764317748568</v>
      </c>
      <c r="M144" s="301">
        <f t="shared" ref="M144" si="343">L144</f>
        <v>2615.4764317748568</v>
      </c>
      <c r="N144" s="301">
        <f t="shared" ref="N144" si="344">M144</f>
        <v>2615.4764317748568</v>
      </c>
      <c r="O144" s="301">
        <f t="shared" ref="O144" si="345">N144</f>
        <v>2615.4764317748568</v>
      </c>
      <c r="P144" s="301">
        <f t="shared" ref="P144" si="346">O144</f>
        <v>2615.4764317748568</v>
      </c>
      <c r="Q144" s="301">
        <f t="shared" ref="Q144" si="347">P144</f>
        <v>2615.4764317748568</v>
      </c>
      <c r="R144" s="301">
        <f t="shared" ref="R144" si="348">Q144</f>
        <v>2615.4764317748568</v>
      </c>
      <c r="S144" s="301">
        <f t="shared" ref="S144" si="349">R144</f>
        <v>2615.4764317748568</v>
      </c>
      <c r="T144" s="301">
        <f t="shared" ref="T144" si="350">S144</f>
        <v>2615.4764317748568</v>
      </c>
      <c r="U144" s="301">
        <f t="shared" ref="U144" si="351">T144</f>
        <v>2615.4764317748568</v>
      </c>
      <c r="V144" s="301">
        <f t="shared" ref="V144" si="352">U144</f>
        <v>2615.4764317748568</v>
      </c>
      <c r="W144" s="301">
        <f t="shared" ref="W144" si="353">V144</f>
        <v>2615.4764317748568</v>
      </c>
      <c r="X144" s="301">
        <f t="shared" ref="X144" si="354">W144</f>
        <v>2615.4764317748568</v>
      </c>
      <c r="Y144" s="301">
        <f t="shared" ref="Y144" si="355">X144</f>
        <v>2615.4764317748568</v>
      </c>
      <c r="Z144" s="301">
        <f t="shared" ref="Z144" si="356">Y144</f>
        <v>2615.4764317748568</v>
      </c>
      <c r="AA144" s="301">
        <f t="shared" ref="AA144" si="357">Z144</f>
        <v>2615.4764317748568</v>
      </c>
      <c r="AB144" s="301">
        <f t="shared" ref="AB144" si="358">AA144</f>
        <v>2615.4764317748568</v>
      </c>
      <c r="AC144" s="301">
        <f t="shared" ref="AC144" si="359">AB144</f>
        <v>2615.4764317748568</v>
      </c>
      <c r="AD144" s="301">
        <f t="shared" ref="AD144" si="360">AC144</f>
        <v>2615.4764317748568</v>
      </c>
      <c r="AE144" s="301">
        <f t="shared" ref="AE144" si="361">AD144</f>
        <v>2615.4764317748568</v>
      </c>
      <c r="AF144" s="301">
        <f t="shared" ref="AF144" si="362">AE144</f>
        <v>2615.4764317748568</v>
      </c>
      <c r="AG144" s="301">
        <f t="shared" ref="AG144" si="363">AF144</f>
        <v>2615.4764317748568</v>
      </c>
      <c r="AH144" s="301">
        <f t="shared" ref="AH144" si="364">AG144</f>
        <v>2615.4764317748568</v>
      </c>
      <c r="AI144" s="301">
        <f t="shared" ref="AI144" si="365">AH144</f>
        <v>2615.4764317748568</v>
      </c>
      <c r="AJ144" s="301">
        <f t="shared" ref="AJ144" si="366">AI144</f>
        <v>2615.4764317748568</v>
      </c>
      <c r="AK144" s="301">
        <f t="shared" ref="AK144" si="367">AJ144</f>
        <v>2615.4764317748568</v>
      </c>
      <c r="AL144" s="301">
        <f t="shared" ref="AL144" si="368">AK144</f>
        <v>2615.4764317748568</v>
      </c>
      <c r="AM144" s="301">
        <f t="shared" ref="AM144" si="369">AL144</f>
        <v>2615.4764317748568</v>
      </c>
      <c r="AN144" s="301">
        <f t="shared" ref="AN144" si="370">AM144</f>
        <v>2615.4764317748568</v>
      </c>
      <c r="AO144" s="301">
        <f t="shared" ref="AO144" si="371">AN144</f>
        <v>2615.4764317748568</v>
      </c>
      <c r="AP144" s="301">
        <f t="shared" ref="AP144" si="372">AO144</f>
        <v>2615.4764317748568</v>
      </c>
      <c r="AQ144" s="301">
        <f t="shared" ref="AQ144" si="373">AP144</f>
        <v>2615.4764317748568</v>
      </c>
      <c r="AR144" s="301">
        <f t="shared" ref="AR144" si="374">AQ144</f>
        <v>2615.4764317748568</v>
      </c>
      <c r="AS144" s="301">
        <f t="shared" ref="AS144" si="375">AR144</f>
        <v>2615.4764317748568</v>
      </c>
      <c r="AT144" s="301">
        <f t="shared" ref="AT144" si="376">AS144</f>
        <v>2615.4764317748568</v>
      </c>
      <c r="AU144" s="301">
        <f t="shared" ref="AU144" si="377">AT144</f>
        <v>2615.4764317748568</v>
      </c>
      <c r="AV144" s="301">
        <f t="shared" ref="AV144" si="378">AU144</f>
        <v>2615.4764317748568</v>
      </c>
      <c r="AW144" s="301">
        <f t="shared" ref="AW144" si="379">AV144</f>
        <v>2615.4764317748568</v>
      </c>
      <c r="AX144" s="301">
        <f t="shared" ref="AX144" si="380">AW144</f>
        <v>2615.4764317748568</v>
      </c>
      <c r="AY144" s="301">
        <f t="shared" ref="AY144" si="381">AX144</f>
        <v>2615.4764317748568</v>
      </c>
      <c r="AZ144" s="301">
        <f t="shared" ref="AZ144" si="382">AY144</f>
        <v>2615.4764317748568</v>
      </c>
      <c r="BA144" s="301">
        <f t="shared" ref="BA144" si="383">AZ144</f>
        <v>2615.4764317748568</v>
      </c>
      <c r="BB144" s="301">
        <f t="shared" ref="BB144" si="384">BA144</f>
        <v>2615.4764317748568</v>
      </c>
      <c r="BC144" s="301">
        <f t="shared" ref="BC144" si="385">BB144</f>
        <v>2615.4764317748568</v>
      </c>
      <c r="BD144" s="301">
        <f t="shared" ref="BD144" si="386">BC144</f>
        <v>2615.4764317748568</v>
      </c>
      <c r="BE144" s="301">
        <f t="shared" ref="BE144" si="387">BD144</f>
        <v>2615.4764317748568</v>
      </c>
      <c r="BF144" s="301">
        <f t="shared" ref="BF144" si="388">BE144</f>
        <v>2615.4764317748568</v>
      </c>
      <c r="BG144" s="301">
        <f t="shared" ref="BG144" si="389">BF144</f>
        <v>2615.4764317748568</v>
      </c>
      <c r="BH144" s="301">
        <f t="shared" ref="BH144" si="390">BG144</f>
        <v>2615.4764317748568</v>
      </c>
      <c r="BI144" s="301">
        <f t="shared" ref="BI144" si="391">BH144</f>
        <v>2615.4764317748568</v>
      </c>
      <c r="BJ144" s="301">
        <f t="shared" ref="BJ144" si="392">BI144</f>
        <v>2615.4764317748568</v>
      </c>
      <c r="BK144" s="301">
        <f t="shared" ref="BK144" si="393">BJ144</f>
        <v>2615.4764317748568</v>
      </c>
      <c r="BL144" s="301">
        <f t="shared" ref="BL144" si="394">BK144</f>
        <v>2615.4764317748568</v>
      </c>
      <c r="BM144" s="301">
        <f t="shared" ref="BM144" si="395">BL144</f>
        <v>2615.4764317748568</v>
      </c>
      <c r="BN144" s="301">
        <f t="shared" ref="BN144" si="396">BM144</f>
        <v>2615.4764317748568</v>
      </c>
      <c r="BO144" s="301">
        <f t="shared" ref="BO144" si="397">BN144</f>
        <v>2615.4764317748568</v>
      </c>
      <c r="BP144" s="301">
        <f t="shared" ref="BP144" si="398">BO144</f>
        <v>2615.4764317748568</v>
      </c>
      <c r="BQ144" s="301">
        <f t="shared" ref="BQ144" si="399">BP144</f>
        <v>2615.4764317748568</v>
      </c>
      <c r="BR144" s="301">
        <f t="shared" ref="BR144" si="400">BQ144</f>
        <v>2615.4764317748568</v>
      </c>
      <c r="BS144" s="301">
        <f t="shared" ref="BS144" si="401">BR144</f>
        <v>2615.4764317748568</v>
      </c>
      <c r="BT144" s="301">
        <f t="shared" ref="BT144" si="402">BS144</f>
        <v>2615.4764317748568</v>
      </c>
      <c r="BU144" s="301">
        <f t="shared" ref="BU144" si="403">BT144</f>
        <v>2615.4764317748568</v>
      </c>
      <c r="BV144" s="301">
        <f t="shared" ref="BV144" si="404">BU144</f>
        <v>2615.4764317748568</v>
      </c>
      <c r="BW144" s="301">
        <f t="shared" ref="BW144" si="405">BV144</f>
        <v>2615.4764317748568</v>
      </c>
      <c r="BX144" s="301">
        <f t="shared" ref="BX144" si="406">BW144</f>
        <v>2615.4764317748568</v>
      </c>
      <c r="BY144" s="301">
        <f t="shared" ref="BY144" si="407">BX144</f>
        <v>2615.4764317748568</v>
      </c>
      <c r="BZ144" s="301">
        <f t="shared" ref="BZ144" si="408">BY144</f>
        <v>2615.4764317748568</v>
      </c>
      <c r="CA144" s="301">
        <f t="shared" ref="CA144" si="409">BZ144</f>
        <v>2615.4764317748568</v>
      </c>
      <c r="CB144" s="301">
        <f t="shared" ref="CB144" si="410">CA144</f>
        <v>2615.4764317748568</v>
      </c>
      <c r="CC144" s="301">
        <f t="shared" ref="CC144" si="411">CB144</f>
        <v>2615.4764317748568</v>
      </c>
      <c r="CD144" s="301">
        <f t="shared" ref="CD144" si="412">CC144</f>
        <v>2615.4764317748568</v>
      </c>
      <c r="CE144" s="301">
        <f t="shared" ref="CE144" si="413">CD144</f>
        <v>2615.4764317748568</v>
      </c>
      <c r="CF144" s="301">
        <f t="shared" ref="CF144" si="414">CE144</f>
        <v>2615.4764317748568</v>
      </c>
      <c r="CG144" s="301">
        <f t="shared" ref="CG144" si="415">CF144</f>
        <v>2615.4764317748568</v>
      </c>
      <c r="CH144" s="301">
        <f t="shared" ref="CH144" si="416">CG144</f>
        <v>2615.4764317748568</v>
      </c>
      <c r="CI144" s="301">
        <f t="shared" ref="CI144" si="417">CH144</f>
        <v>2615.4764317748568</v>
      </c>
      <c r="CJ144" s="301">
        <f t="shared" ref="CJ144" si="418">CI144</f>
        <v>2615.4764317748568</v>
      </c>
      <c r="CK144" s="301">
        <f t="shared" ref="CK144" si="419">CJ144</f>
        <v>2615.4764317748568</v>
      </c>
      <c r="CL144" s="301">
        <f t="shared" ref="CL144" si="420">CK144</f>
        <v>2615.4764317748568</v>
      </c>
      <c r="CM144" s="301">
        <f t="shared" ref="CM144" si="421">CL144</f>
        <v>2615.4764317748568</v>
      </c>
      <c r="CN144" s="301">
        <f t="shared" ref="CN144" si="422">CM144</f>
        <v>2615.4764317748568</v>
      </c>
      <c r="CO144" s="301">
        <f t="shared" ref="CO144" si="423">CN144</f>
        <v>2615.4764317748568</v>
      </c>
      <c r="CP144" s="301">
        <f t="shared" ref="CP144" si="424">CO144</f>
        <v>2615.4764317748568</v>
      </c>
      <c r="CQ144" s="301">
        <f t="shared" ref="CQ144" si="425">CP144</f>
        <v>2615.4764317748568</v>
      </c>
      <c r="CR144" s="301">
        <f t="shared" ref="CR144" si="426">CQ144</f>
        <v>2615.4764317748568</v>
      </c>
      <c r="CS144" s="301">
        <f t="shared" ref="CS144" si="427">CR144</f>
        <v>2615.4764317748568</v>
      </c>
      <c r="CT144" s="301">
        <f t="shared" ref="CT144" si="428">CS144</f>
        <v>2615.4764317748568</v>
      </c>
      <c r="CU144" s="301">
        <f t="shared" ref="CU144" si="429">CT144</f>
        <v>2615.4764317748568</v>
      </c>
      <c r="CV144" s="301">
        <f t="shared" ref="CV144" si="430">CU144</f>
        <v>2615.4764317748568</v>
      </c>
      <c r="CW144" s="301">
        <f t="shared" ref="CW144" si="431">CV144</f>
        <v>2615.4764317748568</v>
      </c>
      <c r="CX144" s="301">
        <f t="shared" ref="CX144" si="432">CW144</f>
        <v>2615.4764317748568</v>
      </c>
      <c r="CY144" s="301">
        <f t="shared" ref="CY144" si="433">CX144</f>
        <v>2615.4764317748568</v>
      </c>
      <c r="CZ144" s="301">
        <f t="shared" ref="CZ144" si="434">CY144</f>
        <v>2615.4764317748568</v>
      </c>
      <c r="DA144" s="301">
        <f t="shared" ref="DA144" si="435">CZ144</f>
        <v>2615.4764317748568</v>
      </c>
      <c r="DB144" s="301">
        <f t="shared" ref="DB144" si="436">DA144</f>
        <v>2615.4764317748568</v>
      </c>
      <c r="DC144" s="301">
        <f t="shared" ref="DC144" si="437">DB144</f>
        <v>2615.4764317748568</v>
      </c>
      <c r="DD144" s="301">
        <f t="shared" ref="DD144" si="438">DC144</f>
        <v>2615.4764317748568</v>
      </c>
      <c r="DE144" s="301">
        <f t="shared" ref="DE144" si="439">DD144</f>
        <v>2615.4764317748568</v>
      </c>
      <c r="DF144" s="301"/>
      <c r="DG144" s="301"/>
      <c r="DH144" s="301"/>
      <c r="DI144" s="301"/>
      <c r="DJ144" s="301"/>
      <c r="DK144" s="301"/>
      <c r="DL144" s="301"/>
    </row>
    <row r="145" spans="1:122" ht="15.75" customHeight="1" outlineLevel="1" x14ac:dyDescent="0.25">
      <c r="A145" s="751"/>
      <c r="B145" s="751"/>
      <c r="C145" s="291" t="s">
        <v>281</v>
      </c>
      <c r="D145" s="348"/>
      <c r="E145" s="349"/>
      <c r="F145" s="371"/>
      <c r="G145" s="371"/>
      <c r="H145" s="372">
        <f>(H143*'Unit Costs and Indicators'!$L$10)*H144</f>
        <v>45.382377180109543</v>
      </c>
      <c r="I145" s="373">
        <f>(I143*'Unit Costs and Indicators'!$L$10)*I144</f>
        <v>45.609289066010085</v>
      </c>
      <c r="J145" s="373">
        <f>(J143*'Unit Costs and Indicators'!$L$10)*J144</f>
        <v>45.837335511340129</v>
      </c>
      <c r="K145" s="373">
        <f>(K143*'Unit Costs and Indicators'!$L$10)*K144</f>
        <v>46.066522188896826</v>
      </c>
      <c r="L145" s="373">
        <f>(L143*'Unit Costs and Indicators'!$L$10)*L144</f>
        <v>46.296854799841306</v>
      </c>
      <c r="M145" s="373">
        <f>(M143*'Unit Costs and Indicators'!$L$10)*M144</f>
        <v>46.528339073840506</v>
      </c>
      <c r="N145" s="373">
        <f>(N143*'Unit Costs and Indicators'!$L$10)*N144</f>
        <v>46.760980769209702</v>
      </c>
      <c r="O145" s="373">
        <f>(O143*'Unit Costs and Indicators'!$L$10)*O144</f>
        <v>46.994785673055752</v>
      </c>
      <c r="P145" s="373">
        <f>(P143*'Unit Costs and Indicators'!$L$10)*P144</f>
        <v>47.22975960142103</v>
      </c>
      <c r="Q145" s="373">
        <f>(Q143*'Unit Costs and Indicators'!$L$10)*Q144</f>
        <v>47.46590839942813</v>
      </c>
      <c r="R145" s="373">
        <f>(R143*'Unit Costs and Indicators'!$L$10)*R144</f>
        <v>47.703237941425265</v>
      </c>
      <c r="S145" s="373">
        <f>(S143*'Unit Costs and Indicators'!$L$10)*S144</f>
        <v>47.941754131132377</v>
      </c>
      <c r="T145" s="373">
        <f>(T143*'Unit Costs and Indicators'!$L$10)*T144</f>
        <v>48.181462901788038</v>
      </c>
      <c r="U145" s="373">
        <f>(U143*'Unit Costs and Indicators'!$L$10)*U144</f>
        <v>48.422370216296983</v>
      </c>
      <c r="V145" s="373">
        <f>(V143*'Unit Costs and Indicators'!$L$10)*V144</f>
        <v>48.664482067378458</v>
      </c>
      <c r="W145" s="373">
        <f>(W143*'Unit Costs and Indicators'!$L$10)*W144</f>
        <v>48.907804477715345</v>
      </c>
      <c r="X145" s="373">
        <f>(X143*'Unit Costs and Indicators'!$L$10)*X144</f>
        <v>49.152343500103918</v>
      </c>
      <c r="Y145" s="373">
        <f>(Y143*'Unit Costs and Indicators'!$L$10)*Y144</f>
        <v>49.398105217604432</v>
      </c>
      <c r="Z145" s="373">
        <f>(Z143*'Unit Costs and Indicators'!$L$10)*Z144</f>
        <v>49.645095743692451</v>
      </c>
      <c r="AA145" s="373">
        <f>(AA143*'Unit Costs and Indicators'!$L$10)*AA144</f>
        <v>49.893321222410904</v>
      </c>
      <c r="AB145" s="373">
        <f>(AB143*'Unit Costs and Indicators'!$L$10)*AB144</f>
        <v>50.142787828522955</v>
      </c>
      <c r="AC145" s="373">
        <f>(AC143*'Unit Costs and Indicators'!$L$10)*AC144</f>
        <v>50.393501767665562</v>
      </c>
      <c r="AD145" s="373">
        <f>(AD143*'Unit Costs and Indicators'!$L$10)*AD144</f>
        <v>50.645469276503889</v>
      </c>
      <c r="AE145" s="373">
        <f>(AE143*'Unit Costs and Indicators'!$L$10)*AE144</f>
        <v>50.898696622886398</v>
      </c>
      <c r="AF145" s="373">
        <f>(AF143*'Unit Costs and Indicators'!$L$10)*AF144</f>
        <v>51.153190106000828</v>
      </c>
      <c r="AG145" s="373">
        <f>(AG143*'Unit Costs and Indicators'!$L$10)*AG144</f>
        <v>51.408956056530826</v>
      </c>
      <c r="AH145" s="373">
        <f>(AH143*'Unit Costs and Indicators'!$L$10)*AH144</f>
        <v>51.666000836813474</v>
      </c>
      <c r="AI145" s="373">
        <f>(AI143*'Unit Costs and Indicators'!$L$10)*AI144</f>
        <v>51.666000836813474</v>
      </c>
      <c r="AJ145" s="373">
        <f>(AJ143*'Unit Costs and Indicators'!$L$10)*AJ144</f>
        <v>51.666000836813474</v>
      </c>
      <c r="AK145" s="373">
        <f>(AK143*'Unit Costs and Indicators'!$L$10)*AK144</f>
        <v>51.666000836813474</v>
      </c>
      <c r="AL145" s="373">
        <f>(AL143*'Unit Costs and Indicators'!$L$10)*AL144</f>
        <v>51.666000836813474</v>
      </c>
      <c r="AM145" s="373">
        <f>(AM143*'Unit Costs and Indicators'!$L$10)*AM144</f>
        <v>51.666000836813474</v>
      </c>
      <c r="AN145" s="373">
        <f>(AN143*'Unit Costs and Indicators'!$L$10)*AN144</f>
        <v>51.666000836813474</v>
      </c>
      <c r="AO145" s="373">
        <f>(AO143*'Unit Costs and Indicators'!$L$10)*AO144</f>
        <v>51.666000836813474</v>
      </c>
      <c r="AP145" s="373">
        <f>(AP143*'Unit Costs and Indicators'!$L$10)*AP144</f>
        <v>51.666000836813474</v>
      </c>
      <c r="AQ145" s="373">
        <f>(AQ143*'Unit Costs and Indicators'!$L$10)*AQ144</f>
        <v>51.666000836813474</v>
      </c>
      <c r="AR145" s="373">
        <f>(AR143*'Unit Costs and Indicators'!$L$10)*AR144</f>
        <v>51.666000836813474</v>
      </c>
      <c r="AS145" s="373">
        <f>(AS143*'Unit Costs and Indicators'!$L$10)*AS144</f>
        <v>51.666000836813474</v>
      </c>
      <c r="AT145" s="373">
        <f>(AT143*'Unit Costs and Indicators'!$L$10)*AT144</f>
        <v>51.666000836813474</v>
      </c>
      <c r="AU145" s="373">
        <f>(AU143*'Unit Costs and Indicators'!$L$10)*AU144</f>
        <v>51.666000836813474</v>
      </c>
      <c r="AV145" s="373">
        <f>(AV143*'Unit Costs and Indicators'!$L$10)*AV144</f>
        <v>51.666000836813474</v>
      </c>
      <c r="AW145" s="373">
        <f>(AW143*'Unit Costs and Indicators'!$L$10)*AW144</f>
        <v>51.666000836813474</v>
      </c>
      <c r="AX145" s="373">
        <f>(AX143*'Unit Costs and Indicators'!$L$10)*AX144</f>
        <v>51.666000836813474</v>
      </c>
      <c r="AY145" s="373">
        <f>(AY143*'Unit Costs and Indicators'!$L$10)*AY144</f>
        <v>51.666000836813474</v>
      </c>
      <c r="AZ145" s="373">
        <f>(AZ143*'Unit Costs and Indicators'!$L$10)*AZ144</f>
        <v>51.666000836813474</v>
      </c>
      <c r="BA145" s="373">
        <f>(BA143*'Unit Costs and Indicators'!$L$10)*BA144</f>
        <v>51.666000836813474</v>
      </c>
      <c r="BB145" s="373">
        <f>(BB143*'Unit Costs and Indicators'!$L$10)*BB144</f>
        <v>51.666000836813474</v>
      </c>
      <c r="BC145" s="373">
        <f>(BC143*'Unit Costs and Indicators'!$L$10)*BC144</f>
        <v>51.666000836813474</v>
      </c>
      <c r="BD145" s="373">
        <f>(BD143*'Unit Costs and Indicators'!$L$10)*BD144</f>
        <v>51.666000836813474</v>
      </c>
      <c r="BE145" s="373">
        <f>(BE143*'Unit Costs and Indicators'!$L$10)*BE144</f>
        <v>51.666000836813474</v>
      </c>
      <c r="BF145" s="373">
        <f>(BF143*'Unit Costs and Indicators'!$L$10)*BF144</f>
        <v>51.666000836813474</v>
      </c>
      <c r="BG145" s="373">
        <f>(BG143*'Unit Costs and Indicators'!$L$10)*BG144</f>
        <v>51.666000836813474</v>
      </c>
      <c r="BH145" s="373">
        <f>(BH143*'Unit Costs and Indicators'!$L$10)*BH144</f>
        <v>51.666000836813474</v>
      </c>
      <c r="BI145" s="373">
        <f>(BI143*'Unit Costs and Indicators'!$L$10)*BI144</f>
        <v>51.666000836813474</v>
      </c>
      <c r="BJ145" s="373">
        <f>(BJ143*'Unit Costs and Indicators'!$L$10)*BJ144</f>
        <v>51.666000836813474</v>
      </c>
      <c r="BK145" s="373">
        <f>(BK143*'Unit Costs and Indicators'!$L$10)*BK144</f>
        <v>51.666000836813474</v>
      </c>
      <c r="BL145" s="373">
        <f>(BL143*'Unit Costs and Indicators'!$L$10)*BL144</f>
        <v>51.666000836813474</v>
      </c>
      <c r="BM145" s="373">
        <f>(BM143*'Unit Costs and Indicators'!$L$10)*BM144</f>
        <v>51.666000836813474</v>
      </c>
      <c r="BN145" s="373">
        <f>(BN143*'Unit Costs and Indicators'!$L$10)*BN144</f>
        <v>51.666000836813474</v>
      </c>
      <c r="BO145" s="373">
        <f>(BO143*'Unit Costs and Indicators'!$L$10)*BO144</f>
        <v>51.666000836813474</v>
      </c>
      <c r="BP145" s="373">
        <f>(BP143*'Unit Costs and Indicators'!$L$10)*BP144</f>
        <v>51.666000836813474</v>
      </c>
      <c r="BQ145" s="373">
        <f>(BQ143*'Unit Costs and Indicators'!$L$10)*BQ144</f>
        <v>51.666000836813474</v>
      </c>
      <c r="BR145" s="373">
        <f>(BR143*'Unit Costs and Indicators'!$L$10)*BR144</f>
        <v>51.666000836813474</v>
      </c>
      <c r="BS145" s="373">
        <f>(BS143*'Unit Costs and Indicators'!$L$10)*BS144</f>
        <v>51.666000836813474</v>
      </c>
      <c r="BT145" s="373">
        <f>(BT143*'Unit Costs and Indicators'!$L$10)*BT144</f>
        <v>51.666000836813474</v>
      </c>
      <c r="BU145" s="373">
        <f>(BU143*'Unit Costs and Indicators'!$L$10)*BU144</f>
        <v>51.666000836813474</v>
      </c>
      <c r="BV145" s="373">
        <f>(BV143*'Unit Costs and Indicators'!$L$10)*BV144</f>
        <v>51.666000836813474</v>
      </c>
      <c r="BW145" s="373">
        <f>(BW143*'Unit Costs and Indicators'!$L$10)*BW144</f>
        <v>51.666000836813474</v>
      </c>
      <c r="BX145" s="373">
        <f>(BX143*'Unit Costs and Indicators'!$L$10)*BX144</f>
        <v>51.666000836813474</v>
      </c>
      <c r="BY145" s="373">
        <f>(BY143*'Unit Costs and Indicators'!$L$10)*BY144</f>
        <v>51.666000836813474</v>
      </c>
      <c r="BZ145" s="373">
        <f>(BZ143*'Unit Costs and Indicators'!$L$10)*BZ144</f>
        <v>51.666000836813474</v>
      </c>
      <c r="CA145" s="373">
        <f>(CA143*'Unit Costs and Indicators'!$L$10)*CA144</f>
        <v>51.666000836813474</v>
      </c>
      <c r="CB145" s="373">
        <f>(CB143*'Unit Costs and Indicators'!$L$10)*CB144</f>
        <v>51.666000836813474</v>
      </c>
      <c r="CC145" s="373">
        <f>(CC143*'Unit Costs and Indicators'!$L$10)*CC144</f>
        <v>51.666000836813474</v>
      </c>
      <c r="CD145" s="373">
        <f>(CD143*'Unit Costs and Indicators'!$L$10)*CD144</f>
        <v>51.666000836813474</v>
      </c>
      <c r="CE145" s="373">
        <f>(CE143*'Unit Costs and Indicators'!$L$10)*CE144</f>
        <v>51.666000836813474</v>
      </c>
      <c r="CF145" s="373">
        <f>(CF143*'Unit Costs and Indicators'!$L$10)*CF144</f>
        <v>51.666000836813474</v>
      </c>
      <c r="CG145" s="373">
        <f>(CG143*'Unit Costs and Indicators'!$L$10)*CG144</f>
        <v>51.666000836813474</v>
      </c>
      <c r="CH145" s="373">
        <f>(CH143*'Unit Costs and Indicators'!$L$10)*CH144</f>
        <v>51.666000836813474</v>
      </c>
      <c r="CI145" s="373">
        <f>(CI143*'Unit Costs and Indicators'!$L$10)*CI144</f>
        <v>51.666000836813474</v>
      </c>
      <c r="CJ145" s="373">
        <f>(CJ143*'Unit Costs and Indicators'!$L$10)*CJ144</f>
        <v>51.666000836813474</v>
      </c>
      <c r="CK145" s="373">
        <f>(CK143*'Unit Costs and Indicators'!$L$10)*CK144</f>
        <v>51.666000836813474</v>
      </c>
      <c r="CL145" s="373">
        <f>(CL143*'Unit Costs and Indicators'!$L$10)*CL144</f>
        <v>51.666000836813474</v>
      </c>
      <c r="CM145" s="373">
        <f>(CM143*'Unit Costs and Indicators'!$L$10)*CM144</f>
        <v>51.666000836813474</v>
      </c>
      <c r="CN145" s="373">
        <f>(CN143*'Unit Costs and Indicators'!$L$10)*CN144</f>
        <v>51.666000836813474</v>
      </c>
      <c r="CO145" s="373">
        <f>(CO143*'Unit Costs and Indicators'!$L$10)*CO144</f>
        <v>51.666000836813474</v>
      </c>
      <c r="CP145" s="373">
        <f>(CP143*'Unit Costs and Indicators'!$L$10)*CP144</f>
        <v>51.666000836813474</v>
      </c>
      <c r="CQ145" s="373">
        <f>(CQ143*'Unit Costs and Indicators'!$L$10)*CQ144</f>
        <v>51.666000836813474</v>
      </c>
      <c r="CR145" s="373">
        <f>(CR143*'Unit Costs and Indicators'!$L$10)*CR144</f>
        <v>51.666000836813474</v>
      </c>
      <c r="CS145" s="373">
        <f>(CS143*'Unit Costs and Indicators'!$L$10)*CS144</f>
        <v>51.666000836813474</v>
      </c>
      <c r="CT145" s="373">
        <f>(CT143*'Unit Costs and Indicators'!$L$10)*CT144</f>
        <v>51.666000836813474</v>
      </c>
      <c r="CU145" s="373">
        <f>(CU143*'Unit Costs and Indicators'!$L$10)*CU144</f>
        <v>51.666000836813474</v>
      </c>
      <c r="CV145" s="373">
        <f>(CV143*'Unit Costs and Indicators'!$L$10)*CV144</f>
        <v>51.666000836813474</v>
      </c>
      <c r="CW145" s="373">
        <f>(CW143*'Unit Costs and Indicators'!$L$10)*CW144</f>
        <v>51.666000836813474</v>
      </c>
      <c r="CX145" s="373">
        <f>(CX143*'Unit Costs and Indicators'!$L$10)*CX144</f>
        <v>51.666000836813474</v>
      </c>
      <c r="CY145" s="373">
        <f>(CY143*'Unit Costs and Indicators'!$L$10)*CY144</f>
        <v>51.666000836813474</v>
      </c>
      <c r="CZ145" s="373">
        <f>(CZ143*'Unit Costs and Indicators'!$L$10)*CZ144</f>
        <v>51.666000836813474</v>
      </c>
      <c r="DA145" s="373">
        <f>(DA143*'Unit Costs and Indicators'!$L$10)*DA144</f>
        <v>51.666000836813474</v>
      </c>
      <c r="DB145" s="373">
        <f>(DB143*'Unit Costs and Indicators'!$L$10)*DB144</f>
        <v>51.666000836813474</v>
      </c>
      <c r="DC145" s="373">
        <f>(DC143*'Unit Costs and Indicators'!$L$10)*DC144</f>
        <v>51.666000836813474</v>
      </c>
      <c r="DD145" s="373">
        <f>(DD143*'Unit Costs and Indicators'!$L$10)*DD144</f>
        <v>51.666000836813474</v>
      </c>
      <c r="DE145" s="373">
        <f>(DE143*'Unit Costs and Indicators'!$L$10)*DE144</f>
        <v>51.666000836813474</v>
      </c>
      <c r="DF145" s="301"/>
      <c r="DG145" s="301"/>
      <c r="DH145" s="301"/>
      <c r="DI145" s="301"/>
      <c r="DJ145" s="301"/>
      <c r="DK145" s="301"/>
      <c r="DL145" s="301"/>
    </row>
    <row r="146" spans="1:122" ht="15.75" customHeight="1" outlineLevel="1" x14ac:dyDescent="0.25">
      <c r="A146" s="751"/>
      <c r="B146" s="751"/>
      <c r="C146" s="321" t="s">
        <v>282</v>
      </c>
      <c r="D146" s="279" t="s">
        <v>204</v>
      </c>
      <c r="E146" s="367" t="s">
        <v>283</v>
      </c>
      <c r="F146" s="279"/>
      <c r="G146" s="279" t="s">
        <v>284</v>
      </c>
      <c r="H146" s="281">
        <f>3847</f>
        <v>3847</v>
      </c>
      <c r="I146" s="284">
        <f>H146*(1+('Unit Costs and Indicators'!$D$145/2))</f>
        <v>3847</v>
      </c>
      <c r="J146" s="284">
        <f>I146*(1+('Unit Costs and Indicators'!$D$145/2))</f>
        <v>3847</v>
      </c>
      <c r="K146" s="284">
        <f>J146*(1+('Unit Costs and Indicators'!$D$145/2))</f>
        <v>3847</v>
      </c>
      <c r="L146" s="284">
        <f>K146*(1+('Unit Costs and Indicators'!$D$145/2))</f>
        <v>3847</v>
      </c>
      <c r="M146" s="284">
        <f>L146*(1+('Unit Costs and Indicators'!$D$145/2))</f>
        <v>3847</v>
      </c>
      <c r="N146" s="284">
        <f>M146*(1+('Unit Costs and Indicators'!$D$145/2))</f>
        <v>3847</v>
      </c>
      <c r="O146" s="284">
        <f>N146*(1+('Unit Costs and Indicators'!$D$145/2))</f>
        <v>3847</v>
      </c>
      <c r="P146" s="284">
        <f>O146*(1+('Unit Costs and Indicators'!$D$145/2))</f>
        <v>3847</v>
      </c>
      <c r="Q146" s="284">
        <f>P146*(1+('Unit Costs and Indicators'!$D$145/2))</f>
        <v>3847</v>
      </c>
      <c r="R146" s="284">
        <f>Q146*(1+('Unit Costs and Indicators'!$D$145/2))</f>
        <v>3847</v>
      </c>
      <c r="S146" s="284">
        <f>R146*(1+('Unit Costs and Indicators'!$D$145/2))</f>
        <v>3847</v>
      </c>
      <c r="T146" s="284">
        <f>S146*(1+('Unit Costs and Indicators'!$D$145/2))</f>
        <v>3847</v>
      </c>
      <c r="U146" s="284">
        <f>T146*(1+('Unit Costs and Indicators'!$D$145/2))</f>
        <v>3847</v>
      </c>
      <c r="V146" s="284">
        <f>U146*(1+('Unit Costs and Indicators'!$D$145/2))</f>
        <v>3847</v>
      </c>
      <c r="W146" s="284">
        <f>V146*(1+('Unit Costs and Indicators'!$D$145/2))</f>
        <v>3847</v>
      </c>
      <c r="X146" s="284">
        <f>W146*(1+('Unit Costs and Indicators'!$D$145/2))</f>
        <v>3847</v>
      </c>
      <c r="Y146" s="284">
        <f>X146*(1+('Unit Costs and Indicators'!$D$145/2))</f>
        <v>3847</v>
      </c>
      <c r="Z146" s="284">
        <f>Y146*(1+('Unit Costs and Indicators'!$D$145/2))</f>
        <v>3847</v>
      </c>
      <c r="AA146" s="284">
        <f>Z146*(1+('Unit Costs and Indicators'!$D$145/2))</f>
        <v>3847</v>
      </c>
      <c r="AB146" s="284">
        <f>AA146*(1+('Unit Costs and Indicators'!$D$145/2))</f>
        <v>3847</v>
      </c>
      <c r="AC146" s="284">
        <f>AB146*(1+('Unit Costs and Indicators'!$D$145/2))</f>
        <v>3847</v>
      </c>
      <c r="AD146" s="284">
        <f>AC146*(1+('Unit Costs and Indicators'!$D$145/2))</f>
        <v>3847</v>
      </c>
      <c r="AE146" s="284">
        <f>AD146*(1+('Unit Costs and Indicators'!$D$145/2))</f>
        <v>3847</v>
      </c>
      <c r="AF146" s="284">
        <f>AE146*(1+('Unit Costs and Indicators'!$D$145/2))</f>
        <v>3847</v>
      </c>
      <c r="AG146" s="284">
        <f>AF146*(1+('Unit Costs and Indicators'!$D$145/2))</f>
        <v>3847</v>
      </c>
      <c r="AH146" s="284">
        <f>AG146*(1+('Unit Costs and Indicators'!$D$145/2))</f>
        <v>3847</v>
      </c>
      <c r="AI146" s="284">
        <f>AH146*(1+('Unit Costs and Indicators'!$D$145/2))</f>
        <v>3847</v>
      </c>
      <c r="AJ146" s="284">
        <f>AI146*(1+('Unit Costs and Indicators'!$D$145/2))</f>
        <v>3847</v>
      </c>
      <c r="AK146" s="284">
        <f>AJ146*(1+('Unit Costs and Indicators'!$D$145/2))</f>
        <v>3847</v>
      </c>
      <c r="AL146" s="284">
        <f>AK146*(1+('Unit Costs and Indicators'!$D$145/2))</f>
        <v>3847</v>
      </c>
      <c r="AM146" s="284">
        <f>AL146*(1+('Unit Costs and Indicators'!$D$145/2))</f>
        <v>3847</v>
      </c>
      <c r="AN146" s="284">
        <f>AM146*(1+('Unit Costs and Indicators'!$D$145/2))</f>
        <v>3847</v>
      </c>
      <c r="AO146" s="284">
        <f>AN146*(1+('Unit Costs and Indicators'!$D$145/2))</f>
        <v>3847</v>
      </c>
      <c r="AP146" s="284">
        <f>AO146*(1+('Unit Costs and Indicators'!$D$145/2))</f>
        <v>3847</v>
      </c>
      <c r="AQ146" s="284">
        <f>AP146*(1+('Unit Costs and Indicators'!$D$145/2))</f>
        <v>3847</v>
      </c>
      <c r="AR146" s="284">
        <f>AQ146*(1+('Unit Costs and Indicators'!$D$145/2))</f>
        <v>3847</v>
      </c>
      <c r="AS146" s="284">
        <f>AR146*(1+('Unit Costs and Indicators'!$D$145/2))</f>
        <v>3847</v>
      </c>
      <c r="AT146" s="284">
        <f>AS146*(1+('Unit Costs and Indicators'!$D$145/2))</f>
        <v>3847</v>
      </c>
      <c r="AU146" s="284">
        <f>AT146*(1+('Unit Costs and Indicators'!$D$145/2))</f>
        <v>3847</v>
      </c>
      <c r="AV146" s="284">
        <f>AU146*(1+('Unit Costs and Indicators'!$D$145/2))</f>
        <v>3847</v>
      </c>
      <c r="AW146" s="284">
        <f>AV146*(1+('Unit Costs and Indicators'!$D$145/2))</f>
        <v>3847</v>
      </c>
      <c r="AX146" s="284">
        <f>AW146*(1+('Unit Costs and Indicators'!$D$145/2))</f>
        <v>3847</v>
      </c>
      <c r="AY146" s="284">
        <f>AX146*(1+('Unit Costs and Indicators'!$D$145/2))</f>
        <v>3847</v>
      </c>
      <c r="AZ146" s="284">
        <f>AY146*(1+('Unit Costs and Indicators'!$D$145/2))</f>
        <v>3847</v>
      </c>
      <c r="BA146" s="284">
        <f>AZ146*(1+('Unit Costs and Indicators'!$D$145/2))</f>
        <v>3847</v>
      </c>
      <c r="BB146" s="284">
        <f>BA146*(1+('Unit Costs and Indicators'!$D$145/2))</f>
        <v>3847</v>
      </c>
      <c r="BC146" s="284">
        <f>BB146*(1+('Unit Costs and Indicators'!$D$145/2))</f>
        <v>3847</v>
      </c>
      <c r="BD146" s="284">
        <f>BC146*(1+('Unit Costs and Indicators'!$D$145/2))</f>
        <v>3847</v>
      </c>
      <c r="BE146" s="284">
        <f>BD146*(1+('Unit Costs and Indicators'!$D$145/2))</f>
        <v>3847</v>
      </c>
      <c r="BF146" s="284">
        <f>BE146*(1+('Unit Costs and Indicators'!$D$145/2))</f>
        <v>3847</v>
      </c>
      <c r="BG146" s="284">
        <f>BF146*(1+('Unit Costs and Indicators'!$D$145/2))</f>
        <v>3847</v>
      </c>
      <c r="BH146" s="284">
        <f>BG146*(1+('Unit Costs and Indicators'!$D$145/2))</f>
        <v>3847</v>
      </c>
      <c r="BI146" s="284">
        <f>BH146*(1+('Unit Costs and Indicators'!$D$145/2))</f>
        <v>3847</v>
      </c>
      <c r="BJ146" s="284">
        <f>BI146*(1+('Unit Costs and Indicators'!$D$145/2))</f>
        <v>3847</v>
      </c>
      <c r="BK146" s="284">
        <f>BJ146*(1+('Unit Costs and Indicators'!$D$145/2))</f>
        <v>3847</v>
      </c>
      <c r="BL146" s="284">
        <f>BK146*(1+('Unit Costs and Indicators'!$D$145/2))</f>
        <v>3847</v>
      </c>
      <c r="BM146" s="284">
        <f>BL146*(1+('Unit Costs and Indicators'!$D$145/2))</f>
        <v>3847</v>
      </c>
      <c r="BN146" s="284">
        <f>BM146*(1+('Unit Costs and Indicators'!$D$145/2))</f>
        <v>3847</v>
      </c>
      <c r="BO146" s="284">
        <f>BN146*(1+('Unit Costs and Indicators'!$D$145/2))</f>
        <v>3847</v>
      </c>
      <c r="BP146" s="284">
        <f>BO146*(1+('Unit Costs and Indicators'!$D$145/2))</f>
        <v>3847</v>
      </c>
      <c r="BQ146" s="284">
        <f>BP146*(1+('Unit Costs and Indicators'!$D$145/2))</f>
        <v>3847</v>
      </c>
      <c r="BR146" s="284">
        <f>BQ146*(1+('Unit Costs and Indicators'!$D$145/2))</f>
        <v>3847</v>
      </c>
      <c r="BS146" s="284">
        <f>BR146*(1+('Unit Costs and Indicators'!$D$145/2))</f>
        <v>3847</v>
      </c>
      <c r="BT146" s="284">
        <f>BS146*(1+('Unit Costs and Indicators'!$D$145/2))</f>
        <v>3847</v>
      </c>
      <c r="BU146" s="284">
        <f>BT146*(1+('Unit Costs and Indicators'!$D$145/2))</f>
        <v>3847</v>
      </c>
      <c r="BV146" s="284">
        <f>BU146*(1+('Unit Costs and Indicators'!$D$145/2))</f>
        <v>3847</v>
      </c>
      <c r="BW146" s="284">
        <f>BV146*(1+('Unit Costs and Indicators'!$D$145/2))</f>
        <v>3847</v>
      </c>
      <c r="BX146" s="284">
        <f>BW146*(1+('Unit Costs and Indicators'!$D$145/2))</f>
        <v>3847</v>
      </c>
      <c r="BY146" s="284">
        <f>BX146*(1+('Unit Costs and Indicators'!$D$145/2))</f>
        <v>3847</v>
      </c>
      <c r="BZ146" s="284">
        <f>BY146*(1+('Unit Costs and Indicators'!$D$145/2))</f>
        <v>3847</v>
      </c>
      <c r="CA146" s="284">
        <f>BZ146*(1+('Unit Costs and Indicators'!$D$145/2))</f>
        <v>3847</v>
      </c>
      <c r="CB146" s="284">
        <f>CA146*(1+('Unit Costs and Indicators'!$D$145/2))</f>
        <v>3847</v>
      </c>
      <c r="CC146" s="284">
        <f>CB146*(1+('Unit Costs and Indicators'!$D$145/2))</f>
        <v>3847</v>
      </c>
      <c r="CD146" s="284">
        <f>CC146*(1+('Unit Costs and Indicators'!$D$145/2))</f>
        <v>3847</v>
      </c>
      <c r="CE146" s="284">
        <f>CD146*(1+('Unit Costs and Indicators'!$D$145/2))</f>
        <v>3847</v>
      </c>
      <c r="CF146" s="284">
        <f>CE146*(1+('Unit Costs and Indicators'!$D$145/2))</f>
        <v>3847</v>
      </c>
      <c r="CG146" s="284">
        <f>CF146*(1+('Unit Costs and Indicators'!$D$145/2))</f>
        <v>3847</v>
      </c>
      <c r="CH146" s="284">
        <f>CG146*(1+('Unit Costs and Indicators'!$D$145/2))</f>
        <v>3847</v>
      </c>
      <c r="CI146" s="284">
        <f>CH146*(1+('Unit Costs and Indicators'!$D$145/2))</f>
        <v>3847</v>
      </c>
      <c r="CJ146" s="284">
        <f>CI146*(1+('Unit Costs and Indicators'!$D$145/2))</f>
        <v>3847</v>
      </c>
      <c r="CK146" s="284">
        <f>CJ146*(1+('Unit Costs and Indicators'!$D$145/2))</f>
        <v>3847</v>
      </c>
      <c r="CL146" s="284">
        <f>CK146*(1+('Unit Costs and Indicators'!$D$145/2))</f>
        <v>3847</v>
      </c>
      <c r="CM146" s="284">
        <f>CL146*(1+('Unit Costs and Indicators'!$D$145/2))</f>
        <v>3847</v>
      </c>
      <c r="CN146" s="284">
        <f>CM146*(1+('Unit Costs and Indicators'!$D$145/2))</f>
        <v>3847</v>
      </c>
      <c r="CO146" s="284">
        <f>CN146*(1+('Unit Costs and Indicators'!$D$145/2))</f>
        <v>3847</v>
      </c>
      <c r="CP146" s="284">
        <f>CO146*(1+('Unit Costs and Indicators'!$D$145/2))</f>
        <v>3847</v>
      </c>
      <c r="CQ146" s="284">
        <f>CP146*(1+('Unit Costs and Indicators'!$D$145/2))</f>
        <v>3847</v>
      </c>
      <c r="CR146" s="284">
        <f>CQ146*(1+('Unit Costs and Indicators'!$D$145/2))</f>
        <v>3847</v>
      </c>
      <c r="CS146" s="284">
        <f>CR146*(1+('Unit Costs and Indicators'!$D$145/2))</f>
        <v>3847</v>
      </c>
      <c r="CT146" s="284">
        <f>CS146*(1+('Unit Costs and Indicators'!$D$145/2))</f>
        <v>3847</v>
      </c>
      <c r="CU146" s="284">
        <f>CT146*(1+('Unit Costs and Indicators'!$D$145/2))</f>
        <v>3847</v>
      </c>
      <c r="CV146" s="284">
        <f>CU146*(1+('Unit Costs and Indicators'!$D$145/2))</f>
        <v>3847</v>
      </c>
      <c r="CW146" s="284">
        <f>CV146*(1+('Unit Costs and Indicators'!$D$145/2))</f>
        <v>3847</v>
      </c>
      <c r="CX146" s="284">
        <f>CW146*(1+('Unit Costs and Indicators'!$D$145/2))</f>
        <v>3847</v>
      </c>
      <c r="CY146" s="284">
        <f>CX146*(1+('Unit Costs and Indicators'!$D$145/2))</f>
        <v>3847</v>
      </c>
      <c r="CZ146" s="284">
        <f>CY146*(1+('Unit Costs and Indicators'!$D$145/2))</f>
        <v>3847</v>
      </c>
      <c r="DA146" s="284">
        <f>CZ146*(1+('Unit Costs and Indicators'!$D$145/2))</f>
        <v>3847</v>
      </c>
      <c r="DB146" s="284">
        <f>DA146*(1+('Unit Costs and Indicators'!$D$145/2))</f>
        <v>3847</v>
      </c>
      <c r="DC146" s="284">
        <f>DB146*(1+('Unit Costs and Indicators'!$D$145/2))</f>
        <v>3847</v>
      </c>
      <c r="DD146" s="284">
        <f>DC146*(1+('Unit Costs and Indicators'!$D$145/2))</f>
        <v>3847</v>
      </c>
      <c r="DE146" s="284">
        <f>DD146*(1+('Unit Costs and Indicators'!$D$145/2))</f>
        <v>3847</v>
      </c>
      <c r="DF146" s="284"/>
      <c r="DG146" s="284"/>
      <c r="DH146" s="284"/>
      <c r="DI146" s="284"/>
      <c r="DJ146" s="284"/>
      <c r="DK146" s="284"/>
      <c r="DL146" s="284"/>
    </row>
    <row r="147" spans="1:122" ht="15.75" customHeight="1" outlineLevel="1" x14ac:dyDescent="0.25">
      <c r="A147" s="751"/>
      <c r="B147" s="751"/>
      <c r="C147" s="321" t="s">
        <v>285</v>
      </c>
      <c r="D147" s="279"/>
      <c r="E147" s="280"/>
      <c r="F147" s="279"/>
      <c r="G147" s="279"/>
      <c r="H147" s="325">
        <f>H146*'Unit Costs and Indicators'!$L$10</f>
        <v>0.32198165365779002</v>
      </c>
      <c r="I147" s="326">
        <f>I146*'Unit Costs and Indicators'!$L$10</f>
        <v>0.32198165365779002</v>
      </c>
      <c r="J147" s="326">
        <f>J146*'Unit Costs and Indicators'!$L$10</f>
        <v>0.32198165365779002</v>
      </c>
      <c r="K147" s="326">
        <f>K146*'Unit Costs and Indicators'!$L$10</f>
        <v>0.32198165365779002</v>
      </c>
      <c r="L147" s="326">
        <f>L146*'Unit Costs and Indicators'!$L$10</f>
        <v>0.32198165365779002</v>
      </c>
      <c r="M147" s="326">
        <f>M146*'Unit Costs and Indicators'!$L$10</f>
        <v>0.32198165365779002</v>
      </c>
      <c r="N147" s="326">
        <f>N146*'Unit Costs and Indicators'!$L$10</f>
        <v>0.32198165365779002</v>
      </c>
      <c r="O147" s="326">
        <f>O146*'Unit Costs and Indicators'!$L$10</f>
        <v>0.32198165365779002</v>
      </c>
      <c r="P147" s="326">
        <f>P146*'Unit Costs and Indicators'!$L$10</f>
        <v>0.32198165365779002</v>
      </c>
      <c r="Q147" s="326">
        <f>Q146*'Unit Costs and Indicators'!$L$10</f>
        <v>0.32198165365779002</v>
      </c>
      <c r="R147" s="326">
        <f>R146*'Unit Costs and Indicators'!$L$10</f>
        <v>0.32198165365779002</v>
      </c>
      <c r="S147" s="326">
        <f>S146*'Unit Costs and Indicators'!$L$10</f>
        <v>0.32198165365779002</v>
      </c>
      <c r="T147" s="326">
        <f>T146*'Unit Costs and Indicators'!$L$10</f>
        <v>0.32198165365779002</v>
      </c>
      <c r="U147" s="326">
        <f>U146*'Unit Costs and Indicators'!$L$10</f>
        <v>0.32198165365779002</v>
      </c>
      <c r="V147" s="326">
        <f>V146*'Unit Costs and Indicators'!$L$10</f>
        <v>0.32198165365779002</v>
      </c>
      <c r="W147" s="326">
        <f>W146*'Unit Costs and Indicators'!$L$10</f>
        <v>0.32198165365779002</v>
      </c>
      <c r="X147" s="326">
        <f>X146*'Unit Costs and Indicators'!$L$10</f>
        <v>0.32198165365779002</v>
      </c>
      <c r="Y147" s="326">
        <f>Y146*'Unit Costs and Indicators'!$L$10</f>
        <v>0.32198165365779002</v>
      </c>
      <c r="Z147" s="326">
        <f>Z146*'Unit Costs and Indicators'!$L$10</f>
        <v>0.32198165365779002</v>
      </c>
      <c r="AA147" s="326">
        <f>AA146*'Unit Costs and Indicators'!$L$10</f>
        <v>0.32198165365779002</v>
      </c>
      <c r="AB147" s="326">
        <f>AB146*'Unit Costs and Indicators'!$L$10</f>
        <v>0.32198165365779002</v>
      </c>
      <c r="AC147" s="326">
        <f>AC146*'Unit Costs and Indicators'!$L$10</f>
        <v>0.32198165365779002</v>
      </c>
      <c r="AD147" s="326">
        <f>AD146*'Unit Costs and Indicators'!$L$10</f>
        <v>0.32198165365779002</v>
      </c>
      <c r="AE147" s="326">
        <f>AE146*'Unit Costs and Indicators'!$L$10</f>
        <v>0.32198165365779002</v>
      </c>
      <c r="AF147" s="326">
        <f>AF146*'Unit Costs and Indicators'!$L$10</f>
        <v>0.32198165365779002</v>
      </c>
      <c r="AG147" s="326">
        <f>AG146*'Unit Costs and Indicators'!$L$10</f>
        <v>0.32198165365779002</v>
      </c>
      <c r="AH147" s="326">
        <f>AH146*'Unit Costs and Indicators'!$L$10</f>
        <v>0.32198165365779002</v>
      </c>
      <c r="AI147" s="326">
        <f>AI146*'Unit Costs and Indicators'!$L$10</f>
        <v>0.32198165365779002</v>
      </c>
      <c r="AJ147" s="326">
        <f>AJ146*'Unit Costs and Indicators'!$L$10</f>
        <v>0.32198165365779002</v>
      </c>
      <c r="AK147" s="326">
        <f>AK146*'Unit Costs and Indicators'!$L$10</f>
        <v>0.32198165365779002</v>
      </c>
      <c r="AL147" s="326">
        <f>AL146*'Unit Costs and Indicators'!$L$10</f>
        <v>0.32198165365779002</v>
      </c>
      <c r="AM147" s="326">
        <f>AM146*'Unit Costs and Indicators'!$L$10</f>
        <v>0.32198165365779002</v>
      </c>
      <c r="AN147" s="326">
        <f>AN146*'Unit Costs and Indicators'!$L$10</f>
        <v>0.32198165365779002</v>
      </c>
      <c r="AO147" s="326">
        <f>AO146*'Unit Costs and Indicators'!$L$10</f>
        <v>0.32198165365779002</v>
      </c>
      <c r="AP147" s="326">
        <f>AP146*'Unit Costs and Indicators'!$L$10</f>
        <v>0.32198165365779002</v>
      </c>
      <c r="AQ147" s="326">
        <f>AQ146*'Unit Costs and Indicators'!$L$10</f>
        <v>0.32198165365779002</v>
      </c>
      <c r="AR147" s="326">
        <f>AR146*'Unit Costs and Indicators'!$L$10</f>
        <v>0.32198165365779002</v>
      </c>
      <c r="AS147" s="326">
        <f>AS146*'Unit Costs and Indicators'!$L$10</f>
        <v>0.32198165365779002</v>
      </c>
      <c r="AT147" s="326">
        <f>AT146*'Unit Costs and Indicators'!$L$10</f>
        <v>0.32198165365779002</v>
      </c>
      <c r="AU147" s="326">
        <f>AU146*'Unit Costs and Indicators'!$L$10</f>
        <v>0.32198165365779002</v>
      </c>
      <c r="AV147" s="326">
        <f>AV146*'Unit Costs and Indicators'!$L$10</f>
        <v>0.32198165365779002</v>
      </c>
      <c r="AW147" s="326">
        <f>AW146*'Unit Costs and Indicators'!$L$10</f>
        <v>0.32198165365779002</v>
      </c>
      <c r="AX147" s="326">
        <f>AX146*'Unit Costs and Indicators'!$L$10</f>
        <v>0.32198165365779002</v>
      </c>
      <c r="AY147" s="326">
        <f>AY146*'Unit Costs and Indicators'!$L$10</f>
        <v>0.32198165365779002</v>
      </c>
      <c r="AZ147" s="326">
        <f>AZ146*'Unit Costs and Indicators'!$L$10</f>
        <v>0.32198165365779002</v>
      </c>
      <c r="BA147" s="326">
        <f>BA146*'Unit Costs and Indicators'!$L$10</f>
        <v>0.32198165365779002</v>
      </c>
      <c r="BB147" s="326">
        <f>BB146*'Unit Costs and Indicators'!$L$10</f>
        <v>0.32198165365779002</v>
      </c>
      <c r="BC147" s="326">
        <f>BC146*'Unit Costs and Indicators'!$L$10</f>
        <v>0.32198165365779002</v>
      </c>
      <c r="BD147" s="326">
        <f>BD146*'Unit Costs and Indicators'!$L$10</f>
        <v>0.32198165365779002</v>
      </c>
      <c r="BE147" s="326">
        <f>BE146*'Unit Costs and Indicators'!$L$10</f>
        <v>0.32198165365779002</v>
      </c>
      <c r="BF147" s="326">
        <f>BF146*'Unit Costs and Indicators'!$L$10</f>
        <v>0.32198165365779002</v>
      </c>
      <c r="BG147" s="326">
        <f>BG146*'Unit Costs and Indicators'!$L$10</f>
        <v>0.32198165365779002</v>
      </c>
      <c r="BH147" s="326">
        <f>BH146*'Unit Costs and Indicators'!$L$10</f>
        <v>0.32198165365779002</v>
      </c>
      <c r="BI147" s="326">
        <f>BI146*'Unit Costs and Indicators'!$L$10</f>
        <v>0.32198165365779002</v>
      </c>
      <c r="BJ147" s="326">
        <f>BJ146*'Unit Costs and Indicators'!$L$10</f>
        <v>0.32198165365779002</v>
      </c>
      <c r="BK147" s="326">
        <f>BK146*'Unit Costs and Indicators'!$L$10</f>
        <v>0.32198165365779002</v>
      </c>
      <c r="BL147" s="326">
        <f>BL146*'Unit Costs and Indicators'!$L$10</f>
        <v>0.32198165365779002</v>
      </c>
      <c r="BM147" s="326">
        <f>BM146*'Unit Costs and Indicators'!$L$10</f>
        <v>0.32198165365779002</v>
      </c>
      <c r="BN147" s="326">
        <f>BN146*'Unit Costs and Indicators'!$L$10</f>
        <v>0.32198165365779002</v>
      </c>
      <c r="BO147" s="326">
        <f>BO146*'Unit Costs and Indicators'!$L$10</f>
        <v>0.32198165365779002</v>
      </c>
      <c r="BP147" s="326">
        <f>BP146*'Unit Costs and Indicators'!$L$10</f>
        <v>0.32198165365779002</v>
      </c>
      <c r="BQ147" s="326">
        <f>BQ146*'Unit Costs and Indicators'!$L$10</f>
        <v>0.32198165365779002</v>
      </c>
      <c r="BR147" s="326">
        <f>BR146*'Unit Costs and Indicators'!$L$10</f>
        <v>0.32198165365779002</v>
      </c>
      <c r="BS147" s="326">
        <f>BS146*'Unit Costs and Indicators'!$L$10</f>
        <v>0.32198165365779002</v>
      </c>
      <c r="BT147" s="326">
        <f>BT146*'Unit Costs and Indicators'!$L$10</f>
        <v>0.32198165365779002</v>
      </c>
      <c r="BU147" s="326">
        <f>BU146*'Unit Costs and Indicators'!$L$10</f>
        <v>0.32198165365779002</v>
      </c>
      <c r="BV147" s="326">
        <f>BV146*'Unit Costs and Indicators'!$L$10</f>
        <v>0.32198165365779002</v>
      </c>
      <c r="BW147" s="326">
        <f>BW146*'Unit Costs and Indicators'!$L$10</f>
        <v>0.32198165365779002</v>
      </c>
      <c r="BX147" s="326">
        <f>BX146*'Unit Costs and Indicators'!$L$10</f>
        <v>0.32198165365779002</v>
      </c>
      <c r="BY147" s="326">
        <f>BY146*'Unit Costs and Indicators'!$L$10</f>
        <v>0.32198165365779002</v>
      </c>
      <c r="BZ147" s="326">
        <f>BZ146*'Unit Costs and Indicators'!$L$10</f>
        <v>0.32198165365779002</v>
      </c>
      <c r="CA147" s="326">
        <f>CA146*'Unit Costs and Indicators'!$L$10</f>
        <v>0.32198165365779002</v>
      </c>
      <c r="CB147" s="326">
        <f>CB146*'Unit Costs and Indicators'!$L$10</f>
        <v>0.32198165365779002</v>
      </c>
      <c r="CC147" s="326">
        <f>CC146*'Unit Costs and Indicators'!$L$10</f>
        <v>0.32198165365779002</v>
      </c>
      <c r="CD147" s="326">
        <f>CD146*'Unit Costs and Indicators'!$L$10</f>
        <v>0.32198165365779002</v>
      </c>
      <c r="CE147" s="326">
        <f>CE146*'Unit Costs and Indicators'!$L$10</f>
        <v>0.32198165365779002</v>
      </c>
      <c r="CF147" s="326">
        <f>CF146*'Unit Costs and Indicators'!$L$10</f>
        <v>0.32198165365779002</v>
      </c>
      <c r="CG147" s="326">
        <f>CG146*'Unit Costs and Indicators'!$L$10</f>
        <v>0.32198165365779002</v>
      </c>
      <c r="CH147" s="326">
        <f>CH146*'Unit Costs and Indicators'!$L$10</f>
        <v>0.32198165365779002</v>
      </c>
      <c r="CI147" s="326">
        <f>CI146*'Unit Costs and Indicators'!$L$10</f>
        <v>0.32198165365779002</v>
      </c>
      <c r="CJ147" s="326">
        <f>CJ146*'Unit Costs and Indicators'!$L$10</f>
        <v>0.32198165365779002</v>
      </c>
      <c r="CK147" s="326">
        <f>CK146*'Unit Costs and Indicators'!$L$10</f>
        <v>0.32198165365779002</v>
      </c>
      <c r="CL147" s="326">
        <f>CL146*'Unit Costs and Indicators'!$L$10</f>
        <v>0.32198165365779002</v>
      </c>
      <c r="CM147" s="326">
        <f>CM146*'Unit Costs and Indicators'!$L$10</f>
        <v>0.32198165365779002</v>
      </c>
      <c r="CN147" s="326">
        <f>CN146*'Unit Costs and Indicators'!$L$10</f>
        <v>0.32198165365779002</v>
      </c>
      <c r="CO147" s="326">
        <f>CO146*'Unit Costs and Indicators'!$L$10</f>
        <v>0.32198165365779002</v>
      </c>
      <c r="CP147" s="326">
        <f>CP146*'Unit Costs and Indicators'!$L$10</f>
        <v>0.32198165365779002</v>
      </c>
      <c r="CQ147" s="326">
        <f>CQ146*'Unit Costs and Indicators'!$L$10</f>
        <v>0.32198165365779002</v>
      </c>
      <c r="CR147" s="326">
        <f>CR146*'Unit Costs and Indicators'!$L$10</f>
        <v>0.32198165365779002</v>
      </c>
      <c r="CS147" s="326">
        <f>CS146*'Unit Costs and Indicators'!$L$10</f>
        <v>0.32198165365779002</v>
      </c>
      <c r="CT147" s="326">
        <f>CT146*'Unit Costs and Indicators'!$L$10</f>
        <v>0.32198165365779002</v>
      </c>
      <c r="CU147" s="326">
        <f>CU146*'Unit Costs and Indicators'!$L$10</f>
        <v>0.32198165365779002</v>
      </c>
      <c r="CV147" s="326">
        <f>CV146*'Unit Costs and Indicators'!$L$10</f>
        <v>0.32198165365779002</v>
      </c>
      <c r="CW147" s="326">
        <f>CW146*'Unit Costs and Indicators'!$L$10</f>
        <v>0.32198165365779002</v>
      </c>
      <c r="CX147" s="326">
        <f>CX146*'Unit Costs and Indicators'!$L$10</f>
        <v>0.32198165365779002</v>
      </c>
      <c r="CY147" s="326">
        <f>CY146*'Unit Costs and Indicators'!$L$10</f>
        <v>0.32198165365779002</v>
      </c>
      <c r="CZ147" s="326">
        <f>CZ146*'Unit Costs and Indicators'!$L$10</f>
        <v>0.32198165365779002</v>
      </c>
      <c r="DA147" s="326">
        <f>DA146*'Unit Costs and Indicators'!$L$10</f>
        <v>0.32198165365779002</v>
      </c>
      <c r="DB147" s="326">
        <f>DB146*'Unit Costs and Indicators'!$L$10</f>
        <v>0.32198165365779002</v>
      </c>
      <c r="DC147" s="326">
        <f>DC146*'Unit Costs and Indicators'!$L$10</f>
        <v>0.32198165365779002</v>
      </c>
      <c r="DD147" s="326">
        <f>DD146*'Unit Costs and Indicators'!$L$10</f>
        <v>0.32198165365779002</v>
      </c>
      <c r="DE147" s="326">
        <f>DE146*'Unit Costs and Indicators'!$L$10</f>
        <v>0.32198165365779002</v>
      </c>
      <c r="DF147" s="326"/>
      <c r="DG147" s="326"/>
      <c r="DH147" s="326"/>
      <c r="DI147" s="326"/>
      <c r="DJ147" s="326"/>
      <c r="DK147" s="326"/>
      <c r="DL147" s="326"/>
    </row>
    <row r="148" spans="1:122" ht="15.75" customHeight="1" outlineLevel="1" x14ac:dyDescent="0.25">
      <c r="A148" s="751"/>
      <c r="B148" s="751"/>
      <c r="C148" s="4" t="s">
        <v>286</v>
      </c>
      <c r="D148" s="3"/>
      <c r="E148" s="305"/>
      <c r="F148" s="3"/>
      <c r="G148" s="389" t="s">
        <v>287</v>
      </c>
      <c r="H148" s="42">
        <f>H143/'Unit Costs and Indicators'!$K$4</f>
        <v>5.6091302806109216E-6</v>
      </c>
      <c r="I148" s="4">
        <f>I143/'Unit Costs and Indicators'!$K$4</f>
        <v>5.6371759320139756E-6</v>
      </c>
      <c r="J148" s="4">
        <f>J143/'Unit Costs and Indicators'!$K$4</f>
        <v>5.6653618116740456E-6</v>
      </c>
      <c r="K148" s="4">
        <f>K143/'Unit Costs and Indicators'!$K$4</f>
        <v>5.693688620732415E-6</v>
      </c>
      <c r="L148" s="4">
        <f>L143/'Unit Costs and Indicators'!$K$4</f>
        <v>5.7221570638360764E-6</v>
      </c>
      <c r="M148" s="4">
        <f>M143/'Unit Costs and Indicators'!$K$4</f>
        <v>5.7507678491552559E-6</v>
      </c>
      <c r="N148" s="4">
        <f>N143/'Unit Costs and Indicators'!$K$4</f>
        <v>5.7795216884010322E-6</v>
      </c>
      <c r="O148" s="4">
        <f>O143/'Unit Costs and Indicators'!$K$4</f>
        <v>5.8084192968430365E-6</v>
      </c>
      <c r="P148" s="4">
        <f>P143/'Unit Costs and Indicators'!$K$4</f>
        <v>5.8374613933272508E-6</v>
      </c>
      <c r="Q148" s="4">
        <f>Q143/'Unit Costs and Indicators'!$K$4</f>
        <v>5.8666487002938865E-6</v>
      </c>
      <c r="R148" s="4">
        <f>R143/'Unit Costs and Indicators'!$K$4</f>
        <v>5.8959819437953557E-6</v>
      </c>
      <c r="S148" s="4">
        <f>S143/'Unit Costs and Indicators'!$K$4</f>
        <v>5.9254618535143318E-6</v>
      </c>
      <c r="T148" s="4">
        <f>T143/'Unit Costs and Indicators'!$K$4</f>
        <v>5.9550891627819031E-6</v>
      </c>
      <c r="U148" s="4">
        <f>U143/'Unit Costs and Indicators'!$K$4</f>
        <v>5.9848646085958119E-6</v>
      </c>
      <c r="V148" s="4">
        <f>V143/'Unit Costs and Indicators'!$K$4</f>
        <v>6.0147889316387909E-6</v>
      </c>
      <c r="W148" s="4">
        <f>W143/'Unit Costs and Indicators'!$K$4</f>
        <v>6.0448628762969841E-6</v>
      </c>
      <c r="X148" s="4">
        <f>X143/'Unit Costs and Indicators'!$K$4</f>
        <v>6.0750871906784683E-6</v>
      </c>
      <c r="Y148" s="4">
        <f>Y143/'Unit Costs and Indicators'!$K$4</f>
        <v>6.1054626266318595E-6</v>
      </c>
      <c r="Z148" s="4">
        <f>Z143/'Unit Costs and Indicators'!$K$4</f>
        <v>6.1359899397650184E-6</v>
      </c>
      <c r="AA148" s="4">
        <f>AA143/'Unit Costs and Indicators'!$K$4</f>
        <v>6.166669889463843E-6</v>
      </c>
      <c r="AB148" s="4">
        <f>AB143/'Unit Costs and Indicators'!$K$4</f>
        <v>6.1975032389111614E-6</v>
      </c>
      <c r="AC148" s="4">
        <f>AC143/'Unit Costs and Indicators'!$K$4</f>
        <v>6.2284907551057167E-6</v>
      </c>
      <c r="AD148" s="4">
        <f>AD143/'Unit Costs and Indicators'!$K$4</f>
        <v>6.2596332088812441E-6</v>
      </c>
      <c r="AE148" s="4">
        <f>AE143/'Unit Costs and Indicators'!$K$4</f>
        <v>6.2909313749256502E-6</v>
      </c>
      <c r="AF148" s="4">
        <f>AF143/'Unit Costs and Indicators'!$K$4</f>
        <v>6.3223860318002781E-6</v>
      </c>
      <c r="AG148" s="4">
        <f>AG143/'Unit Costs and Indicators'!$K$4</f>
        <v>6.3539979619592786E-6</v>
      </c>
      <c r="AH148" s="4">
        <f>AH143/'Unit Costs and Indicators'!$K$4</f>
        <v>6.385767951769074E-6</v>
      </c>
      <c r="AI148" s="4">
        <f>AI143/'Unit Costs and Indicators'!$K$4</f>
        <v>6.385767951769074E-6</v>
      </c>
      <c r="AJ148" s="4">
        <f>AJ143/'Unit Costs and Indicators'!$K$4</f>
        <v>6.385767951769074E-6</v>
      </c>
      <c r="AK148" s="4">
        <f>AK143/'Unit Costs and Indicators'!$K$4</f>
        <v>6.385767951769074E-6</v>
      </c>
      <c r="AL148" s="4">
        <f>AL143/'Unit Costs and Indicators'!$K$4</f>
        <v>6.385767951769074E-6</v>
      </c>
      <c r="AM148" s="4">
        <f>AM143/'Unit Costs and Indicators'!$K$4</f>
        <v>6.385767951769074E-6</v>
      </c>
      <c r="AN148" s="4">
        <f>AN143/'Unit Costs and Indicators'!$K$4</f>
        <v>6.385767951769074E-6</v>
      </c>
      <c r="AO148" s="4">
        <f>AO143/'Unit Costs and Indicators'!$K$4</f>
        <v>6.385767951769074E-6</v>
      </c>
      <c r="AP148" s="4">
        <f>AP143/'Unit Costs and Indicators'!$K$4</f>
        <v>6.385767951769074E-6</v>
      </c>
      <c r="AQ148" s="4">
        <f>AQ143/'Unit Costs and Indicators'!$K$4</f>
        <v>6.385767951769074E-6</v>
      </c>
      <c r="AR148" s="4">
        <f>AR143/'Unit Costs and Indicators'!$K$4</f>
        <v>6.385767951769074E-6</v>
      </c>
      <c r="AS148" s="4">
        <f>AS143/'Unit Costs and Indicators'!$K$4</f>
        <v>6.385767951769074E-6</v>
      </c>
      <c r="AT148" s="4">
        <f>AT143/'Unit Costs and Indicators'!$K$4</f>
        <v>6.385767951769074E-6</v>
      </c>
      <c r="AU148" s="4">
        <f>AU143/'Unit Costs and Indicators'!$K$4</f>
        <v>6.385767951769074E-6</v>
      </c>
      <c r="AV148" s="4">
        <f>AV143/'Unit Costs and Indicators'!$K$4</f>
        <v>6.385767951769074E-6</v>
      </c>
      <c r="AW148" s="4">
        <f>AW143/'Unit Costs and Indicators'!$K$4</f>
        <v>6.385767951769074E-6</v>
      </c>
      <c r="AX148" s="4">
        <f>AX143/'Unit Costs and Indicators'!$K$4</f>
        <v>6.385767951769074E-6</v>
      </c>
      <c r="AY148" s="4">
        <f>AY143/'Unit Costs and Indicators'!$K$4</f>
        <v>6.385767951769074E-6</v>
      </c>
      <c r="AZ148" s="4">
        <f>AZ143/'Unit Costs and Indicators'!$K$4</f>
        <v>6.385767951769074E-6</v>
      </c>
      <c r="BA148" s="4">
        <f>BA143/'Unit Costs and Indicators'!$K$4</f>
        <v>6.385767951769074E-6</v>
      </c>
      <c r="BB148" s="4">
        <f>BB143/'Unit Costs and Indicators'!$K$4</f>
        <v>6.385767951769074E-6</v>
      </c>
      <c r="BC148" s="4">
        <f>BC143/'Unit Costs and Indicators'!$K$4</f>
        <v>6.385767951769074E-6</v>
      </c>
      <c r="BD148" s="4">
        <f>BD143/'Unit Costs and Indicators'!$K$4</f>
        <v>6.385767951769074E-6</v>
      </c>
      <c r="BE148" s="4">
        <f>BE143/'Unit Costs and Indicators'!$K$4</f>
        <v>6.385767951769074E-6</v>
      </c>
      <c r="BF148" s="4">
        <f>BF143/'Unit Costs and Indicators'!$K$4</f>
        <v>6.385767951769074E-6</v>
      </c>
      <c r="BG148" s="4">
        <f>BG143/'Unit Costs and Indicators'!$K$4</f>
        <v>6.385767951769074E-6</v>
      </c>
      <c r="BH148" s="4">
        <f>BH143/'Unit Costs and Indicators'!$K$4</f>
        <v>6.385767951769074E-6</v>
      </c>
      <c r="BI148" s="4">
        <f>BI143/'Unit Costs and Indicators'!$K$4</f>
        <v>6.385767951769074E-6</v>
      </c>
      <c r="BJ148" s="4">
        <f>BJ143/'Unit Costs and Indicators'!$K$4</f>
        <v>6.385767951769074E-6</v>
      </c>
      <c r="BK148" s="4">
        <f>BK143/'Unit Costs and Indicators'!$K$4</f>
        <v>6.385767951769074E-6</v>
      </c>
      <c r="BL148" s="4">
        <f>BL143/'Unit Costs and Indicators'!$K$4</f>
        <v>6.385767951769074E-6</v>
      </c>
      <c r="BM148" s="4">
        <f>BM143/'Unit Costs and Indicators'!$K$4</f>
        <v>6.385767951769074E-6</v>
      </c>
      <c r="BN148" s="4">
        <f>BN143/'Unit Costs and Indicators'!$K$4</f>
        <v>6.385767951769074E-6</v>
      </c>
      <c r="BO148" s="4">
        <f>BO143/'Unit Costs and Indicators'!$K$4</f>
        <v>6.385767951769074E-6</v>
      </c>
      <c r="BP148" s="4">
        <f>BP143/'Unit Costs and Indicators'!$K$4</f>
        <v>6.385767951769074E-6</v>
      </c>
      <c r="BQ148" s="4">
        <f>BQ143/'Unit Costs and Indicators'!$K$4</f>
        <v>6.385767951769074E-6</v>
      </c>
      <c r="BR148" s="4">
        <f>BR143/'Unit Costs and Indicators'!$K$4</f>
        <v>6.385767951769074E-6</v>
      </c>
      <c r="BS148" s="4">
        <f>BS143/'Unit Costs and Indicators'!$K$4</f>
        <v>6.385767951769074E-6</v>
      </c>
      <c r="BT148" s="4">
        <f>BT143/'Unit Costs and Indicators'!$K$4</f>
        <v>6.385767951769074E-6</v>
      </c>
      <c r="BU148" s="4">
        <f>BU143/'Unit Costs and Indicators'!$K$4</f>
        <v>6.385767951769074E-6</v>
      </c>
      <c r="BV148" s="4">
        <f>BV143/'Unit Costs and Indicators'!$K$4</f>
        <v>6.385767951769074E-6</v>
      </c>
      <c r="BW148" s="4">
        <f>BW143/'Unit Costs and Indicators'!$K$4</f>
        <v>6.385767951769074E-6</v>
      </c>
      <c r="BX148" s="4">
        <f>BX143/'Unit Costs and Indicators'!$K$4</f>
        <v>6.385767951769074E-6</v>
      </c>
      <c r="BY148" s="4">
        <f>BY143/'Unit Costs and Indicators'!$K$4</f>
        <v>6.385767951769074E-6</v>
      </c>
      <c r="BZ148" s="4">
        <f>BZ143/'Unit Costs and Indicators'!$K$4</f>
        <v>6.385767951769074E-6</v>
      </c>
      <c r="CA148" s="4">
        <f>CA143/'Unit Costs and Indicators'!$K$4</f>
        <v>6.385767951769074E-6</v>
      </c>
      <c r="CB148" s="4">
        <f>CB143/'Unit Costs and Indicators'!$K$4</f>
        <v>6.385767951769074E-6</v>
      </c>
      <c r="CC148" s="4">
        <f>CC143/'Unit Costs and Indicators'!$K$4</f>
        <v>6.385767951769074E-6</v>
      </c>
      <c r="CD148" s="4">
        <f>CD143/'Unit Costs and Indicators'!$K$4</f>
        <v>6.385767951769074E-6</v>
      </c>
      <c r="CE148" s="4">
        <f>CE143/'Unit Costs and Indicators'!$K$4</f>
        <v>6.385767951769074E-6</v>
      </c>
      <c r="CF148" s="4">
        <f>CF143/'Unit Costs and Indicators'!$K$4</f>
        <v>6.385767951769074E-6</v>
      </c>
      <c r="CG148" s="4">
        <f>CG143/'Unit Costs and Indicators'!$K$4</f>
        <v>6.385767951769074E-6</v>
      </c>
      <c r="CH148" s="4">
        <f>CH143/'Unit Costs and Indicators'!$K$4</f>
        <v>6.385767951769074E-6</v>
      </c>
      <c r="CI148" s="4">
        <f>CI143/'Unit Costs and Indicators'!$K$4</f>
        <v>6.385767951769074E-6</v>
      </c>
      <c r="CJ148" s="4">
        <f>CJ143/'Unit Costs and Indicators'!$K$4</f>
        <v>6.385767951769074E-6</v>
      </c>
      <c r="CK148" s="4">
        <f>CK143/'Unit Costs and Indicators'!$K$4</f>
        <v>6.385767951769074E-6</v>
      </c>
      <c r="CL148" s="4">
        <f>CL143/'Unit Costs and Indicators'!$K$4</f>
        <v>6.385767951769074E-6</v>
      </c>
      <c r="CM148" s="4">
        <f>CM143/'Unit Costs and Indicators'!$K$4</f>
        <v>6.385767951769074E-6</v>
      </c>
      <c r="CN148" s="4">
        <f>CN143/'Unit Costs and Indicators'!$K$4</f>
        <v>6.385767951769074E-6</v>
      </c>
      <c r="CO148" s="4">
        <f>CO143/'Unit Costs and Indicators'!$K$4</f>
        <v>6.385767951769074E-6</v>
      </c>
      <c r="CP148" s="4">
        <f>CP143/'Unit Costs and Indicators'!$K$4</f>
        <v>6.385767951769074E-6</v>
      </c>
      <c r="CQ148" s="4">
        <f>CQ143/'Unit Costs and Indicators'!$K$4</f>
        <v>6.385767951769074E-6</v>
      </c>
      <c r="CR148" s="4">
        <f>CR143/'Unit Costs and Indicators'!$K$4</f>
        <v>6.385767951769074E-6</v>
      </c>
      <c r="CS148" s="4">
        <f>CS143/'Unit Costs and Indicators'!$K$4</f>
        <v>6.385767951769074E-6</v>
      </c>
      <c r="CT148" s="4">
        <f>CT143/'Unit Costs and Indicators'!$K$4</f>
        <v>6.385767951769074E-6</v>
      </c>
      <c r="CU148" s="4">
        <f>CU143/'Unit Costs and Indicators'!$K$4</f>
        <v>6.385767951769074E-6</v>
      </c>
      <c r="CV148" s="4">
        <f>CV143/'Unit Costs and Indicators'!$K$4</f>
        <v>6.385767951769074E-6</v>
      </c>
      <c r="CW148" s="4">
        <f>CW143/'Unit Costs and Indicators'!$K$4</f>
        <v>6.385767951769074E-6</v>
      </c>
      <c r="CX148" s="4">
        <f>CX143/'Unit Costs and Indicators'!$K$4</f>
        <v>6.385767951769074E-6</v>
      </c>
      <c r="CY148" s="4">
        <f>CY143/'Unit Costs and Indicators'!$K$4</f>
        <v>6.385767951769074E-6</v>
      </c>
      <c r="CZ148" s="4">
        <f>CZ143/'Unit Costs and Indicators'!$K$4</f>
        <v>6.385767951769074E-6</v>
      </c>
      <c r="DA148" s="4">
        <f>DA143/'Unit Costs and Indicators'!$K$4</f>
        <v>6.385767951769074E-6</v>
      </c>
      <c r="DB148" s="4">
        <f>DB143/'Unit Costs and Indicators'!$K$4</f>
        <v>6.385767951769074E-6</v>
      </c>
      <c r="DC148" s="4">
        <f>DC143/'Unit Costs and Indicators'!$K$4</f>
        <v>6.385767951769074E-6</v>
      </c>
      <c r="DD148" s="4">
        <f>DD143/'Unit Costs and Indicators'!$K$4</f>
        <v>6.385767951769074E-6</v>
      </c>
      <c r="DE148" s="4">
        <f>DE143/'Unit Costs and Indicators'!$K$4</f>
        <v>6.385767951769074E-6</v>
      </c>
      <c r="DF148" s="3"/>
      <c r="DG148" s="3"/>
      <c r="DH148" s="3"/>
      <c r="DI148" s="3"/>
      <c r="DJ148" s="3"/>
      <c r="DK148" s="3"/>
      <c r="DL148" s="3"/>
    </row>
    <row r="149" spans="1:122" ht="15.75" customHeight="1" outlineLevel="1" x14ac:dyDescent="0.25">
      <c r="A149" s="751"/>
      <c r="B149" s="751"/>
      <c r="C149" s="321" t="s">
        <v>288</v>
      </c>
      <c r="D149" s="279" t="s">
        <v>289</v>
      </c>
      <c r="E149" s="280"/>
      <c r="F149" s="284"/>
      <c r="G149" s="290">
        <v>1.9</v>
      </c>
      <c r="H149" s="42">
        <f t="shared" ref="H149:AM149" si="440">H147*$G$60</f>
        <v>0.61176514194980103</v>
      </c>
      <c r="I149" s="4">
        <f t="shared" si="440"/>
        <v>0.61176514194980103</v>
      </c>
      <c r="J149" s="4">
        <f t="shared" si="440"/>
        <v>0.61176514194980103</v>
      </c>
      <c r="K149" s="4">
        <f t="shared" si="440"/>
        <v>0.61176514194980103</v>
      </c>
      <c r="L149" s="4">
        <f t="shared" si="440"/>
        <v>0.61176514194980103</v>
      </c>
      <c r="M149" s="4">
        <f t="shared" si="440"/>
        <v>0.61176514194980103</v>
      </c>
      <c r="N149" s="4">
        <f t="shared" si="440"/>
        <v>0.61176514194980103</v>
      </c>
      <c r="O149" s="4">
        <f t="shared" si="440"/>
        <v>0.61176514194980103</v>
      </c>
      <c r="P149" s="4">
        <f t="shared" si="440"/>
        <v>0.61176514194980103</v>
      </c>
      <c r="Q149" s="4">
        <f t="shared" si="440"/>
        <v>0.61176514194980103</v>
      </c>
      <c r="R149" s="4">
        <f t="shared" si="440"/>
        <v>0.61176514194980103</v>
      </c>
      <c r="S149" s="4">
        <f t="shared" si="440"/>
        <v>0.61176514194980103</v>
      </c>
      <c r="T149" s="4">
        <f t="shared" si="440"/>
        <v>0.61176514194980103</v>
      </c>
      <c r="U149" s="4">
        <f t="shared" si="440"/>
        <v>0.61176514194980103</v>
      </c>
      <c r="V149" s="4">
        <f t="shared" si="440"/>
        <v>0.61176514194980103</v>
      </c>
      <c r="W149" s="4">
        <f t="shared" si="440"/>
        <v>0.61176514194980103</v>
      </c>
      <c r="X149" s="4">
        <f t="shared" si="440"/>
        <v>0.61176514194980103</v>
      </c>
      <c r="Y149" s="4">
        <f t="shared" si="440"/>
        <v>0.61176514194980103</v>
      </c>
      <c r="Z149" s="4">
        <f t="shared" si="440"/>
        <v>0.61176514194980103</v>
      </c>
      <c r="AA149" s="4">
        <f t="shared" si="440"/>
        <v>0.61176514194980103</v>
      </c>
      <c r="AB149" s="4">
        <f t="shared" si="440"/>
        <v>0.61176514194980103</v>
      </c>
      <c r="AC149" s="4">
        <f t="shared" si="440"/>
        <v>0.61176514194980103</v>
      </c>
      <c r="AD149" s="4">
        <f t="shared" si="440"/>
        <v>0.61176514194980103</v>
      </c>
      <c r="AE149" s="4">
        <f t="shared" si="440"/>
        <v>0.61176514194980103</v>
      </c>
      <c r="AF149" s="4">
        <f t="shared" si="440"/>
        <v>0.61176514194980103</v>
      </c>
      <c r="AG149" s="4">
        <f t="shared" si="440"/>
        <v>0.61176514194980103</v>
      </c>
      <c r="AH149" s="4">
        <f t="shared" si="440"/>
        <v>0.61176514194980103</v>
      </c>
      <c r="AI149" s="4">
        <f t="shared" si="440"/>
        <v>0.61176514194980103</v>
      </c>
      <c r="AJ149" s="4">
        <f t="shared" si="440"/>
        <v>0.61176514194980103</v>
      </c>
      <c r="AK149" s="4">
        <f t="shared" si="440"/>
        <v>0.61176514194980103</v>
      </c>
      <c r="AL149" s="4">
        <f t="shared" si="440"/>
        <v>0.61176514194980103</v>
      </c>
      <c r="AM149" s="4">
        <f t="shared" si="440"/>
        <v>0.61176514194980103</v>
      </c>
      <c r="AN149" s="4">
        <f t="shared" ref="AN149:BS149" si="441">AN147*$G$60</f>
        <v>0.61176514194980103</v>
      </c>
      <c r="AO149" s="4">
        <f t="shared" si="441"/>
        <v>0.61176514194980103</v>
      </c>
      <c r="AP149" s="4">
        <f t="shared" si="441"/>
        <v>0.61176514194980103</v>
      </c>
      <c r="AQ149" s="4">
        <f t="shared" si="441"/>
        <v>0.61176514194980103</v>
      </c>
      <c r="AR149" s="4">
        <f t="shared" si="441"/>
        <v>0.61176514194980103</v>
      </c>
      <c r="AS149" s="4">
        <f t="shared" si="441"/>
        <v>0.61176514194980103</v>
      </c>
      <c r="AT149" s="4">
        <f t="shared" si="441"/>
        <v>0.61176514194980103</v>
      </c>
      <c r="AU149" s="4">
        <f t="shared" si="441"/>
        <v>0.61176514194980103</v>
      </c>
      <c r="AV149" s="4">
        <f t="shared" si="441"/>
        <v>0.61176514194980103</v>
      </c>
      <c r="AW149" s="4">
        <f t="shared" si="441"/>
        <v>0.61176514194980103</v>
      </c>
      <c r="AX149" s="4">
        <f t="shared" si="441"/>
        <v>0.61176514194980103</v>
      </c>
      <c r="AY149" s="4">
        <f t="shared" si="441"/>
        <v>0.61176514194980103</v>
      </c>
      <c r="AZ149" s="4">
        <f t="shared" si="441"/>
        <v>0.61176514194980103</v>
      </c>
      <c r="BA149" s="4">
        <f t="shared" si="441"/>
        <v>0.61176514194980103</v>
      </c>
      <c r="BB149" s="4">
        <f t="shared" si="441"/>
        <v>0.61176514194980103</v>
      </c>
      <c r="BC149" s="4">
        <f t="shared" si="441"/>
        <v>0.61176514194980103</v>
      </c>
      <c r="BD149" s="4">
        <f t="shared" si="441"/>
        <v>0.61176514194980103</v>
      </c>
      <c r="BE149" s="4">
        <f t="shared" si="441"/>
        <v>0.61176514194980103</v>
      </c>
      <c r="BF149" s="4">
        <f t="shared" si="441"/>
        <v>0.61176514194980103</v>
      </c>
      <c r="BG149" s="4">
        <f t="shared" si="441"/>
        <v>0.61176514194980103</v>
      </c>
      <c r="BH149" s="4">
        <f t="shared" si="441"/>
        <v>0.61176514194980103</v>
      </c>
      <c r="BI149" s="4">
        <f t="shared" si="441"/>
        <v>0.61176514194980103</v>
      </c>
      <c r="BJ149" s="4">
        <f t="shared" si="441"/>
        <v>0.61176514194980103</v>
      </c>
      <c r="BK149" s="4">
        <f t="shared" si="441"/>
        <v>0.61176514194980103</v>
      </c>
      <c r="BL149" s="4">
        <f t="shared" si="441"/>
        <v>0.61176514194980103</v>
      </c>
      <c r="BM149" s="4">
        <f t="shared" si="441"/>
        <v>0.61176514194980103</v>
      </c>
      <c r="BN149" s="4">
        <f t="shared" si="441"/>
        <v>0.61176514194980103</v>
      </c>
      <c r="BO149" s="4">
        <f t="shared" si="441"/>
        <v>0.61176514194980103</v>
      </c>
      <c r="BP149" s="4">
        <f t="shared" si="441"/>
        <v>0.61176514194980103</v>
      </c>
      <c r="BQ149" s="4">
        <f t="shared" si="441"/>
        <v>0.61176514194980103</v>
      </c>
      <c r="BR149" s="4">
        <f t="shared" si="441"/>
        <v>0.61176514194980103</v>
      </c>
      <c r="BS149" s="4">
        <f t="shared" si="441"/>
        <v>0.61176514194980103</v>
      </c>
      <c r="BT149" s="4">
        <f t="shared" ref="BT149:CY149" si="442">BT147*$G$60</f>
        <v>0.61176514194980103</v>
      </c>
      <c r="BU149" s="4">
        <f t="shared" si="442"/>
        <v>0.61176514194980103</v>
      </c>
      <c r="BV149" s="4">
        <f t="shared" si="442"/>
        <v>0.61176514194980103</v>
      </c>
      <c r="BW149" s="4">
        <f t="shared" si="442"/>
        <v>0.61176514194980103</v>
      </c>
      <c r="BX149" s="4">
        <f t="shared" si="442"/>
        <v>0.61176514194980103</v>
      </c>
      <c r="BY149" s="4">
        <f t="shared" si="442"/>
        <v>0.61176514194980103</v>
      </c>
      <c r="BZ149" s="4">
        <f t="shared" si="442"/>
        <v>0.61176514194980103</v>
      </c>
      <c r="CA149" s="4">
        <f t="shared" si="442"/>
        <v>0.61176514194980103</v>
      </c>
      <c r="CB149" s="4">
        <f t="shared" si="442"/>
        <v>0.61176514194980103</v>
      </c>
      <c r="CC149" s="4">
        <f t="shared" si="442"/>
        <v>0.61176514194980103</v>
      </c>
      <c r="CD149" s="4">
        <f t="shared" si="442"/>
        <v>0.61176514194980103</v>
      </c>
      <c r="CE149" s="4">
        <f t="shared" si="442"/>
        <v>0.61176514194980103</v>
      </c>
      <c r="CF149" s="4">
        <f t="shared" si="442"/>
        <v>0.61176514194980103</v>
      </c>
      <c r="CG149" s="4">
        <f t="shared" si="442"/>
        <v>0.61176514194980103</v>
      </c>
      <c r="CH149" s="4">
        <f t="shared" si="442"/>
        <v>0.61176514194980103</v>
      </c>
      <c r="CI149" s="4">
        <f t="shared" si="442"/>
        <v>0.61176514194980103</v>
      </c>
      <c r="CJ149" s="4">
        <f t="shared" si="442"/>
        <v>0.61176514194980103</v>
      </c>
      <c r="CK149" s="4">
        <f t="shared" si="442"/>
        <v>0.61176514194980103</v>
      </c>
      <c r="CL149" s="4">
        <f t="shared" si="442"/>
        <v>0.61176514194980103</v>
      </c>
      <c r="CM149" s="4">
        <f t="shared" si="442"/>
        <v>0.61176514194980103</v>
      </c>
      <c r="CN149" s="4">
        <f t="shared" si="442"/>
        <v>0.61176514194980103</v>
      </c>
      <c r="CO149" s="4">
        <f t="shared" si="442"/>
        <v>0.61176514194980103</v>
      </c>
      <c r="CP149" s="4">
        <f t="shared" si="442"/>
        <v>0.61176514194980103</v>
      </c>
      <c r="CQ149" s="4">
        <f t="shared" si="442"/>
        <v>0.61176514194980103</v>
      </c>
      <c r="CR149" s="4">
        <f t="shared" si="442"/>
        <v>0.61176514194980103</v>
      </c>
      <c r="CS149" s="4">
        <f t="shared" si="442"/>
        <v>0.61176514194980103</v>
      </c>
      <c r="CT149" s="4">
        <f t="shared" si="442"/>
        <v>0.61176514194980103</v>
      </c>
      <c r="CU149" s="4">
        <f t="shared" si="442"/>
        <v>0.61176514194980103</v>
      </c>
      <c r="CV149" s="4">
        <f t="shared" si="442"/>
        <v>0.61176514194980103</v>
      </c>
      <c r="CW149" s="4">
        <f t="shared" si="442"/>
        <v>0.61176514194980103</v>
      </c>
      <c r="CX149" s="4">
        <f t="shared" si="442"/>
        <v>0.61176514194980103</v>
      </c>
      <c r="CY149" s="4">
        <f t="shared" si="442"/>
        <v>0.61176514194980103</v>
      </c>
      <c r="CZ149" s="4">
        <f t="shared" ref="CZ149:DE149" si="443">CZ147*$G$60</f>
        <v>0.61176514194980103</v>
      </c>
      <c r="DA149" s="4">
        <f t="shared" si="443"/>
        <v>0.61176514194980103</v>
      </c>
      <c r="DB149" s="4">
        <f t="shared" si="443"/>
        <v>0.61176514194980103</v>
      </c>
      <c r="DC149" s="4">
        <f t="shared" si="443"/>
        <v>0.61176514194980103</v>
      </c>
      <c r="DD149" s="4">
        <f t="shared" si="443"/>
        <v>0.61176514194980103</v>
      </c>
      <c r="DE149" s="4">
        <f t="shared" si="443"/>
        <v>0.61176514194980103</v>
      </c>
      <c r="DF149" s="3"/>
      <c r="DG149" s="3"/>
      <c r="DH149" s="3"/>
      <c r="DI149" s="3"/>
      <c r="DJ149" s="3"/>
      <c r="DK149" s="3"/>
      <c r="DL149" s="3"/>
    </row>
    <row r="150" spans="1:122" ht="15.75" customHeight="1" outlineLevel="1" x14ac:dyDescent="0.25">
      <c r="A150" s="751"/>
      <c r="B150" s="751"/>
      <c r="C150" s="321" t="s">
        <v>290</v>
      </c>
      <c r="D150" s="279"/>
      <c r="E150" s="299" t="s">
        <v>291</v>
      </c>
      <c r="F150" s="279"/>
      <c r="G150" s="279" t="s">
        <v>292</v>
      </c>
      <c r="H150" s="313">
        <f>(H146*'Unit Costs and Indicators'!$A$131)</f>
        <v>808672.61685517232</v>
      </c>
      <c r="I150" s="296">
        <f>(I146*'Unit Costs and Indicators'!$A$131)</f>
        <v>808672.61685517232</v>
      </c>
      <c r="J150" s="296">
        <f>(J146*'Unit Costs and Indicators'!$A$131)</f>
        <v>808672.61685517232</v>
      </c>
      <c r="K150" s="296">
        <f>(K146*'Unit Costs and Indicators'!$A$131)</f>
        <v>808672.61685517232</v>
      </c>
      <c r="L150" s="296">
        <f>(L146*'Unit Costs and Indicators'!$A$131)</f>
        <v>808672.61685517232</v>
      </c>
      <c r="M150" s="296">
        <f>(M146*'Unit Costs and Indicators'!$A$131)</f>
        <v>808672.61685517232</v>
      </c>
      <c r="N150" s="296">
        <f>(N146*'Unit Costs and Indicators'!$A$131)</f>
        <v>808672.61685517232</v>
      </c>
      <c r="O150" s="296">
        <f>(O146*'Unit Costs and Indicators'!$A$131)</f>
        <v>808672.61685517232</v>
      </c>
      <c r="P150" s="296">
        <f>(P146*'Unit Costs and Indicators'!$A$131)</f>
        <v>808672.61685517232</v>
      </c>
      <c r="Q150" s="296">
        <f>(Q146*'Unit Costs and Indicators'!$A$131)</f>
        <v>808672.61685517232</v>
      </c>
      <c r="R150" s="296">
        <f>(R146*'Unit Costs and Indicators'!$A$131)</f>
        <v>808672.61685517232</v>
      </c>
      <c r="S150" s="296">
        <f>(S146*'Unit Costs and Indicators'!$A$131)</f>
        <v>808672.61685517232</v>
      </c>
      <c r="T150" s="296">
        <f>(T146*'Unit Costs and Indicators'!$A$131)</f>
        <v>808672.61685517232</v>
      </c>
      <c r="U150" s="296">
        <f>(U146*'Unit Costs and Indicators'!$A$131)</f>
        <v>808672.61685517232</v>
      </c>
      <c r="V150" s="296">
        <f>(V146*'Unit Costs and Indicators'!$A$131)</f>
        <v>808672.61685517232</v>
      </c>
      <c r="W150" s="296">
        <f>(W146*'Unit Costs and Indicators'!$A$131)</f>
        <v>808672.61685517232</v>
      </c>
      <c r="X150" s="296">
        <f>(X146*'Unit Costs and Indicators'!$A$131)</f>
        <v>808672.61685517232</v>
      </c>
      <c r="Y150" s="296">
        <f>(Y146*'Unit Costs and Indicators'!$A$131)</f>
        <v>808672.61685517232</v>
      </c>
      <c r="Z150" s="296">
        <f>(Z146*'Unit Costs and Indicators'!$A$131)</f>
        <v>808672.61685517232</v>
      </c>
      <c r="AA150" s="296">
        <f>(AA146*'Unit Costs and Indicators'!$A$131)</f>
        <v>808672.61685517232</v>
      </c>
      <c r="AB150" s="296">
        <f>(AB146*'Unit Costs and Indicators'!$A$131)</f>
        <v>808672.61685517232</v>
      </c>
      <c r="AC150" s="296">
        <f>(AC146*'Unit Costs and Indicators'!$A$131)</f>
        <v>808672.61685517232</v>
      </c>
      <c r="AD150" s="296">
        <f>(AD146*'Unit Costs and Indicators'!$A$131)</f>
        <v>808672.61685517232</v>
      </c>
      <c r="AE150" s="296">
        <f>(AE146*'Unit Costs and Indicators'!$A$131)</f>
        <v>808672.61685517232</v>
      </c>
      <c r="AF150" s="296">
        <f>(AF146*'Unit Costs and Indicators'!$A$131)</f>
        <v>808672.61685517232</v>
      </c>
      <c r="AG150" s="296">
        <f>(AG146*'Unit Costs and Indicators'!$A$131)</f>
        <v>808672.61685517232</v>
      </c>
      <c r="AH150" s="296">
        <f>(AH146*'Unit Costs and Indicators'!$A$131)</f>
        <v>808672.61685517232</v>
      </c>
      <c r="AI150" s="296">
        <f>(AI146*'Unit Costs and Indicators'!$A$131)</f>
        <v>808672.61685517232</v>
      </c>
      <c r="AJ150" s="296">
        <f>(AJ146*'Unit Costs and Indicators'!$A$131)</f>
        <v>808672.61685517232</v>
      </c>
      <c r="AK150" s="296">
        <f>(AK146*'Unit Costs and Indicators'!$A$131)</f>
        <v>808672.61685517232</v>
      </c>
      <c r="AL150" s="296">
        <f>(AL146*'Unit Costs and Indicators'!$A$131)</f>
        <v>808672.61685517232</v>
      </c>
      <c r="AM150" s="296">
        <f>(AM146*'Unit Costs and Indicators'!$A$131)</f>
        <v>808672.61685517232</v>
      </c>
      <c r="AN150" s="296">
        <f>(AN146*'Unit Costs and Indicators'!$A$131)</f>
        <v>808672.61685517232</v>
      </c>
      <c r="AO150" s="296">
        <f>(AO146*'Unit Costs and Indicators'!$A$131)</f>
        <v>808672.61685517232</v>
      </c>
      <c r="AP150" s="296">
        <f>(AP146*'Unit Costs and Indicators'!$A$131)</f>
        <v>808672.61685517232</v>
      </c>
      <c r="AQ150" s="296">
        <f>(AQ146*'Unit Costs and Indicators'!$A$131)</f>
        <v>808672.61685517232</v>
      </c>
      <c r="AR150" s="296">
        <f>(AR146*'Unit Costs and Indicators'!$A$131)</f>
        <v>808672.61685517232</v>
      </c>
      <c r="AS150" s="296">
        <f>(AS146*'Unit Costs and Indicators'!$A$131)</f>
        <v>808672.61685517232</v>
      </c>
      <c r="AT150" s="296">
        <f>(AT146*'Unit Costs and Indicators'!$A$131)</f>
        <v>808672.61685517232</v>
      </c>
      <c r="AU150" s="296">
        <f>(AU146*'Unit Costs and Indicators'!$A$131)</f>
        <v>808672.61685517232</v>
      </c>
      <c r="AV150" s="296">
        <f>(AV146*'Unit Costs and Indicators'!$A$131)</f>
        <v>808672.61685517232</v>
      </c>
      <c r="AW150" s="296">
        <f>(AW146*'Unit Costs and Indicators'!$A$131)</f>
        <v>808672.61685517232</v>
      </c>
      <c r="AX150" s="296">
        <f>(AX146*'Unit Costs and Indicators'!$A$131)</f>
        <v>808672.61685517232</v>
      </c>
      <c r="AY150" s="296">
        <f>(AY146*'Unit Costs and Indicators'!$A$131)</f>
        <v>808672.61685517232</v>
      </c>
      <c r="AZ150" s="296">
        <f>(AZ146*'Unit Costs and Indicators'!$A$131)</f>
        <v>808672.61685517232</v>
      </c>
      <c r="BA150" s="296">
        <f>(BA146*'Unit Costs and Indicators'!$A$131)</f>
        <v>808672.61685517232</v>
      </c>
      <c r="BB150" s="296">
        <f>(BB146*'Unit Costs and Indicators'!$A$131)</f>
        <v>808672.61685517232</v>
      </c>
      <c r="BC150" s="296">
        <f>(BC146*'Unit Costs and Indicators'!$A$131)</f>
        <v>808672.61685517232</v>
      </c>
      <c r="BD150" s="296">
        <f>(BD146*'Unit Costs and Indicators'!$A$131)</f>
        <v>808672.61685517232</v>
      </c>
      <c r="BE150" s="296">
        <f>(BE146*'Unit Costs and Indicators'!$A$131)</f>
        <v>808672.61685517232</v>
      </c>
      <c r="BF150" s="296">
        <f>(BF146*'Unit Costs and Indicators'!$A$131)</f>
        <v>808672.61685517232</v>
      </c>
      <c r="BG150" s="296">
        <f>(BG146*'Unit Costs and Indicators'!$A$131)</f>
        <v>808672.61685517232</v>
      </c>
      <c r="BH150" s="296">
        <f>(BH146*'Unit Costs and Indicators'!$A$131)</f>
        <v>808672.61685517232</v>
      </c>
      <c r="BI150" s="296">
        <f>(BI146*'Unit Costs and Indicators'!$A$131)</f>
        <v>808672.61685517232</v>
      </c>
      <c r="BJ150" s="296">
        <f>(BJ146*'Unit Costs and Indicators'!$A$131)</f>
        <v>808672.61685517232</v>
      </c>
      <c r="BK150" s="296">
        <f>(BK146*'Unit Costs and Indicators'!$A$131)</f>
        <v>808672.61685517232</v>
      </c>
      <c r="BL150" s="296">
        <f>(BL146*'Unit Costs and Indicators'!$A$131)</f>
        <v>808672.61685517232</v>
      </c>
      <c r="BM150" s="296">
        <f>(BM146*'Unit Costs and Indicators'!$A$131)</f>
        <v>808672.61685517232</v>
      </c>
      <c r="BN150" s="296">
        <f>(BN146*'Unit Costs and Indicators'!$A$131)</f>
        <v>808672.61685517232</v>
      </c>
      <c r="BO150" s="296">
        <f>(BO146*'Unit Costs and Indicators'!$A$131)</f>
        <v>808672.61685517232</v>
      </c>
      <c r="BP150" s="296">
        <f>(BP146*'Unit Costs and Indicators'!$A$131)</f>
        <v>808672.61685517232</v>
      </c>
      <c r="BQ150" s="296">
        <f>(BQ146*'Unit Costs and Indicators'!$A$131)</f>
        <v>808672.61685517232</v>
      </c>
      <c r="BR150" s="296">
        <f>(BR146*'Unit Costs and Indicators'!$A$131)</f>
        <v>808672.61685517232</v>
      </c>
      <c r="BS150" s="296">
        <f>(BS146*'Unit Costs and Indicators'!$A$131)</f>
        <v>808672.61685517232</v>
      </c>
      <c r="BT150" s="296">
        <f>(BT146*'Unit Costs and Indicators'!$A$131)</f>
        <v>808672.61685517232</v>
      </c>
      <c r="BU150" s="296">
        <f>(BU146*'Unit Costs and Indicators'!$A$131)</f>
        <v>808672.61685517232</v>
      </c>
      <c r="BV150" s="296">
        <f>(BV146*'Unit Costs and Indicators'!$A$131)</f>
        <v>808672.61685517232</v>
      </c>
      <c r="BW150" s="296">
        <f>(BW146*'Unit Costs and Indicators'!$A$131)</f>
        <v>808672.61685517232</v>
      </c>
      <c r="BX150" s="296">
        <f>(BX146*'Unit Costs and Indicators'!$A$131)</f>
        <v>808672.61685517232</v>
      </c>
      <c r="BY150" s="296">
        <f>(BY146*'Unit Costs and Indicators'!$A$131)</f>
        <v>808672.61685517232</v>
      </c>
      <c r="BZ150" s="296">
        <f>(BZ146*'Unit Costs and Indicators'!$A$131)</f>
        <v>808672.61685517232</v>
      </c>
      <c r="CA150" s="296">
        <f>(CA146*'Unit Costs and Indicators'!$A$131)</f>
        <v>808672.61685517232</v>
      </c>
      <c r="CB150" s="296">
        <f>(CB146*'Unit Costs and Indicators'!$A$131)</f>
        <v>808672.61685517232</v>
      </c>
      <c r="CC150" s="296">
        <f>(CC146*'Unit Costs and Indicators'!$A$131)</f>
        <v>808672.61685517232</v>
      </c>
      <c r="CD150" s="296">
        <f>(CD146*'Unit Costs and Indicators'!$A$131)</f>
        <v>808672.61685517232</v>
      </c>
      <c r="CE150" s="296">
        <f>(CE146*'Unit Costs and Indicators'!$A$131)</f>
        <v>808672.61685517232</v>
      </c>
      <c r="CF150" s="296">
        <f>(CF146*'Unit Costs and Indicators'!$A$131)</f>
        <v>808672.61685517232</v>
      </c>
      <c r="CG150" s="296">
        <f>(CG146*'Unit Costs and Indicators'!$A$131)</f>
        <v>808672.61685517232</v>
      </c>
      <c r="CH150" s="296">
        <f>(CH146*'Unit Costs and Indicators'!$A$131)</f>
        <v>808672.61685517232</v>
      </c>
      <c r="CI150" s="296">
        <f>(CI146*'Unit Costs and Indicators'!$A$131)</f>
        <v>808672.61685517232</v>
      </c>
      <c r="CJ150" s="296">
        <f>(CJ146*'Unit Costs and Indicators'!$A$131)</f>
        <v>808672.61685517232</v>
      </c>
      <c r="CK150" s="296">
        <f>(CK146*'Unit Costs and Indicators'!$A$131)</f>
        <v>808672.61685517232</v>
      </c>
      <c r="CL150" s="296">
        <f>(CL146*'Unit Costs and Indicators'!$A$131)</f>
        <v>808672.61685517232</v>
      </c>
      <c r="CM150" s="296">
        <f>(CM146*'Unit Costs and Indicators'!$A$131)</f>
        <v>808672.61685517232</v>
      </c>
      <c r="CN150" s="296">
        <f>(CN146*'Unit Costs and Indicators'!$A$131)</f>
        <v>808672.61685517232</v>
      </c>
      <c r="CO150" s="296">
        <f>(CO146*'Unit Costs and Indicators'!$A$131)</f>
        <v>808672.61685517232</v>
      </c>
      <c r="CP150" s="296">
        <f>(CP146*'Unit Costs and Indicators'!$A$131)</f>
        <v>808672.61685517232</v>
      </c>
      <c r="CQ150" s="296">
        <f>(CQ146*'Unit Costs and Indicators'!$A$131)</f>
        <v>808672.61685517232</v>
      </c>
      <c r="CR150" s="296">
        <f>(CR146*'Unit Costs and Indicators'!$A$131)</f>
        <v>808672.61685517232</v>
      </c>
      <c r="CS150" s="296">
        <f>(CS146*'Unit Costs and Indicators'!$A$131)</f>
        <v>808672.61685517232</v>
      </c>
      <c r="CT150" s="296">
        <f>(CT146*'Unit Costs and Indicators'!$A$131)</f>
        <v>808672.61685517232</v>
      </c>
      <c r="CU150" s="296">
        <f>(CU146*'Unit Costs and Indicators'!$A$131)</f>
        <v>808672.61685517232</v>
      </c>
      <c r="CV150" s="296">
        <f>(CV146*'Unit Costs and Indicators'!$A$131)</f>
        <v>808672.61685517232</v>
      </c>
      <c r="CW150" s="296">
        <f>(CW146*'Unit Costs and Indicators'!$A$131)</f>
        <v>808672.61685517232</v>
      </c>
      <c r="CX150" s="296">
        <f>(CX146*'Unit Costs and Indicators'!$A$131)</f>
        <v>808672.61685517232</v>
      </c>
      <c r="CY150" s="296">
        <f>(CY146*'Unit Costs and Indicators'!$A$131)</f>
        <v>808672.61685517232</v>
      </c>
      <c r="CZ150" s="296">
        <f>(CZ146*'Unit Costs and Indicators'!$A$131)</f>
        <v>808672.61685517232</v>
      </c>
      <c r="DA150" s="296">
        <f>(DA146*'Unit Costs and Indicators'!$A$131)</f>
        <v>808672.61685517232</v>
      </c>
      <c r="DB150" s="296">
        <f>(DB146*'Unit Costs and Indicators'!$A$131)</f>
        <v>808672.61685517232</v>
      </c>
      <c r="DC150" s="296">
        <f>(DC146*'Unit Costs and Indicators'!$A$131)</f>
        <v>808672.61685517232</v>
      </c>
      <c r="DD150" s="296">
        <f>(DD146*'Unit Costs and Indicators'!$A$131)</f>
        <v>808672.61685517232</v>
      </c>
      <c r="DE150" s="296">
        <f>(DE146*'Unit Costs and Indicators'!$A$131)</f>
        <v>808672.61685517232</v>
      </c>
      <c r="DF150" s="296"/>
      <c r="DG150" s="296"/>
      <c r="DH150" s="296"/>
      <c r="DI150" s="296"/>
      <c r="DJ150" s="296"/>
      <c r="DK150" s="296"/>
      <c r="DL150" s="296"/>
    </row>
    <row r="151" spans="1:122" ht="15.75" customHeight="1" outlineLevel="1" x14ac:dyDescent="0.25">
      <c r="A151" s="751"/>
      <c r="B151" s="751"/>
      <c r="C151" s="347" t="s">
        <v>293</v>
      </c>
      <c r="D151" s="348"/>
      <c r="E151" s="390"/>
      <c r="F151" s="348"/>
      <c r="G151" s="348"/>
      <c r="H151" s="335">
        <f>H150*'Unit Costs and Indicators'!$D$19</f>
        <v>38.289423146551719</v>
      </c>
      <c r="I151" s="336">
        <f>I150*'Unit Costs and Indicators'!$D$19</f>
        <v>38.289423146551719</v>
      </c>
      <c r="J151" s="336">
        <f>J150*'Unit Costs and Indicators'!$D$19</f>
        <v>38.289423146551719</v>
      </c>
      <c r="K151" s="336">
        <f>K150*'Unit Costs and Indicators'!$D$19</f>
        <v>38.289423146551719</v>
      </c>
      <c r="L151" s="336">
        <f>L150*'Unit Costs and Indicators'!$D$19</f>
        <v>38.289423146551719</v>
      </c>
      <c r="M151" s="336">
        <f>M150*'Unit Costs and Indicators'!$D$19</f>
        <v>38.289423146551719</v>
      </c>
      <c r="N151" s="336">
        <f>N150*'Unit Costs and Indicators'!$D$19</f>
        <v>38.289423146551719</v>
      </c>
      <c r="O151" s="336">
        <f>O150*'Unit Costs and Indicators'!$D$19</f>
        <v>38.289423146551719</v>
      </c>
      <c r="P151" s="336">
        <f>P150*'Unit Costs and Indicators'!$D$19</f>
        <v>38.289423146551719</v>
      </c>
      <c r="Q151" s="336">
        <f>Q150*'Unit Costs and Indicators'!$D$19</f>
        <v>38.289423146551719</v>
      </c>
      <c r="R151" s="336">
        <f>R150*'Unit Costs and Indicators'!$D$19</f>
        <v>38.289423146551719</v>
      </c>
      <c r="S151" s="336">
        <f>S150*'Unit Costs and Indicators'!$D$19</f>
        <v>38.289423146551719</v>
      </c>
      <c r="T151" s="336">
        <f>T150*'Unit Costs and Indicators'!$D$19</f>
        <v>38.289423146551719</v>
      </c>
      <c r="U151" s="336">
        <f>U150*'Unit Costs and Indicators'!$D$19</f>
        <v>38.289423146551719</v>
      </c>
      <c r="V151" s="336">
        <f>V150*'Unit Costs and Indicators'!$D$19</f>
        <v>38.289423146551719</v>
      </c>
      <c r="W151" s="336">
        <f>W150*'Unit Costs and Indicators'!$D$19</f>
        <v>38.289423146551719</v>
      </c>
      <c r="X151" s="336">
        <f>X150*'Unit Costs and Indicators'!$D$19</f>
        <v>38.289423146551719</v>
      </c>
      <c r="Y151" s="336">
        <f>Y150*'Unit Costs and Indicators'!$D$19</f>
        <v>38.289423146551719</v>
      </c>
      <c r="Z151" s="336">
        <f>Z150*'Unit Costs and Indicators'!$D$19</f>
        <v>38.289423146551719</v>
      </c>
      <c r="AA151" s="336">
        <f>AA150*'Unit Costs and Indicators'!$D$19</f>
        <v>38.289423146551719</v>
      </c>
      <c r="AB151" s="336">
        <f>AB150*'Unit Costs and Indicators'!$D$19</f>
        <v>38.289423146551719</v>
      </c>
      <c r="AC151" s="336">
        <f>AC150*'Unit Costs and Indicators'!$D$19</f>
        <v>38.289423146551719</v>
      </c>
      <c r="AD151" s="336">
        <f>AD150*'Unit Costs and Indicators'!$D$19</f>
        <v>38.289423146551719</v>
      </c>
      <c r="AE151" s="336">
        <f>AE150*'Unit Costs and Indicators'!$D$19</f>
        <v>38.289423146551719</v>
      </c>
      <c r="AF151" s="336">
        <f>AF150*'Unit Costs and Indicators'!$D$19</f>
        <v>38.289423146551719</v>
      </c>
      <c r="AG151" s="336">
        <f>AG150*'Unit Costs and Indicators'!$D$19</f>
        <v>38.289423146551719</v>
      </c>
      <c r="AH151" s="336">
        <f>AH150*'Unit Costs and Indicators'!$D$19</f>
        <v>38.289423146551719</v>
      </c>
      <c r="AI151" s="336">
        <f>AI150*'Unit Costs and Indicators'!$D$19</f>
        <v>38.289423146551719</v>
      </c>
      <c r="AJ151" s="336">
        <f>AJ150*'Unit Costs and Indicators'!$D$19</f>
        <v>38.289423146551719</v>
      </c>
      <c r="AK151" s="336">
        <f>AK150*'Unit Costs and Indicators'!$D$19</f>
        <v>38.289423146551719</v>
      </c>
      <c r="AL151" s="336">
        <f>AL150*'Unit Costs and Indicators'!$D$19</f>
        <v>38.289423146551719</v>
      </c>
      <c r="AM151" s="336">
        <f>AM150*'Unit Costs and Indicators'!$D$19</f>
        <v>38.289423146551719</v>
      </c>
      <c r="AN151" s="336">
        <f>AN150*'Unit Costs and Indicators'!$D$19</f>
        <v>38.289423146551719</v>
      </c>
      <c r="AO151" s="336">
        <f>AO150*'Unit Costs and Indicators'!$D$19</f>
        <v>38.289423146551719</v>
      </c>
      <c r="AP151" s="336">
        <f>AP150*'Unit Costs and Indicators'!$D$19</f>
        <v>38.289423146551719</v>
      </c>
      <c r="AQ151" s="336">
        <f>AQ150*'Unit Costs and Indicators'!$D$19</f>
        <v>38.289423146551719</v>
      </c>
      <c r="AR151" s="336">
        <f>AR150*'Unit Costs and Indicators'!$D$19</f>
        <v>38.289423146551719</v>
      </c>
      <c r="AS151" s="336">
        <f>AS150*'Unit Costs and Indicators'!$D$19</f>
        <v>38.289423146551719</v>
      </c>
      <c r="AT151" s="336">
        <f>AT150*'Unit Costs and Indicators'!$D$19</f>
        <v>38.289423146551719</v>
      </c>
      <c r="AU151" s="336">
        <f>AU150*'Unit Costs and Indicators'!$D$19</f>
        <v>38.289423146551719</v>
      </c>
      <c r="AV151" s="336">
        <f>AV150*'Unit Costs and Indicators'!$D$19</f>
        <v>38.289423146551719</v>
      </c>
      <c r="AW151" s="336">
        <f>AW150*'Unit Costs and Indicators'!$D$19</f>
        <v>38.289423146551719</v>
      </c>
      <c r="AX151" s="336">
        <f>AX150*'Unit Costs and Indicators'!$D$19</f>
        <v>38.289423146551719</v>
      </c>
      <c r="AY151" s="336">
        <f>AY150*'Unit Costs and Indicators'!$D$19</f>
        <v>38.289423146551719</v>
      </c>
      <c r="AZ151" s="336">
        <f>AZ150*'Unit Costs and Indicators'!$D$19</f>
        <v>38.289423146551719</v>
      </c>
      <c r="BA151" s="336">
        <f>BA150*'Unit Costs and Indicators'!$D$19</f>
        <v>38.289423146551719</v>
      </c>
      <c r="BB151" s="336">
        <f>BB150*'Unit Costs and Indicators'!$D$19</f>
        <v>38.289423146551719</v>
      </c>
      <c r="BC151" s="336">
        <f>BC150*'Unit Costs and Indicators'!$D$19</f>
        <v>38.289423146551719</v>
      </c>
      <c r="BD151" s="336">
        <f>BD150*'Unit Costs and Indicators'!$D$19</f>
        <v>38.289423146551719</v>
      </c>
      <c r="BE151" s="336">
        <f>BE150*'Unit Costs and Indicators'!$D$19</f>
        <v>38.289423146551719</v>
      </c>
      <c r="BF151" s="336">
        <f>BF150*'Unit Costs and Indicators'!$D$19</f>
        <v>38.289423146551719</v>
      </c>
      <c r="BG151" s="336">
        <f>BG150*'Unit Costs and Indicators'!$D$19</f>
        <v>38.289423146551719</v>
      </c>
      <c r="BH151" s="336">
        <f>BH150*'Unit Costs and Indicators'!$D$19</f>
        <v>38.289423146551719</v>
      </c>
      <c r="BI151" s="336">
        <f>BI150*'Unit Costs and Indicators'!$D$19</f>
        <v>38.289423146551719</v>
      </c>
      <c r="BJ151" s="336">
        <f>BJ150*'Unit Costs and Indicators'!$D$19</f>
        <v>38.289423146551719</v>
      </c>
      <c r="BK151" s="336">
        <f>BK150*'Unit Costs and Indicators'!$D$19</f>
        <v>38.289423146551719</v>
      </c>
      <c r="BL151" s="336">
        <f>BL150*'Unit Costs and Indicators'!$D$19</f>
        <v>38.289423146551719</v>
      </c>
      <c r="BM151" s="336">
        <f>BM150*'Unit Costs and Indicators'!$D$19</f>
        <v>38.289423146551719</v>
      </c>
      <c r="BN151" s="336">
        <f>BN150*'Unit Costs and Indicators'!$D$19</f>
        <v>38.289423146551719</v>
      </c>
      <c r="BO151" s="336">
        <f>BO150*'Unit Costs and Indicators'!$D$19</f>
        <v>38.289423146551719</v>
      </c>
      <c r="BP151" s="336">
        <f>BP150*'Unit Costs and Indicators'!$D$19</f>
        <v>38.289423146551719</v>
      </c>
      <c r="BQ151" s="336">
        <f>BQ150*'Unit Costs and Indicators'!$D$19</f>
        <v>38.289423146551719</v>
      </c>
      <c r="BR151" s="336">
        <f>BR150*'Unit Costs and Indicators'!$D$19</f>
        <v>38.289423146551719</v>
      </c>
      <c r="BS151" s="336">
        <f>BS150*'Unit Costs and Indicators'!$D$19</f>
        <v>38.289423146551719</v>
      </c>
      <c r="BT151" s="336">
        <f>BT150*'Unit Costs and Indicators'!$D$19</f>
        <v>38.289423146551719</v>
      </c>
      <c r="BU151" s="336">
        <f>BU150*'Unit Costs and Indicators'!$D$19</f>
        <v>38.289423146551719</v>
      </c>
      <c r="BV151" s="336">
        <f>BV150*'Unit Costs and Indicators'!$D$19</f>
        <v>38.289423146551719</v>
      </c>
      <c r="BW151" s="336">
        <f>BW150*'Unit Costs and Indicators'!$D$19</f>
        <v>38.289423146551719</v>
      </c>
      <c r="BX151" s="336">
        <f>BX150*'Unit Costs and Indicators'!$D$19</f>
        <v>38.289423146551719</v>
      </c>
      <c r="BY151" s="336">
        <f>BY150*'Unit Costs and Indicators'!$D$19</f>
        <v>38.289423146551719</v>
      </c>
      <c r="BZ151" s="336">
        <f>BZ150*'Unit Costs and Indicators'!$D$19</f>
        <v>38.289423146551719</v>
      </c>
      <c r="CA151" s="336">
        <f>CA150*'Unit Costs and Indicators'!$D$19</f>
        <v>38.289423146551719</v>
      </c>
      <c r="CB151" s="336">
        <f>CB150*'Unit Costs and Indicators'!$D$19</f>
        <v>38.289423146551719</v>
      </c>
      <c r="CC151" s="336">
        <f>CC150*'Unit Costs and Indicators'!$D$19</f>
        <v>38.289423146551719</v>
      </c>
      <c r="CD151" s="336">
        <f>CD150*'Unit Costs and Indicators'!$D$19</f>
        <v>38.289423146551719</v>
      </c>
      <c r="CE151" s="336">
        <f>CE150*'Unit Costs and Indicators'!$D$19</f>
        <v>38.289423146551719</v>
      </c>
      <c r="CF151" s="336">
        <f>CF150*'Unit Costs and Indicators'!$D$19</f>
        <v>38.289423146551719</v>
      </c>
      <c r="CG151" s="336">
        <f>CG150*'Unit Costs and Indicators'!$D$19</f>
        <v>38.289423146551719</v>
      </c>
      <c r="CH151" s="336">
        <f>CH150*'Unit Costs and Indicators'!$D$19</f>
        <v>38.289423146551719</v>
      </c>
      <c r="CI151" s="336">
        <f>CI150*'Unit Costs and Indicators'!$D$19</f>
        <v>38.289423146551719</v>
      </c>
      <c r="CJ151" s="336">
        <f>CJ150*'Unit Costs and Indicators'!$D$19</f>
        <v>38.289423146551719</v>
      </c>
      <c r="CK151" s="336">
        <f>CK150*'Unit Costs and Indicators'!$D$19</f>
        <v>38.289423146551719</v>
      </c>
      <c r="CL151" s="336">
        <f>CL150*'Unit Costs and Indicators'!$D$19</f>
        <v>38.289423146551719</v>
      </c>
      <c r="CM151" s="336">
        <f>CM150*'Unit Costs and Indicators'!$D$19</f>
        <v>38.289423146551719</v>
      </c>
      <c r="CN151" s="336">
        <f>CN150*'Unit Costs and Indicators'!$D$19</f>
        <v>38.289423146551719</v>
      </c>
      <c r="CO151" s="336">
        <f>CO150*'Unit Costs and Indicators'!$D$19</f>
        <v>38.289423146551719</v>
      </c>
      <c r="CP151" s="336">
        <f>CP150*'Unit Costs and Indicators'!$D$19</f>
        <v>38.289423146551719</v>
      </c>
      <c r="CQ151" s="336">
        <f>CQ150*'Unit Costs and Indicators'!$D$19</f>
        <v>38.289423146551719</v>
      </c>
      <c r="CR151" s="336">
        <f>CR150*'Unit Costs and Indicators'!$D$19</f>
        <v>38.289423146551719</v>
      </c>
      <c r="CS151" s="336">
        <f>CS150*'Unit Costs and Indicators'!$D$19</f>
        <v>38.289423146551719</v>
      </c>
      <c r="CT151" s="336">
        <f>CT150*'Unit Costs and Indicators'!$D$19</f>
        <v>38.289423146551719</v>
      </c>
      <c r="CU151" s="336">
        <f>CU150*'Unit Costs and Indicators'!$D$19</f>
        <v>38.289423146551719</v>
      </c>
      <c r="CV151" s="336">
        <f>CV150*'Unit Costs and Indicators'!$D$19</f>
        <v>38.289423146551719</v>
      </c>
      <c r="CW151" s="336">
        <f>CW150*'Unit Costs and Indicators'!$D$19</f>
        <v>38.289423146551719</v>
      </c>
      <c r="CX151" s="336">
        <f>CX150*'Unit Costs and Indicators'!$D$19</f>
        <v>38.289423146551719</v>
      </c>
      <c r="CY151" s="336">
        <f>CY150*'Unit Costs and Indicators'!$D$19</f>
        <v>38.289423146551719</v>
      </c>
      <c r="CZ151" s="336">
        <f>CZ150*'Unit Costs and Indicators'!$D$19</f>
        <v>38.289423146551719</v>
      </c>
      <c r="DA151" s="336">
        <f>DA150*'Unit Costs and Indicators'!$D$19</f>
        <v>38.289423146551719</v>
      </c>
      <c r="DB151" s="336">
        <f>DB150*'Unit Costs and Indicators'!$D$19</f>
        <v>38.289423146551719</v>
      </c>
      <c r="DC151" s="336">
        <f>DC150*'Unit Costs and Indicators'!$D$19</f>
        <v>38.289423146551719</v>
      </c>
      <c r="DD151" s="336">
        <f>DD150*'Unit Costs and Indicators'!$D$19</f>
        <v>38.289423146551719</v>
      </c>
      <c r="DE151" s="336">
        <f>DE150*'Unit Costs and Indicators'!$D$19</f>
        <v>38.289423146551719</v>
      </c>
      <c r="DF151" s="296"/>
      <c r="DG151" s="296"/>
      <c r="DH151" s="296"/>
      <c r="DI151" s="296"/>
      <c r="DJ151" s="296"/>
      <c r="DK151" s="296"/>
      <c r="DL151" s="296"/>
    </row>
    <row r="152" spans="1:122" ht="15.75" customHeight="1" outlineLevel="1" x14ac:dyDescent="0.25">
      <c r="A152" s="751"/>
      <c r="B152" s="380"/>
      <c r="C152" s="355" t="s">
        <v>244</v>
      </c>
      <c r="D152" s="356" t="s">
        <v>247</v>
      </c>
      <c r="E152" s="381"/>
      <c r="F152" s="316" t="s">
        <v>14</v>
      </c>
      <c r="G152" s="317">
        <f t="shared" ref="G152:G153" si="444">NPV($D$6, J152:DE152)+I152</f>
        <v>3950.5037488800808</v>
      </c>
      <c r="H152" s="359">
        <f>H145+H151</f>
        <v>83.67180032666127</v>
      </c>
      <c r="I152" s="360">
        <f>(I145+I151)</f>
        <v>83.898712212561804</v>
      </c>
      <c r="J152" s="360">
        <f t="shared" ref="J152:AO152" si="445">(J145+J151)*(1 + $D$5)^(J2 - $I$2)</f>
        <v>85.8092938310497</v>
      </c>
      <c r="K152" s="360">
        <f t="shared" si="445"/>
        <v>87.76392552700068</v>
      </c>
      <c r="L152" s="360">
        <f t="shared" si="445"/>
        <v>89.763634846935844</v>
      </c>
      <c r="M152" s="360">
        <f t="shared" si="445"/>
        <v>91.809473566585552</v>
      </c>
      <c r="N152" s="360">
        <f t="shared" si="445"/>
        <v>93.9025182677983</v>
      </c>
      <c r="O152" s="360">
        <f t="shared" si="445"/>
        <v>96.043870929305328</v>
      </c>
      <c r="P152" s="360">
        <f t="shared" si="445"/>
        <v>98.234659531675845</v>
      </c>
      <c r="Q152" s="360">
        <f t="shared" si="445"/>
        <v>100.47603867680681</v>
      </c>
      <c r="R152" s="360">
        <f t="shared" si="445"/>
        <v>102.76919022229825</v>
      </c>
      <c r="S152" s="360">
        <f t="shared" si="445"/>
        <v>105.11532393107561</v>
      </c>
      <c r="T152" s="360">
        <f t="shared" si="445"/>
        <v>107.51567813662722</v>
      </c>
      <c r="U152" s="360">
        <f t="shared" si="445"/>
        <v>109.97152042423585</v>
      </c>
      <c r="V152" s="360">
        <f t="shared" si="445"/>
        <v>112.48414832859098</v>
      </c>
      <c r="W152" s="360">
        <f t="shared" si="445"/>
        <v>115.05489004817962</v>
      </c>
      <c r="X152" s="360">
        <f t="shared" si="445"/>
        <v>117.68510517686069</v>
      </c>
      <c r="Y152" s="360">
        <f t="shared" si="445"/>
        <v>120.37618545304115</v>
      </c>
      <c r="Z152" s="360">
        <f t="shared" si="445"/>
        <v>123.12955552687853</v>
      </c>
      <c r="AA152" s="360">
        <f t="shared" si="445"/>
        <v>125.94667374594857</v>
      </c>
      <c r="AB152" s="360">
        <f t="shared" si="445"/>
        <v>128.82903295982413</v>
      </c>
      <c r="AC152" s="360">
        <f t="shared" si="445"/>
        <v>131.77816134402508</v>
      </c>
      <c r="AD152" s="360">
        <f t="shared" si="445"/>
        <v>134.79562324380763</v>
      </c>
      <c r="AE152" s="360">
        <f t="shared" si="445"/>
        <v>137.88302003827567</v>
      </c>
      <c r="AF152" s="360">
        <f t="shared" si="445"/>
        <v>141.0419910253058</v>
      </c>
      <c r="AG152" s="360">
        <f t="shared" si="445"/>
        <v>144.27421432779181</v>
      </c>
      <c r="AH152" s="360">
        <f t="shared" si="445"/>
        <v>147.58140782172524</v>
      </c>
      <c r="AI152" s="360">
        <f t="shared" si="445"/>
        <v>150.53303597815975</v>
      </c>
      <c r="AJ152" s="360">
        <f t="shared" si="445"/>
        <v>153.54369669772294</v>
      </c>
      <c r="AK152" s="360">
        <f t="shared" si="445"/>
        <v>156.61457063167742</v>
      </c>
      <c r="AL152" s="360">
        <f t="shared" si="445"/>
        <v>159.74686204431094</v>
      </c>
      <c r="AM152" s="360">
        <f t="shared" si="445"/>
        <v>162.94179928519716</v>
      </c>
      <c r="AN152" s="360">
        <f t="shared" si="445"/>
        <v>166.20063527090107</v>
      </c>
      <c r="AO152" s="360">
        <f t="shared" si="445"/>
        <v>169.52464797631913</v>
      </c>
      <c r="AP152" s="360">
        <f t="shared" ref="AP152:BU152" si="446">(AP145+AP151)*(1 + $D$5)^(AP2 - $I$2)</f>
        <v>172.91514093584553</v>
      </c>
      <c r="AQ152" s="360">
        <f t="shared" si="446"/>
        <v>176.37344375456243</v>
      </c>
      <c r="AR152" s="360">
        <f t="shared" si="446"/>
        <v>179.90091262965367</v>
      </c>
      <c r="AS152" s="360">
        <f t="shared" si="446"/>
        <v>183.49893088224673</v>
      </c>
      <c r="AT152" s="360">
        <f t="shared" si="446"/>
        <v>187.1689094998917</v>
      </c>
      <c r="AU152" s="360">
        <f t="shared" si="446"/>
        <v>190.91228768988955</v>
      </c>
      <c r="AV152" s="360">
        <f t="shared" si="446"/>
        <v>194.73053344368725</v>
      </c>
      <c r="AW152" s="360">
        <f t="shared" si="446"/>
        <v>198.62514411256106</v>
      </c>
      <c r="AX152" s="360">
        <f t="shared" si="446"/>
        <v>202.59764699481227</v>
      </c>
      <c r="AY152" s="360">
        <f t="shared" si="446"/>
        <v>206.6495999347085</v>
      </c>
      <c r="AZ152" s="360">
        <f t="shared" si="446"/>
        <v>210.78259193340267</v>
      </c>
      <c r="BA152" s="360">
        <f t="shared" si="446"/>
        <v>214.99824377207074</v>
      </c>
      <c r="BB152" s="360">
        <f t="shared" si="446"/>
        <v>219.29820864751215</v>
      </c>
      <c r="BC152" s="360">
        <f t="shared" si="446"/>
        <v>223.68417282046241</v>
      </c>
      <c r="BD152" s="360">
        <f t="shared" si="446"/>
        <v>228.1578562768716</v>
      </c>
      <c r="BE152" s="360">
        <f t="shared" si="446"/>
        <v>232.72101340240906</v>
      </c>
      <c r="BF152" s="360">
        <f t="shared" si="446"/>
        <v>237.37543367045726</v>
      </c>
      <c r="BG152" s="360">
        <f t="shared" si="446"/>
        <v>242.12294234386638</v>
      </c>
      <c r="BH152" s="360">
        <f t="shared" si="446"/>
        <v>246.96540119074371</v>
      </c>
      <c r="BI152" s="360">
        <f t="shared" si="446"/>
        <v>251.90470921455861</v>
      </c>
      <c r="BJ152" s="360">
        <f t="shared" si="446"/>
        <v>256.94280339884972</v>
      </c>
      <c r="BK152" s="360">
        <f t="shared" si="446"/>
        <v>262.08165946682675</v>
      </c>
      <c r="BL152" s="360">
        <f t="shared" si="446"/>
        <v>267.32329265616323</v>
      </c>
      <c r="BM152" s="360">
        <f t="shared" si="446"/>
        <v>272.66975850928651</v>
      </c>
      <c r="BN152" s="360">
        <f t="shared" si="446"/>
        <v>278.12315367947224</v>
      </c>
      <c r="BO152" s="360">
        <f t="shared" si="446"/>
        <v>283.68561675306171</v>
      </c>
      <c r="BP152" s="360">
        <f t="shared" si="446"/>
        <v>289.35932908812288</v>
      </c>
      <c r="BQ152" s="360">
        <f t="shared" si="446"/>
        <v>295.14651566988545</v>
      </c>
      <c r="BR152" s="360">
        <f t="shared" si="446"/>
        <v>301.04944598328308</v>
      </c>
      <c r="BS152" s="360">
        <f t="shared" si="446"/>
        <v>307.07043490294876</v>
      </c>
      <c r="BT152" s="360">
        <f t="shared" si="446"/>
        <v>313.21184360100767</v>
      </c>
      <c r="BU152" s="360">
        <f t="shared" si="446"/>
        <v>319.47608047302788</v>
      </c>
      <c r="BV152" s="360">
        <f t="shared" ref="BV152:DA152" si="447">(BV145+BV151)*(1 + $D$5)^(BV2 - $I$2)</f>
        <v>325.86560208248846</v>
      </c>
      <c r="BW152" s="360">
        <f t="shared" si="447"/>
        <v>332.38291412413821</v>
      </c>
      <c r="BX152" s="360">
        <f t="shared" si="447"/>
        <v>339.03057240662099</v>
      </c>
      <c r="BY152" s="360">
        <f t="shared" si="447"/>
        <v>345.81118385475338</v>
      </c>
      <c r="BZ152" s="360">
        <f t="shared" si="447"/>
        <v>352.72740753184848</v>
      </c>
      <c r="CA152" s="360">
        <f t="shared" si="447"/>
        <v>359.78195568248549</v>
      </c>
      <c r="CB152" s="360">
        <f t="shared" si="447"/>
        <v>366.97759479613512</v>
      </c>
      <c r="CC152" s="360">
        <f t="shared" si="447"/>
        <v>374.31714669205786</v>
      </c>
      <c r="CD152" s="360">
        <f t="shared" si="447"/>
        <v>381.80348962589898</v>
      </c>
      <c r="CE152" s="360">
        <f t="shared" si="447"/>
        <v>389.43955941841699</v>
      </c>
      <c r="CF152" s="360">
        <f t="shared" si="447"/>
        <v>397.22835060678528</v>
      </c>
      <c r="CG152" s="360">
        <f t="shared" si="447"/>
        <v>405.17291761892108</v>
      </c>
      <c r="CH152" s="360">
        <f t="shared" si="447"/>
        <v>413.27637597129944</v>
      </c>
      <c r="CI152" s="360">
        <f t="shared" si="447"/>
        <v>421.54190349072547</v>
      </c>
      <c r="CJ152" s="360">
        <f t="shared" si="447"/>
        <v>429.97274156053987</v>
      </c>
      <c r="CK152" s="360">
        <f t="shared" si="447"/>
        <v>438.57219639175071</v>
      </c>
      <c r="CL152" s="360">
        <f t="shared" si="447"/>
        <v>447.34364031958575</v>
      </c>
      <c r="CM152" s="360">
        <f t="shared" si="447"/>
        <v>456.29051312597744</v>
      </c>
      <c r="CN152" s="360">
        <f t="shared" si="447"/>
        <v>465.41632338849695</v>
      </c>
      <c r="CO152" s="360">
        <f t="shared" si="447"/>
        <v>474.72464985626692</v>
      </c>
      <c r="CP152" s="360">
        <f t="shared" si="447"/>
        <v>484.21914285339227</v>
      </c>
      <c r="CQ152" s="360">
        <f t="shared" si="447"/>
        <v>493.90352571046014</v>
      </c>
      <c r="CR152" s="360">
        <f t="shared" si="447"/>
        <v>503.78159622466922</v>
      </c>
      <c r="CS152" s="360">
        <f t="shared" si="447"/>
        <v>513.85722814916267</v>
      </c>
      <c r="CT152" s="360">
        <f t="shared" si="447"/>
        <v>524.13437271214593</v>
      </c>
      <c r="CU152" s="360">
        <f t="shared" si="447"/>
        <v>534.61706016638891</v>
      </c>
      <c r="CV152" s="360">
        <f t="shared" si="447"/>
        <v>545.30940136971651</v>
      </c>
      <c r="CW152" s="360">
        <f t="shared" si="447"/>
        <v>556.21558939711099</v>
      </c>
      <c r="CX152" s="360">
        <f t="shared" si="447"/>
        <v>567.33990118505312</v>
      </c>
      <c r="CY152" s="360">
        <f t="shared" si="447"/>
        <v>578.68669920875425</v>
      </c>
      <c r="CZ152" s="360">
        <f t="shared" si="447"/>
        <v>590.26043319292921</v>
      </c>
      <c r="DA152" s="360">
        <f t="shared" si="447"/>
        <v>602.06564185678792</v>
      </c>
      <c r="DB152" s="360">
        <f t="shared" ref="DB152:DL152" si="448">(DB145+DB151)*(1 + $D$5)^(DB2 - $I$2)</f>
        <v>614.10695469392374</v>
      </c>
      <c r="DC152" s="360">
        <f t="shared" si="448"/>
        <v>626.38909378780215</v>
      </c>
      <c r="DD152" s="360">
        <f t="shared" si="448"/>
        <v>638.91687566355813</v>
      </c>
      <c r="DE152" s="360">
        <f t="shared" si="448"/>
        <v>651.69521317682927</v>
      </c>
      <c r="DF152" s="360">
        <f t="shared" si="448"/>
        <v>0</v>
      </c>
      <c r="DG152" s="360">
        <f t="shared" si="448"/>
        <v>0</v>
      </c>
      <c r="DH152" s="360">
        <f t="shared" si="448"/>
        <v>0</v>
      </c>
      <c r="DI152" s="360">
        <f t="shared" si="448"/>
        <v>0</v>
      </c>
      <c r="DJ152" s="360">
        <f t="shared" si="448"/>
        <v>0</v>
      </c>
      <c r="DK152" s="360">
        <f t="shared" si="448"/>
        <v>0</v>
      </c>
      <c r="DL152" s="360">
        <f t="shared" si="448"/>
        <v>0</v>
      </c>
    </row>
    <row r="153" spans="1:122" ht="15.75" customHeight="1" outlineLevel="1" x14ac:dyDescent="0.25">
      <c r="A153" s="752" t="s">
        <v>294</v>
      </c>
      <c r="B153" s="756"/>
      <c r="C153" s="757"/>
      <c r="D153" s="314" t="s">
        <v>247</v>
      </c>
      <c r="E153" s="315"/>
      <c r="F153" s="316" t="s">
        <v>14</v>
      </c>
      <c r="G153" s="317">
        <f t="shared" si="444"/>
        <v>825905.56623803906</v>
      </c>
      <c r="H153" s="318">
        <f>H134+H142+H152</f>
        <v>18137.315253705045</v>
      </c>
      <c r="I153" s="319">
        <f t="shared" ref="I153:DE153" si="449">I134+I142+I152</f>
        <v>18137.542165590945</v>
      </c>
      <c r="J153" s="319">
        <f t="shared" si="449"/>
        <v>18504.904881903785</v>
      </c>
      <c r="K153" s="319">
        <f t="shared" si="449"/>
        <v>18880.192924646417</v>
      </c>
      <c r="L153" s="319">
        <f t="shared" si="449"/>
        <v>19263.643205671207</v>
      </c>
      <c r="M153" s="319">
        <f t="shared" si="449"/>
        <v>19655.508154980816</v>
      </c>
      <c r="N153" s="319">
        <f>N134+N142+N152</f>
        <v>20056.05751655412</v>
      </c>
      <c r="O153" s="319">
        <f t="shared" si="449"/>
        <v>20465.580384860561</v>
      </c>
      <c r="P153" s="319">
        <f t="shared" si="449"/>
        <v>20884.387515106457</v>
      </c>
      <c r="Q153" s="319">
        <f t="shared" si="449"/>
        <v>21312.813944809335</v>
      </c>
      <c r="R153" s="319">
        <f t="shared" si="449"/>
        <v>21751.221969476661</v>
      </c>
      <c r="S153" s="319">
        <f t="shared" si="449"/>
        <v>22200.004521059531</v>
      </c>
      <c r="T153" s="319">
        <f t="shared" si="449"/>
        <v>22659.589004558857</v>
      </c>
      <c r="U153" s="319">
        <f t="shared" si="449"/>
        <v>23130.44165579286</v>
      </c>
      <c r="V153" s="319">
        <f t="shared" si="449"/>
        <v>23613.072492018102</v>
      </c>
      <c r="W153" s="319">
        <f t="shared" si="449"/>
        <v>24108.040936976849</v>
      </c>
      <c r="X153" s="319">
        <f t="shared" si="449"/>
        <v>24615.962213185921</v>
      </c>
      <c r="Y153" s="319">
        <f t="shared" si="449"/>
        <v>25137.514607074656</v>
      </c>
      <c r="Z153" s="319">
        <f t="shared" si="449"/>
        <v>25673.447727135303</v>
      </c>
      <c r="AA153" s="319">
        <f t="shared" si="449"/>
        <v>26224.591891811851</v>
      </c>
      <c r="AB153" s="319">
        <f t="shared" si="449"/>
        <v>26791.868802698933</v>
      </c>
      <c r="AC153" s="319">
        <f t="shared" si="449"/>
        <v>27376.303680065968</v>
      </c>
      <c r="AD153" s="319">
        <f t="shared" si="449"/>
        <v>27979.03906212205</v>
      </c>
      <c r="AE153" s="319">
        <f t="shared" si="449"/>
        <v>28601.350497200456</v>
      </c>
      <c r="AF153" s="319">
        <f t="shared" si="449"/>
        <v>29244.664389632664</v>
      </c>
      <c r="AG153" s="319">
        <f t="shared" si="449"/>
        <v>29910.57829602843</v>
      </c>
      <c r="AH153" s="319">
        <f t="shared" si="449"/>
        <v>30600.884009579589</v>
      </c>
      <c r="AI153" s="319">
        <f t="shared" si="449"/>
        <v>31213.340112879585</v>
      </c>
      <c r="AJ153" s="319">
        <f t="shared" si="449"/>
        <v>31838.054106707739</v>
      </c>
      <c r="AK153" s="319">
        <f t="shared" si="449"/>
        <v>32475.271324243884</v>
      </c>
      <c r="AL153" s="319">
        <f t="shared" si="449"/>
        <v>33125.242008838773</v>
      </c>
      <c r="AM153" s="319">
        <f t="shared" si="449"/>
        <v>33788.22141228777</v>
      </c>
      <c r="AN153" s="319">
        <f t="shared" si="449"/>
        <v>34464.469895071183</v>
      </c>
      <c r="AO153" s="319">
        <f t="shared" si="449"/>
        <v>35154.253028601037</v>
      </c>
      <c r="AP153" s="319">
        <f t="shared" si="449"/>
        <v>35857.841699514043</v>
      </c>
      <c r="AQ153" s="319">
        <f t="shared" si="449"/>
        <v>36575.512216052128</v>
      </c>
      <c r="AR153" s="319">
        <f t="shared" si="449"/>
        <v>37307.546416571924</v>
      </c>
      <c r="AS153" s="319">
        <f t="shared" si="449"/>
        <v>38054.23178022611</v>
      </c>
      <c r="AT153" s="319">
        <f t="shared" si="449"/>
        <v>38815.861539859819</v>
      </c>
      <c r="AU153" s="319">
        <f t="shared" si="449"/>
        <v>39592.734797166799</v>
      </c>
      <c r="AV153" s="319">
        <f t="shared" si="449"/>
        <v>40385.15664015009</v>
      </c>
      <c r="AW153" s="319">
        <f t="shared" si="449"/>
        <v>41193.43826293388</v>
      </c>
      <c r="AX153" s="319">
        <f t="shared" si="449"/>
        <v>42017.897087972931</v>
      </c>
      <c r="AY153" s="319">
        <f t="shared" si="449"/>
        <v>42858.856890708383</v>
      </c>
      <c r="AZ153" s="319">
        <f t="shared" si="449"/>
        <v>43716.647926718055</v>
      </c>
      <c r="BA153" s="319">
        <f t="shared" si="449"/>
        <v>44591.607061411858</v>
      </c>
      <c r="BB153" s="319">
        <f t="shared" si="449"/>
        <v>45484.077902322693</v>
      </c>
      <c r="BC153" s="319">
        <f t="shared" si="449"/>
        <v>46394.410934045423</v>
      </c>
      <c r="BD153" s="319">
        <f t="shared" si="449"/>
        <v>47322.963655876105</v>
      </c>
      <c r="BE153" s="319">
        <f t="shared" si="449"/>
        <v>48270.100722206422</v>
      </c>
      <c r="BF153" s="319">
        <f t="shared" si="449"/>
        <v>49236.194085727599</v>
      </c>
      <c r="BG153" s="319">
        <f t="shared" si="449"/>
        <v>50221.623143500728</v>
      </c>
      <c r="BH153" s="319">
        <f t="shared" si="449"/>
        <v>51226.774885950486</v>
      </c>
      <c r="BI153" s="319">
        <f t="shared" si="449"/>
        <v>52252.044048840857</v>
      </c>
      <c r="BJ153" s="319">
        <f t="shared" si="449"/>
        <v>53297.833268292445</v>
      </c>
      <c r="BK153" s="319">
        <f t="shared" si="449"/>
        <v>54364.553238902568</v>
      </c>
      <c r="BL153" s="319">
        <f t="shared" si="449"/>
        <v>55452.62287502976</v>
      </c>
      <c r="BM153" s="319">
        <f t="shared" si="449"/>
        <v>56562.469475306498</v>
      </c>
      <c r="BN153" s="319">
        <f t="shared" si="449"/>
        <v>57694.528890444293</v>
      </c>
      <c r="BO153" s="319">
        <f t="shared" si="449"/>
        <v>58849.245694397483</v>
      </c>
      <c r="BP153" s="319">
        <f t="shared" si="449"/>
        <v>60027.073358952606</v>
      </c>
      <c r="BQ153" s="319">
        <f t="shared" si="449"/>
        <v>61228.474431812196</v>
      </c>
      <c r="BR153" s="319">
        <f t="shared" si="449"/>
        <v>62453.920718242567</v>
      </c>
      <c r="BS153" s="319">
        <f t="shared" si="449"/>
        <v>63703.89346635744</v>
      </c>
      <c r="BT153" s="319">
        <f t="shared" si="449"/>
        <v>64978.883556109591</v>
      </c>
      <c r="BU153" s="319">
        <f t="shared" si="449"/>
        <v>66279.391692065328</v>
      </c>
      <c r="BV153" s="319">
        <f t="shared" si="449"/>
        <v>67605.928600036816</v>
      </c>
      <c r="BW153" s="319">
        <f t="shared" si="449"/>
        <v>68959.01522765035</v>
      </c>
      <c r="BX153" s="319">
        <f t="shared" si="449"/>
        <v>70339.182948928399</v>
      </c>
      <c r="BY153" s="319">
        <f t="shared" si="449"/>
        <v>71746.973772966507</v>
      </c>
      <c r="BZ153" s="319">
        <f t="shared" si="449"/>
        <v>73182.940556786591</v>
      </c>
      <c r="CA153" s="319">
        <f t="shared" si="449"/>
        <v>74647.64722245028</v>
      </c>
      <c r="CB153" s="319">
        <f t="shared" si="449"/>
        <v>76141.668978517802</v>
      </c>
      <c r="CC153" s="319">
        <f t="shared" si="449"/>
        <v>77665.592545939056</v>
      </c>
      <c r="CD153" s="319">
        <f t="shared" si="449"/>
        <v>79220.016388465723</v>
      </c>
      <c r="CE153" s="319">
        <f t="shared" si="449"/>
        <v>80805.550947675118</v>
      </c>
      <c r="CF153" s="319">
        <f t="shared" si="449"/>
        <v>82422.818882697466</v>
      </c>
      <c r="CG153" s="319">
        <f t="shared" si="449"/>
        <v>84072.455314741659</v>
      </c>
      <c r="CH153" s="319">
        <f t="shared" si="449"/>
        <v>85755.108076514531</v>
      </c>
      <c r="CI153" s="319">
        <f t="shared" si="449"/>
        <v>87471.437966632438</v>
      </c>
      <c r="CJ153" s="319">
        <f t="shared" si="449"/>
        <v>89222.119009124421</v>
      </c>
      <c r="CK153" s="319">
        <f t="shared" si="449"/>
        <v>91007.838718129467</v>
      </c>
      <c r="CL153" s="319">
        <f t="shared" si="449"/>
        <v>92829.298367891039</v>
      </c>
      <c r="CM153" s="319">
        <f t="shared" si="449"/>
        <v>94687.213268155829</v>
      </c>
      <c r="CN153" s="319">
        <f t="shared" si="449"/>
        <v>96582.313045084069</v>
      </c>
      <c r="CO153" s="319">
        <f t="shared" si="449"/>
        <v>98515.341927782167</v>
      </c>
      <c r="CP153" s="319">
        <f t="shared" si="449"/>
        <v>100487.05904057017</v>
      </c>
      <c r="CQ153" s="319">
        <f t="shared" si="449"/>
        <v>102498.23870109855</v>
      </c>
      <c r="CR153" s="319">
        <f t="shared" si="449"/>
        <v>104549.67072443184</v>
      </c>
      <c r="CS153" s="319">
        <f t="shared" si="449"/>
        <v>106642.16073321804</v>
      </c>
      <c r="CT153" s="319">
        <f t="shared" si="449"/>
        <v>108776.53047406593</v>
      </c>
      <c r="CU153" s="319">
        <f t="shared" si="449"/>
        <v>110953.61814025443</v>
      </c>
      <c r="CV153" s="319">
        <f t="shared" si="449"/>
        <v>113174.27870090082</v>
      </c>
      <c r="CW153" s="319">
        <f t="shared" si="449"/>
        <v>115439.38423671701</v>
      </c>
      <c r="CX153" s="319">
        <f t="shared" si="449"/>
        <v>117749.82428248547</v>
      </c>
      <c r="CY153" s="319">
        <f t="shared" si="449"/>
        <v>120106.50617638997</v>
      </c>
      <c r="CZ153" s="319">
        <f t="shared" si="449"/>
        <v>122510.35541633764</v>
      </c>
      <c r="DA153" s="319">
        <f t="shared" si="449"/>
        <v>124962.3160234127</v>
      </c>
      <c r="DB153" s="319">
        <f t="shared" si="449"/>
        <v>127463.35091260423</v>
      </c>
      <c r="DC153" s="319">
        <f t="shared" si="449"/>
        <v>130014.44227095401</v>
      </c>
      <c r="DD153" s="319">
        <f t="shared" si="449"/>
        <v>132616.5919432728</v>
      </c>
      <c r="DE153" s="319">
        <f t="shared" si="449"/>
        <v>135270.82182557587</v>
      </c>
      <c r="DF153" s="320"/>
      <c r="DG153" s="320"/>
      <c r="DH153" s="320"/>
      <c r="DI153" s="320"/>
      <c r="DJ153" s="320"/>
      <c r="DK153" s="320"/>
      <c r="DL153" s="320"/>
    </row>
    <row r="154" spans="1:122" ht="15.75" customHeight="1" outlineLevel="1" x14ac:dyDescent="0.25">
      <c r="A154" s="759" t="s">
        <v>373</v>
      </c>
      <c r="B154" s="756"/>
      <c r="C154" s="757"/>
      <c r="D154" s="461" t="s">
        <v>247</v>
      </c>
      <c r="E154" s="462"/>
      <c r="F154" s="316" t="s">
        <v>14</v>
      </c>
      <c r="G154" s="317">
        <f>NPV($D$6, J154:DE154)+I154</f>
        <v>444751956.75981504</v>
      </c>
      <c r="H154" s="416"/>
      <c r="I154" s="416">
        <f>I104+I117+I121+I153</f>
        <v>9072067.5836961865</v>
      </c>
      <c r="J154" s="416">
        <f t="shared" ref="J154:BU154" si="450">J104+J117+J121+J153</f>
        <v>9299011.0520684738</v>
      </c>
      <c r="K154" s="416">
        <f t="shared" si="450"/>
        <v>9531640.2535718326</v>
      </c>
      <c r="L154" s="416">
        <f t="shared" si="450"/>
        <v>9770097.752990542</v>
      </c>
      <c r="M154" s="416">
        <f t="shared" si="450"/>
        <v>10014529.699353492</v>
      </c>
      <c r="N154" s="416">
        <f t="shared" si="450"/>
        <v>10265085.917230913</v>
      </c>
      <c r="O154" s="416">
        <f t="shared" si="450"/>
        <v>10521920.000516867</v>
      </c>
      <c r="P154" s="416">
        <f t="shared" si="450"/>
        <v>10785189.408786723</v>
      </c>
      <c r="Q154" s="416">
        <f t="shared" si="450"/>
        <v>11055055.566325039</v>
      </c>
      <c r="R154" s="416">
        <f t="shared" si="450"/>
        <v>11331683.963925764</v>
      </c>
      <c r="S154" s="416">
        <f t="shared" si="450"/>
        <v>11615244.263574094</v>
      </c>
      <c r="T154" s="416">
        <f t="shared" si="450"/>
        <v>11905910.406127563</v>
      </c>
      <c r="U154" s="416">
        <f t="shared" si="450"/>
        <v>12203860.722123161</v>
      </c>
      <c r="V154" s="416">
        <f t="shared" si="450"/>
        <v>12509278.045847405</v>
      </c>
      <c r="W154" s="416">
        <f t="shared" si="450"/>
        <v>12822349.832818078</v>
      </c>
      <c r="X154" s="416">
        <f t="shared" si="450"/>
        <v>13143268.280838987</v>
      </c>
      <c r="Y154" s="416">
        <f t="shared" si="450"/>
        <v>13472230.454803815</v>
      </c>
      <c r="Z154" s="416">
        <f t="shared" si="450"/>
        <v>13809438.415441368</v>
      </c>
      <c r="AA154" s="416">
        <f t="shared" si="450"/>
        <v>14155099.352212869</v>
      </c>
      <c r="AB154" s="416">
        <f t="shared" si="450"/>
        <v>14509425.720592795</v>
      </c>
      <c r="AC154" s="416">
        <f t="shared" si="450"/>
        <v>14872635.383987881</v>
      </c>
      <c r="AD154" s="416">
        <f t="shared" si="450"/>
        <v>15244951.760575445</v>
      </c>
      <c r="AE154" s="416">
        <f t="shared" si="450"/>
        <v>15626603.975371916</v>
      </c>
      <c r="AF154" s="416">
        <f t="shared" si="450"/>
        <v>16017827.017875949</v>
      </c>
      <c r="AG154" s="416">
        <f t="shared" si="450"/>
        <v>16418861.90566883</v>
      </c>
      <c r="AH154" s="416">
        <f t="shared" si="450"/>
        <v>16829794.531812094</v>
      </c>
      <c r="AI154" s="416">
        <f t="shared" si="450"/>
        <v>17166059.05871078</v>
      </c>
      <c r="AJ154" s="416">
        <f t="shared" si="450"/>
        <v>17509048.90245283</v>
      </c>
      <c r="AK154" s="416">
        <f t="shared" si="450"/>
        <v>17858898.569901217</v>
      </c>
      <c r="AL154" s="416">
        <f t="shared" si="450"/>
        <v>18215745.25806668</v>
      </c>
      <c r="AM154" s="416">
        <f t="shared" si="450"/>
        <v>18579728.90791095</v>
      </c>
      <c r="AN154" s="416">
        <f t="shared" si="450"/>
        <v>18950992.259225905</v>
      </c>
      <c r="AO154" s="416">
        <f t="shared" si="450"/>
        <v>19329680.906610433</v>
      </c>
      <c r="AP154" s="416">
        <f t="shared" si="450"/>
        <v>19715943.356566783</v>
      </c>
      <c r="AQ154" s="416">
        <f t="shared" si="450"/>
        <v>20109931.085738882</v>
      </c>
      <c r="AR154" s="416">
        <f t="shared" si="450"/>
        <v>20511798.600315377</v>
      </c>
      <c r="AS154" s="416">
        <f t="shared" si="450"/>
        <v>20921703.496620771</v>
      </c>
      <c r="AT154" s="416">
        <f t="shared" si="450"/>
        <v>21339806.522918396</v>
      </c>
      <c r="AU154" s="416">
        <f t="shared" si="450"/>
        <v>21766271.642449416</v>
      </c>
      <c r="AV154" s="416">
        <f t="shared" si="450"/>
        <v>22201266.097732633</v>
      </c>
      <c r="AW154" s="416">
        <f t="shared" si="450"/>
        <v>22644960.476150356</v>
      </c>
      <c r="AX154" s="416">
        <f t="shared" si="450"/>
        <v>23097528.776845824</v>
      </c>
      <c r="AY154" s="416">
        <f t="shared" si="450"/>
        <v>23559148.478958786</v>
      </c>
      <c r="AZ154" s="416">
        <f t="shared" si="450"/>
        <v>24030000.611225665</v>
      </c>
      <c r="BA154" s="416">
        <f t="shared" si="450"/>
        <v>24510269.82297178</v>
      </c>
      <c r="BB154" s="416">
        <f t="shared" si="450"/>
        <v>25000144.456523381</v>
      </c>
      <c r="BC154" s="416">
        <f t="shared" si="450"/>
        <v>25499816.621068001</v>
      </c>
      <c r="BD154" s="416">
        <f t="shared" si="450"/>
        <v>26009482.267991927</v>
      </c>
      <c r="BE154" s="416">
        <f t="shared" si="450"/>
        <v>26529341.267724525</v>
      </c>
      <c r="BF154" s="416">
        <f t="shared" si="450"/>
        <v>27059597.488119368</v>
      </c>
      <c r="BG154" s="416">
        <f t="shared" si="450"/>
        <v>27600458.874403052</v>
      </c>
      <c r="BH154" s="416">
        <f t="shared" si="450"/>
        <v>28152137.530722968</v>
      </c>
      <c r="BI154" s="416">
        <f t="shared" si="450"/>
        <v>28714849.803326067</v>
      </c>
      <c r="BJ154" s="416">
        <f t="shared" si="450"/>
        <v>29288816.365401123</v>
      </c>
      <c r="BK154" s="416">
        <f t="shared" si="450"/>
        <v>29874262.303618003</v>
      </c>
      <c r="BL154" s="416">
        <f t="shared" si="450"/>
        <v>30471417.206397522</v>
      </c>
      <c r="BM154" s="416">
        <f t="shared" si="450"/>
        <v>31080515.253946923</v>
      </c>
      <c r="BN154" s="416">
        <f t="shared" si="450"/>
        <v>31701795.31009588</v>
      </c>
      <c r="BO154" s="416">
        <f t="shared" si="450"/>
        <v>32335501.015969351</v>
      </c>
      <c r="BP154" s="416">
        <f t="shared" si="450"/>
        <v>32981880.885533854</v>
      </c>
      <c r="BQ154" s="416">
        <f t="shared" si="450"/>
        <v>33641188.403054707</v>
      </c>
      <c r="BR154" s="416">
        <f t="shared" si="450"/>
        <v>34313682.122502297</v>
      </c>
      <c r="BS154" s="416">
        <f t="shared" si="450"/>
        <v>34999625.768946715</v>
      </c>
      <c r="BT154" s="416">
        <f t="shared" si="450"/>
        <v>35699288.341980033</v>
      </c>
      <c r="BU154" s="416">
        <f t="shared" si="450"/>
        <v>36412944.221207261</v>
      </c>
      <c r="BV154" s="416">
        <f t="shared" ref="BV154:DL154" si="451">BV104+BV117+BV121+BV153</f>
        <v>37140873.273846924</v>
      </c>
      <c r="BW154" s="416">
        <f t="shared" si="451"/>
        <v>37883360.964483812</v>
      </c>
      <c r="BX154" s="416">
        <f t="shared" si="451"/>
        <v>38640698.467016794</v>
      </c>
      <c r="BY154" s="416">
        <f t="shared" si="451"/>
        <v>39413182.778845415</v>
      </c>
      <c r="BZ154" s="416">
        <f t="shared" si="451"/>
        <v>40201116.837340534</v>
      </c>
      <c r="CA154" s="416">
        <f t="shared" si="451"/>
        <v>41004809.638644055</v>
      </c>
      <c r="CB154" s="416">
        <f t="shared" si="451"/>
        <v>41824576.358844906</v>
      </c>
      <c r="CC154" s="416">
        <f t="shared" si="451"/>
        <v>42660738.477578476</v>
      </c>
      <c r="CD154" s="416">
        <f t="shared" si="451"/>
        <v>43513623.904097989</v>
      </c>
      <c r="CE154" s="416">
        <f t="shared" si="451"/>
        <v>44383567.105867386</v>
      </c>
      <c r="CF154" s="416">
        <f t="shared" si="451"/>
        <v>45270909.239726044</v>
      </c>
      <c r="CG154" s="416">
        <f t="shared" si="451"/>
        <v>46175998.285676874</v>
      </c>
      <c r="CH154" s="416">
        <f t="shared" si="451"/>
        <v>47099189.18334996</v>
      </c>
      <c r="CI154" s="416">
        <f t="shared" si="451"/>
        <v>48040843.971195847</v>
      </c>
      <c r="CJ154" s="416">
        <f t="shared" si="451"/>
        <v>49001331.928462349</v>
      </c>
      <c r="CK154" s="416">
        <f t="shared" si="451"/>
        <v>49981029.720011197</v>
      </c>
      <c r="CL154" s="416">
        <f t="shared" si="451"/>
        <v>50980321.544030733</v>
      </c>
      <c r="CM154" s="416">
        <f t="shared" si="451"/>
        <v>51999599.282703176</v>
      </c>
      <c r="CN154" s="416">
        <f t="shared" si="451"/>
        <v>53039262.655885063</v>
      </c>
      <c r="CO154" s="416">
        <f t="shared" si="451"/>
        <v>54099719.377861269</v>
      </c>
      <c r="CP154" s="416">
        <f t="shared" si="451"/>
        <v>55181385.317234315</v>
      </c>
      <c r="CQ154" s="416">
        <f t="shared" si="451"/>
        <v>56284684.660011277</v>
      </c>
      <c r="CR154" s="416">
        <f t="shared" si="451"/>
        <v>57410050.075952545</v>
      </c>
      <c r="CS154" s="416">
        <f t="shared" si="451"/>
        <v>58557922.888247609</v>
      </c>
      <c r="CT154" s="416">
        <f t="shared" si="451"/>
        <v>59728753.246584244</v>
      </c>
      <c r="CU154" s="416">
        <f t="shared" si="451"/>
        <v>60923000.303679168</v>
      </c>
      <c r="CV154" s="416">
        <f t="shared" si="451"/>
        <v>62141132.395339385</v>
      </c>
      <c r="CW154" s="416">
        <f t="shared" si="451"/>
        <v>63383627.2241247</v>
      </c>
      <c r="CX154" s="416">
        <f t="shared" si="451"/>
        <v>64650972.046683408</v>
      </c>
      <c r="CY154" s="416">
        <f t="shared" si="451"/>
        <v>65943663.864834964</v>
      </c>
      <c r="CZ154" s="416">
        <f t="shared" si="451"/>
        <v>67262209.620474026</v>
      </c>
      <c r="DA154" s="416">
        <f t="shared" si="451"/>
        <v>68607126.394372866</v>
      </c>
      <c r="DB154" s="416">
        <f t="shared" si="451"/>
        <v>69978941.608959615</v>
      </c>
      <c r="DC154" s="416">
        <f t="shared" si="451"/>
        <v>71378193.235152215</v>
      </c>
      <c r="DD154" s="416">
        <f t="shared" si="451"/>
        <v>72805430.003329098</v>
      </c>
      <c r="DE154" s="416">
        <f>DE104+DE117+DE121+DE153</f>
        <v>74261211.618519098</v>
      </c>
      <c r="DF154" s="416">
        <f t="shared" si="451"/>
        <v>0</v>
      </c>
      <c r="DG154" s="416">
        <f t="shared" si="451"/>
        <v>0</v>
      </c>
      <c r="DH154" s="416">
        <f t="shared" si="451"/>
        <v>0</v>
      </c>
      <c r="DI154" s="416">
        <f t="shared" si="451"/>
        <v>0</v>
      </c>
      <c r="DJ154" s="416">
        <f t="shared" si="451"/>
        <v>0</v>
      </c>
      <c r="DK154" s="416">
        <f t="shared" si="451"/>
        <v>0</v>
      </c>
      <c r="DL154" s="416">
        <f t="shared" si="451"/>
        <v>0</v>
      </c>
      <c r="DM154" s="221"/>
      <c r="DN154" s="221"/>
      <c r="DO154" s="221"/>
      <c r="DP154" s="221"/>
      <c r="DQ154" s="221"/>
      <c r="DR154" s="221"/>
    </row>
    <row r="155" spans="1:122" ht="15.75" customHeight="1" x14ac:dyDescent="0.25">
      <c r="A155" s="466"/>
      <c r="B155" s="466"/>
      <c r="C155" s="467"/>
      <c r="D155" s="279"/>
      <c r="E155" s="280"/>
      <c r="F155" s="279"/>
      <c r="G155" s="279"/>
      <c r="H155" s="409"/>
      <c r="I155" s="282"/>
      <c r="J155" s="282"/>
      <c r="K155" s="282"/>
      <c r="L155" s="282"/>
      <c r="M155" s="282"/>
      <c r="N155" s="282"/>
      <c r="O155" s="282"/>
      <c r="P155" s="282"/>
      <c r="Q155" s="282"/>
      <c r="R155" s="282"/>
      <c r="S155" s="282"/>
      <c r="T155" s="282"/>
      <c r="U155" s="282"/>
      <c r="V155" s="282"/>
      <c r="W155" s="282"/>
      <c r="X155" s="282"/>
      <c r="Y155" s="282"/>
      <c r="Z155" s="282"/>
      <c r="AA155" s="282"/>
      <c r="AB155" s="282"/>
      <c r="AC155" s="282"/>
      <c r="AD155" s="282"/>
      <c r="AE155" s="282"/>
      <c r="AF155" s="282"/>
      <c r="AG155" s="282"/>
      <c r="AH155" s="282"/>
      <c r="AI155" s="282"/>
      <c r="AJ155" s="282"/>
      <c r="AK155" s="282"/>
      <c r="AL155" s="282"/>
      <c r="AM155" s="282"/>
      <c r="AN155" s="282"/>
      <c r="AO155" s="282"/>
      <c r="AP155" s="282"/>
      <c r="AQ155" s="282"/>
      <c r="AR155" s="282"/>
      <c r="AS155" s="282"/>
      <c r="AT155" s="282"/>
      <c r="AU155" s="282"/>
      <c r="AV155" s="282"/>
      <c r="AW155" s="282"/>
      <c r="AX155" s="282"/>
      <c r="AY155" s="282"/>
      <c r="AZ155" s="282"/>
      <c r="BA155" s="282"/>
      <c r="BB155" s="282"/>
      <c r="BC155" s="282"/>
      <c r="BD155" s="282"/>
      <c r="BE155" s="282"/>
      <c r="BF155" s="282"/>
      <c r="BG155" s="282"/>
      <c r="BH155" s="282"/>
      <c r="BI155" s="282"/>
      <c r="BJ155" s="278"/>
      <c r="BK155" s="278"/>
      <c r="BL155" s="278"/>
      <c r="BM155" s="278"/>
      <c r="BN155" s="278"/>
      <c r="BO155" s="278"/>
      <c r="BP155" s="278"/>
      <c r="BQ155" s="278"/>
      <c r="BR155" s="278"/>
      <c r="BS155" s="278"/>
      <c r="BT155" s="278"/>
      <c r="BU155" s="278"/>
      <c r="BV155" s="278"/>
      <c r="BW155" s="278"/>
      <c r="BX155" s="278"/>
      <c r="BY155" s="278"/>
      <c r="BZ155" s="278"/>
      <c r="CA155" s="278"/>
      <c r="CB155" s="278"/>
      <c r="CC155" s="278"/>
      <c r="CD155" s="278"/>
      <c r="CE155" s="278"/>
      <c r="CF155" s="278"/>
      <c r="CG155" s="278"/>
      <c r="CH155" s="278"/>
      <c r="CI155" s="278"/>
      <c r="CJ155" s="278"/>
      <c r="CK155" s="278"/>
      <c r="CL155" s="278"/>
      <c r="CM155" s="278"/>
      <c r="CN155" s="278"/>
      <c r="CO155" s="278"/>
      <c r="CP155" s="278"/>
      <c r="CQ155" s="278"/>
      <c r="CR155" s="278"/>
      <c r="CS155" s="278"/>
      <c r="CT155" s="278"/>
      <c r="CU155" s="278"/>
      <c r="CV155" s="278"/>
      <c r="CW155" s="278"/>
      <c r="CX155" s="278"/>
      <c r="CY155" s="278"/>
      <c r="CZ155" s="278"/>
      <c r="DA155" s="278"/>
      <c r="DB155" s="278"/>
      <c r="DC155" s="278"/>
      <c r="DD155" s="278"/>
      <c r="DE155" s="278"/>
      <c r="DF155" s="278"/>
      <c r="DG155" s="278"/>
      <c r="DH155" s="278"/>
      <c r="DI155" s="278"/>
      <c r="DJ155" s="278"/>
      <c r="DK155" s="278"/>
      <c r="DL155" s="278"/>
    </row>
    <row r="156" spans="1:122" ht="15.75" customHeight="1" x14ac:dyDescent="0.25">
      <c r="A156" s="466"/>
      <c r="B156" s="466"/>
      <c r="C156" s="467"/>
      <c r="D156" s="279"/>
      <c r="E156" s="280"/>
      <c r="F156" s="279"/>
      <c r="G156" s="279"/>
      <c r="H156" s="409"/>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c r="AF156" s="282"/>
      <c r="AG156" s="282"/>
      <c r="AH156" s="282"/>
      <c r="AI156" s="282"/>
      <c r="AJ156" s="282"/>
      <c r="AK156" s="282"/>
      <c r="AL156" s="282"/>
      <c r="AM156" s="282"/>
      <c r="AN156" s="282"/>
      <c r="AO156" s="282"/>
      <c r="AP156" s="282"/>
      <c r="AQ156" s="282"/>
      <c r="AR156" s="282"/>
      <c r="AS156" s="282"/>
      <c r="AT156" s="282"/>
      <c r="AU156" s="282"/>
      <c r="AV156" s="282"/>
      <c r="AW156" s="282"/>
      <c r="AX156" s="282"/>
      <c r="AY156" s="282"/>
      <c r="AZ156" s="282"/>
      <c r="BA156" s="282"/>
      <c r="BB156" s="282"/>
      <c r="BC156" s="282"/>
      <c r="BD156" s="282"/>
      <c r="BE156" s="282"/>
      <c r="BF156" s="282"/>
      <c r="BG156" s="282"/>
      <c r="BH156" s="282"/>
      <c r="BI156" s="282"/>
      <c r="BJ156" s="278"/>
      <c r="BK156" s="278"/>
      <c r="BL156" s="278"/>
      <c r="BM156" s="278"/>
      <c r="BN156" s="278"/>
      <c r="BO156" s="278"/>
      <c r="BP156" s="278"/>
      <c r="BQ156" s="278"/>
      <c r="BR156" s="278"/>
      <c r="BS156" s="278"/>
      <c r="BT156" s="278"/>
      <c r="BU156" s="278"/>
      <c r="BV156" s="278"/>
      <c r="BW156" s="278"/>
      <c r="BX156" s="278"/>
      <c r="BY156" s="278"/>
      <c r="BZ156" s="278"/>
      <c r="CA156" s="278"/>
      <c r="CB156" s="278"/>
      <c r="CC156" s="278"/>
      <c r="CD156" s="278"/>
      <c r="CE156" s="278"/>
      <c r="CF156" s="278"/>
      <c r="CG156" s="278"/>
      <c r="CH156" s="278"/>
      <c r="CI156" s="278"/>
      <c r="CJ156" s="278"/>
      <c r="CK156" s="278"/>
      <c r="CL156" s="278"/>
      <c r="CM156" s="278"/>
      <c r="CN156" s="278"/>
      <c r="CO156" s="278"/>
      <c r="CP156" s="278"/>
      <c r="CQ156" s="278"/>
      <c r="CR156" s="278"/>
      <c r="CS156" s="278"/>
      <c r="CT156" s="278"/>
      <c r="CU156" s="278"/>
      <c r="CV156" s="278"/>
      <c r="CW156" s="278"/>
      <c r="CX156" s="278"/>
      <c r="CY156" s="278"/>
      <c r="CZ156" s="278"/>
      <c r="DA156" s="278"/>
      <c r="DB156" s="278"/>
      <c r="DC156" s="278"/>
      <c r="DD156" s="278"/>
      <c r="DE156" s="278"/>
      <c r="DF156" s="278"/>
      <c r="DG156" s="278"/>
      <c r="DH156" s="278"/>
      <c r="DI156" s="278"/>
      <c r="DJ156" s="278"/>
      <c r="DK156" s="278"/>
      <c r="DL156" s="278"/>
    </row>
    <row r="157" spans="1:122" ht="15.75" customHeight="1" x14ac:dyDescent="0.25">
      <c r="A157" s="466"/>
      <c r="B157" s="466"/>
      <c r="C157" s="467"/>
      <c r="D157" s="279"/>
      <c r="E157" s="280"/>
      <c r="F157" s="279"/>
      <c r="G157" s="279"/>
      <c r="H157" s="409"/>
      <c r="I157" s="282"/>
      <c r="J157" s="282"/>
      <c r="K157" s="282"/>
      <c r="L157" s="282"/>
      <c r="M157" s="282"/>
      <c r="N157" s="282"/>
      <c r="O157" s="282"/>
      <c r="P157" s="282"/>
      <c r="Q157" s="282"/>
      <c r="R157" s="282"/>
      <c r="S157" s="282"/>
      <c r="T157" s="282"/>
      <c r="U157" s="282"/>
      <c r="V157" s="282"/>
      <c r="W157" s="282"/>
      <c r="X157" s="282"/>
      <c r="Y157" s="282"/>
      <c r="Z157" s="282"/>
      <c r="AA157" s="282"/>
      <c r="AB157" s="282"/>
      <c r="AC157" s="282"/>
      <c r="AD157" s="282"/>
      <c r="AE157" s="282"/>
      <c r="AF157" s="282"/>
      <c r="AG157" s="282"/>
      <c r="AH157" s="282"/>
      <c r="AI157" s="282"/>
      <c r="AJ157" s="282"/>
      <c r="AK157" s="282"/>
      <c r="AL157" s="282"/>
      <c r="AM157" s="282"/>
      <c r="AN157" s="282"/>
      <c r="AO157" s="282"/>
      <c r="AP157" s="282"/>
      <c r="AQ157" s="282"/>
      <c r="AR157" s="282"/>
      <c r="AS157" s="282"/>
      <c r="AT157" s="282"/>
      <c r="AU157" s="282"/>
      <c r="AV157" s="282"/>
      <c r="AW157" s="282"/>
      <c r="AX157" s="282"/>
      <c r="AY157" s="282"/>
      <c r="AZ157" s="282"/>
      <c r="BA157" s="282"/>
      <c r="BB157" s="282"/>
      <c r="BC157" s="282"/>
      <c r="BD157" s="282"/>
      <c r="BE157" s="282"/>
      <c r="BF157" s="282"/>
      <c r="BG157" s="282"/>
      <c r="BH157" s="282"/>
      <c r="BI157" s="282"/>
      <c r="BJ157" s="278"/>
      <c r="BK157" s="278"/>
      <c r="BL157" s="278"/>
      <c r="BM157" s="278"/>
      <c r="BN157" s="278"/>
      <c r="BO157" s="278"/>
      <c r="BP157" s="278"/>
      <c r="BQ157" s="278"/>
      <c r="BR157" s="278"/>
      <c r="BS157" s="278"/>
      <c r="BT157" s="278"/>
      <c r="BU157" s="278"/>
      <c r="BV157" s="278"/>
      <c r="BW157" s="278"/>
      <c r="BX157" s="278"/>
      <c r="BY157" s="278"/>
      <c r="BZ157" s="278"/>
      <c r="CA157" s="278"/>
      <c r="CB157" s="278"/>
      <c r="CC157" s="278"/>
      <c r="CD157" s="278"/>
      <c r="CE157" s="278"/>
      <c r="CF157" s="278"/>
      <c r="CG157" s="278"/>
      <c r="CH157" s="278"/>
      <c r="CI157" s="278"/>
      <c r="CJ157" s="278"/>
      <c r="CK157" s="278"/>
      <c r="CL157" s="278"/>
      <c r="CM157" s="278"/>
      <c r="CN157" s="278"/>
      <c r="CO157" s="278"/>
      <c r="CP157" s="278"/>
      <c r="CQ157" s="278"/>
      <c r="CR157" s="278"/>
      <c r="CS157" s="278"/>
      <c r="CT157" s="278"/>
      <c r="CU157" s="278"/>
      <c r="CV157" s="278"/>
      <c r="CW157" s="278"/>
      <c r="CX157" s="278"/>
      <c r="CY157" s="278"/>
      <c r="CZ157" s="278"/>
      <c r="DA157" s="278"/>
      <c r="DB157" s="278"/>
      <c r="DC157" s="278"/>
      <c r="DD157" s="278"/>
      <c r="DE157" s="278"/>
      <c r="DF157" s="278"/>
      <c r="DG157" s="278"/>
      <c r="DH157" s="278"/>
      <c r="DI157" s="278"/>
      <c r="DJ157" s="278"/>
      <c r="DK157" s="278"/>
      <c r="DL157" s="278"/>
    </row>
    <row r="158" spans="1:122" ht="15.75" customHeight="1" x14ac:dyDescent="0.25">
      <c r="A158" s="466"/>
      <c r="B158" s="466"/>
      <c r="C158" s="467"/>
      <c r="D158" s="279"/>
      <c r="E158" s="280"/>
      <c r="F158" s="279"/>
      <c r="G158" s="279"/>
      <c r="H158" s="409"/>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282"/>
      <c r="AF158" s="282"/>
      <c r="AG158" s="282"/>
      <c r="AH158" s="282"/>
      <c r="AI158" s="282"/>
      <c r="AJ158" s="282"/>
      <c r="AK158" s="282"/>
      <c r="AL158" s="282"/>
      <c r="AM158" s="282"/>
      <c r="AN158" s="282"/>
      <c r="AO158" s="282"/>
      <c r="AP158" s="282"/>
      <c r="AQ158" s="282"/>
      <c r="AR158" s="282"/>
      <c r="AS158" s="282"/>
      <c r="AT158" s="282"/>
      <c r="AU158" s="282"/>
      <c r="AV158" s="282"/>
      <c r="AW158" s="282"/>
      <c r="AX158" s="282"/>
      <c r="AY158" s="282"/>
      <c r="AZ158" s="282"/>
      <c r="BA158" s="282"/>
      <c r="BB158" s="282"/>
      <c r="BC158" s="282"/>
      <c r="BD158" s="282"/>
      <c r="BE158" s="282"/>
      <c r="BF158" s="282"/>
      <c r="BG158" s="282"/>
      <c r="BH158" s="282"/>
      <c r="BI158" s="282"/>
      <c r="BJ158" s="278"/>
      <c r="BK158" s="278"/>
      <c r="BL158" s="278"/>
      <c r="BM158" s="278"/>
      <c r="BN158" s="278"/>
      <c r="BO158" s="278"/>
      <c r="BP158" s="278"/>
      <c r="BQ158" s="278"/>
      <c r="BR158" s="278"/>
      <c r="BS158" s="278"/>
      <c r="BT158" s="278"/>
      <c r="BU158" s="278"/>
      <c r="BV158" s="278"/>
      <c r="BW158" s="278"/>
      <c r="BX158" s="278"/>
      <c r="BY158" s="278"/>
      <c r="BZ158" s="278"/>
      <c r="CA158" s="278"/>
      <c r="CB158" s="278"/>
      <c r="CC158" s="278"/>
      <c r="CD158" s="278"/>
      <c r="CE158" s="278"/>
      <c r="CF158" s="278"/>
      <c r="CG158" s="278"/>
      <c r="CH158" s="278"/>
      <c r="CI158" s="278"/>
      <c r="CJ158" s="278"/>
      <c r="CK158" s="278"/>
      <c r="CL158" s="278"/>
      <c r="CM158" s="278"/>
      <c r="CN158" s="278"/>
      <c r="CO158" s="278"/>
      <c r="CP158" s="278"/>
      <c r="CQ158" s="278"/>
      <c r="CR158" s="278"/>
      <c r="CS158" s="278"/>
      <c r="CT158" s="278"/>
      <c r="CU158" s="278"/>
      <c r="CV158" s="278"/>
      <c r="CW158" s="278"/>
      <c r="CX158" s="278"/>
      <c r="CY158" s="278"/>
      <c r="CZ158" s="278"/>
      <c r="DA158" s="278"/>
      <c r="DB158" s="278"/>
      <c r="DC158" s="278"/>
      <c r="DD158" s="278"/>
      <c r="DE158" s="278"/>
      <c r="DF158" s="278"/>
      <c r="DG158" s="278"/>
      <c r="DH158" s="278"/>
      <c r="DI158" s="278"/>
      <c r="DJ158" s="278"/>
      <c r="DK158" s="278"/>
      <c r="DL158" s="278"/>
    </row>
    <row r="159" spans="1:122" ht="15.75" customHeight="1" x14ac:dyDescent="0.25">
      <c r="A159" s="466"/>
      <c r="B159" s="466"/>
      <c r="C159" s="467"/>
      <c r="D159" s="279"/>
      <c r="E159" s="280"/>
      <c r="F159" s="279"/>
      <c r="G159" s="279"/>
      <c r="H159" s="409"/>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282"/>
      <c r="AF159" s="282"/>
      <c r="AG159" s="282"/>
      <c r="AH159" s="282"/>
      <c r="AI159" s="282"/>
      <c r="AJ159" s="282"/>
      <c r="AK159" s="282"/>
      <c r="AL159" s="282"/>
      <c r="AM159" s="282"/>
      <c r="AN159" s="282"/>
      <c r="AO159" s="282"/>
      <c r="AP159" s="282"/>
      <c r="AQ159" s="282"/>
      <c r="AR159" s="282"/>
      <c r="AS159" s="282"/>
      <c r="AT159" s="282"/>
      <c r="AU159" s="282"/>
      <c r="AV159" s="282"/>
      <c r="AW159" s="282"/>
      <c r="AX159" s="282"/>
      <c r="AY159" s="282"/>
      <c r="AZ159" s="282"/>
      <c r="BA159" s="282"/>
      <c r="BB159" s="282"/>
      <c r="BC159" s="282"/>
      <c r="BD159" s="282"/>
      <c r="BE159" s="282"/>
      <c r="BF159" s="282"/>
      <c r="BG159" s="282"/>
      <c r="BH159" s="282"/>
      <c r="BI159" s="282"/>
      <c r="BJ159" s="278"/>
      <c r="BK159" s="278"/>
      <c r="BL159" s="278"/>
      <c r="BM159" s="278"/>
      <c r="BN159" s="278"/>
      <c r="BO159" s="278"/>
      <c r="BP159" s="278"/>
      <c r="BQ159" s="278"/>
      <c r="BR159" s="278"/>
      <c r="BS159" s="278"/>
      <c r="BT159" s="278"/>
      <c r="BU159" s="278"/>
      <c r="BV159" s="278"/>
      <c r="BW159" s="278"/>
      <c r="BX159" s="278"/>
      <c r="BY159" s="278"/>
      <c r="BZ159" s="278"/>
      <c r="CA159" s="278"/>
      <c r="CB159" s="278"/>
      <c r="CC159" s="278"/>
      <c r="CD159" s="278"/>
      <c r="CE159" s="278"/>
      <c r="CF159" s="278"/>
      <c r="CG159" s="278"/>
      <c r="CH159" s="278"/>
      <c r="CI159" s="278"/>
      <c r="CJ159" s="278"/>
      <c r="CK159" s="278"/>
      <c r="CL159" s="278"/>
      <c r="CM159" s="278"/>
      <c r="CN159" s="278"/>
      <c r="CO159" s="278"/>
      <c r="CP159" s="278"/>
      <c r="CQ159" s="278"/>
      <c r="CR159" s="278"/>
      <c r="CS159" s="278"/>
      <c r="CT159" s="278"/>
      <c r="CU159" s="278"/>
      <c r="CV159" s="278"/>
      <c r="CW159" s="278"/>
      <c r="CX159" s="278"/>
      <c r="CY159" s="278"/>
      <c r="CZ159" s="278"/>
      <c r="DA159" s="278"/>
      <c r="DB159" s="278"/>
      <c r="DC159" s="278"/>
      <c r="DD159" s="278"/>
      <c r="DE159" s="278"/>
      <c r="DF159" s="278"/>
      <c r="DG159" s="278"/>
      <c r="DH159" s="278"/>
      <c r="DI159" s="278"/>
      <c r="DJ159" s="278"/>
      <c r="DK159" s="278"/>
      <c r="DL159" s="278"/>
    </row>
    <row r="160" spans="1:122" ht="15.75" customHeight="1" x14ac:dyDescent="0.25">
      <c r="A160" s="466"/>
      <c r="B160" s="466"/>
      <c r="C160" s="467"/>
      <c r="D160" s="279"/>
      <c r="E160" s="280"/>
      <c r="F160" s="279"/>
      <c r="G160" s="279"/>
      <c r="H160" s="409"/>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c r="AI160" s="282"/>
      <c r="AJ160" s="282"/>
      <c r="AK160" s="282"/>
      <c r="AL160" s="282"/>
      <c r="AM160" s="282"/>
      <c r="AN160" s="282"/>
      <c r="AO160" s="282"/>
      <c r="AP160" s="282"/>
      <c r="AQ160" s="282"/>
      <c r="AR160" s="282"/>
      <c r="AS160" s="282"/>
      <c r="AT160" s="282"/>
      <c r="AU160" s="282"/>
      <c r="AV160" s="282"/>
      <c r="AW160" s="282"/>
      <c r="AX160" s="282"/>
      <c r="AY160" s="282"/>
      <c r="AZ160" s="282"/>
      <c r="BA160" s="282"/>
      <c r="BB160" s="282"/>
      <c r="BC160" s="282"/>
      <c r="BD160" s="282"/>
      <c r="BE160" s="282"/>
      <c r="BF160" s="282"/>
      <c r="BG160" s="282"/>
      <c r="BH160" s="282"/>
      <c r="BI160" s="282"/>
      <c r="BJ160" s="278"/>
      <c r="BK160" s="278"/>
      <c r="BL160" s="278"/>
      <c r="BM160" s="278"/>
      <c r="BN160" s="278"/>
      <c r="BO160" s="278"/>
      <c r="BP160" s="278"/>
      <c r="BQ160" s="278"/>
      <c r="BR160" s="278"/>
      <c r="BS160" s="278"/>
      <c r="BT160" s="278"/>
      <c r="BU160" s="278"/>
      <c r="BV160" s="278"/>
      <c r="BW160" s="278"/>
      <c r="BX160" s="278"/>
      <c r="BY160" s="278"/>
      <c r="BZ160" s="278"/>
      <c r="CA160" s="278"/>
      <c r="CB160" s="278"/>
      <c r="CC160" s="278"/>
      <c r="CD160" s="278"/>
      <c r="CE160" s="278"/>
      <c r="CF160" s="278"/>
      <c r="CG160" s="278"/>
      <c r="CH160" s="278"/>
      <c r="CI160" s="278"/>
      <c r="CJ160" s="278"/>
      <c r="CK160" s="278"/>
      <c r="CL160" s="278"/>
      <c r="CM160" s="278"/>
      <c r="CN160" s="278"/>
      <c r="CO160" s="278"/>
      <c r="CP160" s="278"/>
      <c r="CQ160" s="278"/>
      <c r="CR160" s="278"/>
      <c r="CS160" s="278"/>
      <c r="CT160" s="278"/>
      <c r="CU160" s="278"/>
      <c r="CV160" s="278"/>
      <c r="CW160" s="278"/>
      <c r="CX160" s="278"/>
      <c r="CY160" s="278"/>
      <c r="CZ160" s="278"/>
      <c r="DA160" s="278"/>
      <c r="DB160" s="278"/>
      <c r="DC160" s="278"/>
      <c r="DD160" s="278"/>
      <c r="DE160" s="278"/>
      <c r="DF160" s="278"/>
      <c r="DG160" s="278"/>
      <c r="DH160" s="278"/>
      <c r="DI160" s="278"/>
      <c r="DJ160" s="278"/>
      <c r="DK160" s="278"/>
      <c r="DL160" s="278"/>
    </row>
    <row r="161" spans="1:116" ht="15.75" customHeight="1" x14ac:dyDescent="0.25">
      <c r="A161" s="466"/>
      <c r="B161" s="466"/>
      <c r="C161" s="467"/>
      <c r="D161" s="279"/>
      <c r="E161" s="280"/>
      <c r="F161" s="279"/>
      <c r="G161" s="279"/>
      <c r="H161" s="409"/>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c r="AL161" s="282"/>
      <c r="AM161" s="282"/>
      <c r="AN161" s="282"/>
      <c r="AO161" s="282"/>
      <c r="AP161" s="282"/>
      <c r="AQ161" s="282"/>
      <c r="AR161" s="282"/>
      <c r="AS161" s="282"/>
      <c r="AT161" s="282"/>
      <c r="AU161" s="282"/>
      <c r="AV161" s="282"/>
      <c r="AW161" s="282"/>
      <c r="AX161" s="282"/>
      <c r="AY161" s="282"/>
      <c r="AZ161" s="282"/>
      <c r="BA161" s="282"/>
      <c r="BB161" s="282"/>
      <c r="BC161" s="282"/>
      <c r="BD161" s="282"/>
      <c r="BE161" s="282"/>
      <c r="BF161" s="282"/>
      <c r="BG161" s="282"/>
      <c r="BH161" s="282"/>
      <c r="BI161" s="282"/>
      <c r="BJ161" s="278"/>
      <c r="BK161" s="278"/>
      <c r="BL161" s="278"/>
      <c r="BM161" s="278"/>
      <c r="BN161" s="278"/>
      <c r="BO161" s="278"/>
      <c r="BP161" s="278"/>
      <c r="BQ161" s="278"/>
      <c r="BR161" s="278"/>
      <c r="BS161" s="278"/>
      <c r="BT161" s="278"/>
      <c r="BU161" s="278"/>
      <c r="BV161" s="278"/>
      <c r="BW161" s="278"/>
      <c r="BX161" s="278"/>
      <c r="BY161" s="278"/>
      <c r="BZ161" s="278"/>
      <c r="CA161" s="278"/>
      <c r="CB161" s="278"/>
      <c r="CC161" s="278"/>
      <c r="CD161" s="278"/>
      <c r="CE161" s="278"/>
      <c r="CF161" s="278"/>
      <c r="CG161" s="278"/>
      <c r="CH161" s="278"/>
      <c r="CI161" s="278"/>
      <c r="CJ161" s="278"/>
      <c r="CK161" s="278"/>
      <c r="CL161" s="278"/>
      <c r="CM161" s="278"/>
      <c r="CN161" s="278"/>
      <c r="CO161" s="278"/>
      <c r="CP161" s="278"/>
      <c r="CQ161" s="278"/>
      <c r="CR161" s="278"/>
      <c r="CS161" s="278"/>
      <c r="CT161" s="278"/>
      <c r="CU161" s="278"/>
      <c r="CV161" s="278"/>
      <c r="CW161" s="278"/>
      <c r="CX161" s="278"/>
      <c r="CY161" s="278"/>
      <c r="CZ161" s="278"/>
      <c r="DA161" s="278"/>
      <c r="DB161" s="278"/>
      <c r="DC161" s="278"/>
      <c r="DD161" s="278"/>
      <c r="DE161" s="278"/>
      <c r="DF161" s="278"/>
      <c r="DG161" s="278"/>
      <c r="DH161" s="278"/>
      <c r="DI161" s="278"/>
      <c r="DJ161" s="278"/>
      <c r="DK161" s="278"/>
      <c r="DL161" s="278"/>
    </row>
    <row r="162" spans="1:116" ht="15.75" customHeight="1" x14ac:dyDescent="0.25">
      <c r="A162" s="466"/>
      <c r="B162" s="466"/>
      <c r="C162" s="467"/>
      <c r="D162" s="279"/>
      <c r="E162" s="280"/>
      <c r="F162" s="279"/>
      <c r="G162" s="279"/>
      <c r="H162" s="409"/>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c r="AL162" s="282"/>
      <c r="AM162" s="282"/>
      <c r="AN162" s="282"/>
      <c r="AO162" s="282"/>
      <c r="AP162" s="282"/>
      <c r="AQ162" s="282"/>
      <c r="AR162" s="282"/>
      <c r="AS162" s="282"/>
      <c r="AT162" s="282"/>
      <c r="AU162" s="282"/>
      <c r="AV162" s="282"/>
      <c r="AW162" s="282"/>
      <c r="AX162" s="282"/>
      <c r="AY162" s="282"/>
      <c r="AZ162" s="282"/>
      <c r="BA162" s="282"/>
      <c r="BB162" s="282"/>
      <c r="BC162" s="282"/>
      <c r="BD162" s="282"/>
      <c r="BE162" s="282"/>
      <c r="BF162" s="282"/>
      <c r="BG162" s="282"/>
      <c r="BH162" s="282"/>
      <c r="BI162" s="282"/>
      <c r="BJ162" s="278"/>
      <c r="BK162" s="278"/>
      <c r="BL162" s="278"/>
      <c r="BM162" s="278"/>
      <c r="BN162" s="278"/>
      <c r="BO162" s="278"/>
      <c r="BP162" s="278"/>
      <c r="BQ162" s="278"/>
      <c r="BR162" s="278"/>
      <c r="BS162" s="278"/>
      <c r="BT162" s="278"/>
      <c r="BU162" s="278"/>
      <c r="BV162" s="278"/>
      <c r="BW162" s="278"/>
      <c r="BX162" s="278"/>
      <c r="BY162" s="278"/>
      <c r="BZ162" s="278"/>
      <c r="CA162" s="278"/>
      <c r="CB162" s="278"/>
      <c r="CC162" s="278"/>
      <c r="CD162" s="278"/>
      <c r="CE162" s="278"/>
      <c r="CF162" s="278"/>
      <c r="CG162" s="278"/>
      <c r="CH162" s="278"/>
      <c r="CI162" s="278"/>
      <c r="CJ162" s="278"/>
      <c r="CK162" s="278"/>
      <c r="CL162" s="278"/>
      <c r="CM162" s="278"/>
      <c r="CN162" s="278"/>
      <c r="CO162" s="278"/>
      <c r="CP162" s="278"/>
      <c r="CQ162" s="278"/>
      <c r="CR162" s="278"/>
      <c r="CS162" s="278"/>
      <c r="CT162" s="278"/>
      <c r="CU162" s="278"/>
      <c r="CV162" s="278"/>
      <c r="CW162" s="278"/>
      <c r="CX162" s="278"/>
      <c r="CY162" s="278"/>
      <c r="CZ162" s="278"/>
      <c r="DA162" s="278"/>
      <c r="DB162" s="278"/>
      <c r="DC162" s="278"/>
      <c r="DD162" s="278"/>
      <c r="DE162" s="278"/>
      <c r="DF162" s="278"/>
      <c r="DG162" s="278"/>
      <c r="DH162" s="278"/>
      <c r="DI162" s="278"/>
      <c r="DJ162" s="278"/>
      <c r="DK162" s="278"/>
      <c r="DL162" s="278"/>
    </row>
    <row r="163" spans="1:116" ht="15.75" customHeight="1" x14ac:dyDescent="0.25">
      <c r="A163" s="466"/>
      <c r="B163" s="466"/>
      <c r="C163" s="467"/>
      <c r="D163" s="279"/>
      <c r="E163" s="280"/>
      <c r="F163" s="279"/>
      <c r="G163" s="279"/>
      <c r="H163" s="409"/>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282"/>
      <c r="AE163" s="282"/>
      <c r="AF163" s="282"/>
      <c r="AG163" s="282"/>
      <c r="AH163" s="282"/>
      <c r="AI163" s="282"/>
      <c r="AJ163" s="282"/>
      <c r="AK163" s="282"/>
      <c r="AL163" s="282"/>
      <c r="AM163" s="282"/>
      <c r="AN163" s="282"/>
      <c r="AO163" s="282"/>
      <c r="AP163" s="282"/>
      <c r="AQ163" s="282"/>
      <c r="AR163" s="282"/>
      <c r="AS163" s="282"/>
      <c r="AT163" s="282"/>
      <c r="AU163" s="282"/>
      <c r="AV163" s="282"/>
      <c r="AW163" s="282"/>
      <c r="AX163" s="282"/>
      <c r="AY163" s="282"/>
      <c r="AZ163" s="282"/>
      <c r="BA163" s="282"/>
      <c r="BB163" s="282"/>
      <c r="BC163" s="282"/>
      <c r="BD163" s="282"/>
      <c r="BE163" s="282"/>
      <c r="BF163" s="282"/>
      <c r="BG163" s="282"/>
      <c r="BH163" s="282"/>
      <c r="BI163" s="282"/>
      <c r="BJ163" s="278"/>
      <c r="BK163" s="278"/>
      <c r="BL163" s="278"/>
      <c r="BM163" s="278"/>
      <c r="BN163" s="278"/>
      <c r="BO163" s="278"/>
      <c r="BP163" s="278"/>
      <c r="BQ163" s="278"/>
      <c r="BR163" s="278"/>
      <c r="BS163" s="278"/>
      <c r="BT163" s="278"/>
      <c r="BU163" s="278"/>
      <c r="BV163" s="278"/>
      <c r="BW163" s="278"/>
      <c r="BX163" s="278"/>
      <c r="BY163" s="278"/>
      <c r="BZ163" s="278"/>
      <c r="CA163" s="278"/>
      <c r="CB163" s="278"/>
      <c r="CC163" s="278"/>
      <c r="CD163" s="278"/>
      <c r="CE163" s="278"/>
      <c r="CF163" s="278"/>
      <c r="CG163" s="278"/>
      <c r="CH163" s="278"/>
      <c r="CI163" s="278"/>
      <c r="CJ163" s="278"/>
      <c r="CK163" s="278"/>
      <c r="CL163" s="278"/>
      <c r="CM163" s="278"/>
      <c r="CN163" s="278"/>
      <c r="CO163" s="278"/>
      <c r="CP163" s="278"/>
      <c r="CQ163" s="278"/>
      <c r="CR163" s="278"/>
      <c r="CS163" s="278"/>
      <c r="CT163" s="278"/>
      <c r="CU163" s="278"/>
      <c r="CV163" s="278"/>
      <c r="CW163" s="278"/>
      <c r="CX163" s="278"/>
      <c r="CY163" s="278"/>
      <c r="CZ163" s="278"/>
      <c r="DA163" s="278"/>
      <c r="DB163" s="278"/>
      <c r="DC163" s="278"/>
      <c r="DD163" s="278"/>
      <c r="DE163" s="278"/>
      <c r="DF163" s="278"/>
      <c r="DG163" s="278"/>
      <c r="DH163" s="278"/>
      <c r="DI163" s="278"/>
      <c r="DJ163" s="278"/>
      <c r="DK163" s="278"/>
      <c r="DL163" s="278"/>
    </row>
    <row r="164" spans="1:116" ht="15.75" customHeight="1" x14ac:dyDescent="0.25">
      <c r="A164" s="466"/>
      <c r="B164" s="466"/>
      <c r="C164" s="467"/>
      <c r="D164" s="279"/>
      <c r="E164" s="280"/>
      <c r="F164" s="279"/>
      <c r="G164" s="279"/>
      <c r="H164" s="409"/>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282"/>
      <c r="AE164" s="282"/>
      <c r="AF164" s="282"/>
      <c r="AG164" s="282"/>
      <c r="AH164" s="282"/>
      <c r="AI164" s="282"/>
      <c r="AJ164" s="282"/>
      <c r="AK164" s="282"/>
      <c r="AL164" s="282"/>
      <c r="AM164" s="282"/>
      <c r="AN164" s="282"/>
      <c r="AO164" s="282"/>
      <c r="AP164" s="282"/>
      <c r="AQ164" s="282"/>
      <c r="AR164" s="282"/>
      <c r="AS164" s="282"/>
      <c r="AT164" s="282"/>
      <c r="AU164" s="282"/>
      <c r="AV164" s="282"/>
      <c r="AW164" s="282"/>
      <c r="AX164" s="282"/>
      <c r="AY164" s="282"/>
      <c r="AZ164" s="282"/>
      <c r="BA164" s="282"/>
      <c r="BB164" s="282"/>
      <c r="BC164" s="282"/>
      <c r="BD164" s="282"/>
      <c r="BE164" s="282"/>
      <c r="BF164" s="282"/>
      <c r="BG164" s="282"/>
      <c r="BH164" s="282"/>
      <c r="BI164" s="282"/>
      <c r="BJ164" s="278"/>
      <c r="BK164" s="278"/>
      <c r="BL164" s="278"/>
      <c r="BM164" s="278"/>
      <c r="BN164" s="278"/>
      <c r="BO164" s="278"/>
      <c r="BP164" s="278"/>
      <c r="BQ164" s="278"/>
      <c r="BR164" s="278"/>
      <c r="BS164" s="278"/>
      <c r="BT164" s="278"/>
      <c r="BU164" s="278"/>
      <c r="BV164" s="278"/>
      <c r="BW164" s="278"/>
      <c r="BX164" s="278"/>
      <c r="BY164" s="278"/>
      <c r="BZ164" s="278"/>
      <c r="CA164" s="278"/>
      <c r="CB164" s="278"/>
      <c r="CC164" s="278"/>
      <c r="CD164" s="278"/>
      <c r="CE164" s="278"/>
      <c r="CF164" s="278"/>
      <c r="CG164" s="278"/>
      <c r="CH164" s="278"/>
      <c r="CI164" s="278"/>
      <c r="CJ164" s="278"/>
      <c r="CK164" s="278"/>
      <c r="CL164" s="278"/>
      <c r="CM164" s="278"/>
      <c r="CN164" s="278"/>
      <c r="CO164" s="278"/>
      <c r="CP164" s="278"/>
      <c r="CQ164" s="278"/>
      <c r="CR164" s="278"/>
      <c r="CS164" s="278"/>
      <c r="CT164" s="278"/>
      <c r="CU164" s="278"/>
      <c r="CV164" s="278"/>
      <c r="CW164" s="278"/>
      <c r="CX164" s="278"/>
      <c r="CY164" s="278"/>
      <c r="CZ164" s="278"/>
      <c r="DA164" s="278"/>
      <c r="DB164" s="278"/>
      <c r="DC164" s="278"/>
      <c r="DD164" s="278"/>
      <c r="DE164" s="278"/>
      <c r="DF164" s="278"/>
      <c r="DG164" s="278"/>
      <c r="DH164" s="278"/>
      <c r="DI164" s="278"/>
      <c r="DJ164" s="278"/>
      <c r="DK164" s="278"/>
      <c r="DL164" s="278"/>
    </row>
    <row r="165" spans="1:116" ht="15.75" customHeight="1" x14ac:dyDescent="0.25">
      <c r="A165" s="466"/>
      <c r="B165" s="466"/>
      <c r="C165" s="467"/>
      <c r="D165" s="279"/>
      <c r="E165" s="280"/>
      <c r="F165" s="279"/>
      <c r="G165" s="279"/>
      <c r="H165" s="409"/>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282"/>
      <c r="AF165" s="282"/>
      <c r="AG165" s="282"/>
      <c r="AH165" s="282"/>
      <c r="AI165" s="282"/>
      <c r="AJ165" s="282"/>
      <c r="AK165" s="282"/>
      <c r="AL165" s="282"/>
      <c r="AM165" s="282"/>
      <c r="AN165" s="282"/>
      <c r="AO165" s="282"/>
      <c r="AP165" s="282"/>
      <c r="AQ165" s="282"/>
      <c r="AR165" s="282"/>
      <c r="AS165" s="282"/>
      <c r="AT165" s="282"/>
      <c r="AU165" s="282"/>
      <c r="AV165" s="282"/>
      <c r="AW165" s="282"/>
      <c r="AX165" s="282"/>
      <c r="AY165" s="282"/>
      <c r="AZ165" s="282"/>
      <c r="BA165" s="282"/>
      <c r="BB165" s="282"/>
      <c r="BC165" s="282"/>
      <c r="BD165" s="282"/>
      <c r="BE165" s="282"/>
      <c r="BF165" s="282"/>
      <c r="BG165" s="282"/>
      <c r="BH165" s="282"/>
      <c r="BI165" s="282"/>
      <c r="BJ165" s="278"/>
      <c r="BK165" s="278"/>
      <c r="BL165" s="278"/>
      <c r="BM165" s="278"/>
      <c r="BN165" s="278"/>
      <c r="BO165" s="278"/>
      <c r="BP165" s="278"/>
      <c r="BQ165" s="278"/>
      <c r="BR165" s="278"/>
      <c r="BS165" s="278"/>
      <c r="BT165" s="278"/>
      <c r="BU165" s="278"/>
      <c r="BV165" s="278"/>
      <c r="BW165" s="278"/>
      <c r="BX165" s="278"/>
      <c r="BY165" s="278"/>
      <c r="BZ165" s="278"/>
      <c r="CA165" s="278"/>
      <c r="CB165" s="278"/>
      <c r="CC165" s="278"/>
      <c r="CD165" s="278"/>
      <c r="CE165" s="278"/>
      <c r="CF165" s="278"/>
      <c r="CG165" s="278"/>
      <c r="CH165" s="278"/>
      <c r="CI165" s="278"/>
      <c r="CJ165" s="278"/>
      <c r="CK165" s="278"/>
      <c r="CL165" s="278"/>
      <c r="CM165" s="278"/>
      <c r="CN165" s="278"/>
      <c r="CO165" s="278"/>
      <c r="CP165" s="278"/>
      <c r="CQ165" s="278"/>
      <c r="CR165" s="278"/>
      <c r="CS165" s="278"/>
      <c r="CT165" s="278"/>
      <c r="CU165" s="278"/>
      <c r="CV165" s="278"/>
      <c r="CW165" s="278"/>
      <c r="CX165" s="278"/>
      <c r="CY165" s="278"/>
      <c r="CZ165" s="278"/>
      <c r="DA165" s="278"/>
      <c r="DB165" s="278"/>
      <c r="DC165" s="278"/>
      <c r="DD165" s="278"/>
      <c r="DE165" s="278"/>
      <c r="DF165" s="278"/>
      <c r="DG165" s="278"/>
      <c r="DH165" s="278"/>
      <c r="DI165" s="278"/>
      <c r="DJ165" s="278"/>
      <c r="DK165" s="278"/>
      <c r="DL165" s="278"/>
    </row>
    <row r="166" spans="1:116" ht="15.75" customHeight="1" x14ac:dyDescent="0.25">
      <c r="A166" s="466"/>
      <c r="B166" s="466"/>
      <c r="C166" s="467"/>
      <c r="D166" s="279"/>
      <c r="E166" s="280"/>
      <c r="F166" s="279"/>
      <c r="G166" s="279"/>
      <c r="H166" s="409"/>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282"/>
      <c r="AE166" s="282"/>
      <c r="AF166" s="282"/>
      <c r="AG166" s="282"/>
      <c r="AH166" s="282"/>
      <c r="AI166" s="282"/>
      <c r="AJ166" s="282"/>
      <c r="AK166" s="282"/>
      <c r="AL166" s="282"/>
      <c r="AM166" s="282"/>
      <c r="AN166" s="282"/>
      <c r="AO166" s="282"/>
      <c r="AP166" s="282"/>
      <c r="AQ166" s="282"/>
      <c r="AR166" s="282"/>
      <c r="AS166" s="282"/>
      <c r="AT166" s="282"/>
      <c r="AU166" s="282"/>
      <c r="AV166" s="282"/>
      <c r="AW166" s="282"/>
      <c r="AX166" s="282"/>
      <c r="AY166" s="282"/>
      <c r="AZ166" s="282"/>
      <c r="BA166" s="282"/>
      <c r="BB166" s="282"/>
      <c r="BC166" s="282"/>
      <c r="BD166" s="282"/>
      <c r="BE166" s="282"/>
      <c r="BF166" s="282"/>
      <c r="BG166" s="282"/>
      <c r="BH166" s="282"/>
      <c r="BI166" s="282"/>
      <c r="BJ166" s="278"/>
      <c r="BK166" s="278"/>
      <c r="BL166" s="278"/>
      <c r="BM166" s="278"/>
      <c r="BN166" s="278"/>
      <c r="BO166" s="278"/>
      <c r="BP166" s="278"/>
      <c r="BQ166" s="278"/>
      <c r="BR166" s="278"/>
      <c r="BS166" s="278"/>
      <c r="BT166" s="278"/>
      <c r="BU166" s="278"/>
      <c r="BV166" s="278"/>
      <c r="BW166" s="278"/>
      <c r="BX166" s="278"/>
      <c r="BY166" s="278"/>
      <c r="BZ166" s="278"/>
      <c r="CA166" s="278"/>
      <c r="CB166" s="278"/>
      <c r="CC166" s="278"/>
      <c r="CD166" s="278"/>
      <c r="CE166" s="278"/>
      <c r="CF166" s="278"/>
      <c r="CG166" s="278"/>
      <c r="CH166" s="278"/>
      <c r="CI166" s="278"/>
      <c r="CJ166" s="278"/>
      <c r="CK166" s="278"/>
      <c r="CL166" s="278"/>
      <c r="CM166" s="278"/>
      <c r="CN166" s="278"/>
      <c r="CO166" s="278"/>
      <c r="CP166" s="278"/>
      <c r="CQ166" s="278"/>
      <c r="CR166" s="278"/>
      <c r="CS166" s="278"/>
      <c r="CT166" s="278"/>
      <c r="CU166" s="278"/>
      <c r="CV166" s="278"/>
      <c r="CW166" s="278"/>
      <c r="CX166" s="278"/>
      <c r="CY166" s="278"/>
      <c r="CZ166" s="278"/>
      <c r="DA166" s="278"/>
      <c r="DB166" s="278"/>
      <c r="DC166" s="278"/>
      <c r="DD166" s="278"/>
      <c r="DE166" s="278"/>
      <c r="DF166" s="278"/>
      <c r="DG166" s="278"/>
      <c r="DH166" s="278"/>
      <c r="DI166" s="278"/>
      <c r="DJ166" s="278"/>
      <c r="DK166" s="278"/>
      <c r="DL166" s="278"/>
    </row>
    <row r="167" spans="1:116" ht="15.75" customHeight="1" x14ac:dyDescent="0.25">
      <c r="A167" s="466"/>
      <c r="B167" s="466"/>
      <c r="C167" s="467"/>
      <c r="D167" s="279"/>
      <c r="E167" s="280"/>
      <c r="F167" s="279"/>
      <c r="G167" s="279"/>
      <c r="H167" s="409"/>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282"/>
      <c r="AE167" s="282"/>
      <c r="AF167" s="282"/>
      <c r="AG167" s="282"/>
      <c r="AH167" s="282"/>
      <c r="AI167" s="282"/>
      <c r="AJ167" s="282"/>
      <c r="AK167" s="282"/>
      <c r="AL167" s="282"/>
      <c r="AM167" s="282"/>
      <c r="AN167" s="282"/>
      <c r="AO167" s="282"/>
      <c r="AP167" s="282"/>
      <c r="AQ167" s="282"/>
      <c r="AR167" s="282"/>
      <c r="AS167" s="282"/>
      <c r="AT167" s="282"/>
      <c r="AU167" s="282"/>
      <c r="AV167" s="282"/>
      <c r="AW167" s="282"/>
      <c r="AX167" s="282"/>
      <c r="AY167" s="282"/>
      <c r="AZ167" s="282"/>
      <c r="BA167" s="282"/>
      <c r="BB167" s="282"/>
      <c r="BC167" s="282"/>
      <c r="BD167" s="282"/>
      <c r="BE167" s="282"/>
      <c r="BF167" s="282"/>
      <c r="BG167" s="282"/>
      <c r="BH167" s="282"/>
      <c r="BI167" s="282"/>
      <c r="BJ167" s="278"/>
      <c r="BK167" s="278"/>
      <c r="BL167" s="278"/>
      <c r="BM167" s="278"/>
      <c r="BN167" s="278"/>
      <c r="BO167" s="278"/>
      <c r="BP167" s="278"/>
      <c r="BQ167" s="278"/>
      <c r="BR167" s="278"/>
      <c r="BS167" s="278"/>
      <c r="BT167" s="278"/>
      <c r="BU167" s="278"/>
      <c r="BV167" s="278"/>
      <c r="BW167" s="278"/>
      <c r="BX167" s="278"/>
      <c r="BY167" s="278"/>
      <c r="BZ167" s="278"/>
      <c r="CA167" s="278"/>
      <c r="CB167" s="278"/>
      <c r="CC167" s="278"/>
      <c r="CD167" s="278"/>
      <c r="CE167" s="278"/>
      <c r="CF167" s="278"/>
      <c r="CG167" s="278"/>
      <c r="CH167" s="278"/>
      <c r="CI167" s="278"/>
      <c r="CJ167" s="278"/>
      <c r="CK167" s="278"/>
      <c r="CL167" s="278"/>
      <c r="CM167" s="278"/>
      <c r="CN167" s="278"/>
      <c r="CO167" s="278"/>
      <c r="CP167" s="278"/>
      <c r="CQ167" s="278"/>
      <c r="CR167" s="278"/>
      <c r="CS167" s="278"/>
      <c r="CT167" s="278"/>
      <c r="CU167" s="278"/>
      <c r="CV167" s="278"/>
      <c r="CW167" s="278"/>
      <c r="CX167" s="278"/>
      <c r="CY167" s="278"/>
      <c r="CZ167" s="278"/>
      <c r="DA167" s="278"/>
      <c r="DB167" s="278"/>
      <c r="DC167" s="278"/>
      <c r="DD167" s="278"/>
      <c r="DE167" s="278"/>
      <c r="DF167" s="278"/>
      <c r="DG167" s="278"/>
      <c r="DH167" s="278"/>
      <c r="DI167" s="278"/>
      <c r="DJ167" s="278"/>
      <c r="DK167" s="278"/>
      <c r="DL167" s="278"/>
    </row>
    <row r="168" spans="1:116" ht="15.75" customHeight="1" x14ac:dyDescent="0.25">
      <c r="A168" s="466"/>
      <c r="B168" s="466"/>
      <c r="C168" s="467"/>
      <c r="D168" s="279"/>
      <c r="E168" s="280"/>
      <c r="F168" s="279"/>
      <c r="G168" s="279"/>
      <c r="H168" s="409"/>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282"/>
      <c r="AE168" s="282"/>
      <c r="AF168" s="282"/>
      <c r="AG168" s="282"/>
      <c r="AH168" s="282"/>
      <c r="AI168" s="282"/>
      <c r="AJ168" s="282"/>
      <c r="AK168" s="282"/>
      <c r="AL168" s="282"/>
      <c r="AM168" s="282"/>
      <c r="AN168" s="282"/>
      <c r="AO168" s="282"/>
      <c r="AP168" s="282"/>
      <c r="AQ168" s="282"/>
      <c r="AR168" s="282"/>
      <c r="AS168" s="282"/>
      <c r="AT168" s="282"/>
      <c r="AU168" s="282"/>
      <c r="AV168" s="282"/>
      <c r="AW168" s="282"/>
      <c r="AX168" s="282"/>
      <c r="AY168" s="282"/>
      <c r="AZ168" s="282"/>
      <c r="BA168" s="282"/>
      <c r="BB168" s="282"/>
      <c r="BC168" s="282"/>
      <c r="BD168" s="282"/>
      <c r="BE168" s="282"/>
      <c r="BF168" s="282"/>
      <c r="BG168" s="282"/>
      <c r="BH168" s="282"/>
      <c r="BI168" s="282"/>
      <c r="BJ168" s="278"/>
      <c r="BK168" s="278"/>
      <c r="BL168" s="278"/>
      <c r="BM168" s="278"/>
      <c r="BN168" s="278"/>
      <c r="BO168" s="278"/>
      <c r="BP168" s="278"/>
      <c r="BQ168" s="278"/>
      <c r="BR168" s="278"/>
      <c r="BS168" s="278"/>
      <c r="BT168" s="278"/>
      <c r="BU168" s="278"/>
      <c r="BV168" s="278"/>
      <c r="BW168" s="278"/>
      <c r="BX168" s="278"/>
      <c r="BY168" s="278"/>
      <c r="BZ168" s="278"/>
      <c r="CA168" s="278"/>
      <c r="CB168" s="278"/>
      <c r="CC168" s="278"/>
      <c r="CD168" s="278"/>
      <c r="CE168" s="278"/>
      <c r="CF168" s="278"/>
      <c r="CG168" s="278"/>
      <c r="CH168" s="278"/>
      <c r="CI168" s="278"/>
      <c r="CJ168" s="278"/>
      <c r="CK168" s="278"/>
      <c r="CL168" s="278"/>
      <c r="CM168" s="278"/>
      <c r="CN168" s="278"/>
      <c r="CO168" s="278"/>
      <c r="CP168" s="278"/>
      <c r="CQ168" s="278"/>
      <c r="CR168" s="278"/>
      <c r="CS168" s="278"/>
      <c r="CT168" s="278"/>
      <c r="CU168" s="278"/>
      <c r="CV168" s="278"/>
      <c r="CW168" s="278"/>
      <c r="CX168" s="278"/>
      <c r="CY168" s="278"/>
      <c r="CZ168" s="278"/>
      <c r="DA168" s="278"/>
      <c r="DB168" s="278"/>
      <c r="DC168" s="278"/>
      <c r="DD168" s="278"/>
      <c r="DE168" s="278"/>
      <c r="DF168" s="278"/>
      <c r="DG168" s="278"/>
      <c r="DH168" s="278"/>
      <c r="DI168" s="278"/>
      <c r="DJ168" s="278"/>
      <c r="DK168" s="278"/>
      <c r="DL168" s="278"/>
    </row>
    <row r="169" spans="1:116" ht="15.75" customHeight="1" x14ac:dyDescent="0.25">
      <c r="A169" s="466"/>
      <c r="B169" s="466"/>
      <c r="C169" s="467"/>
      <c r="D169" s="279"/>
      <c r="E169" s="280"/>
      <c r="F169" s="279"/>
      <c r="G169" s="279"/>
      <c r="H169" s="409"/>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282"/>
      <c r="AE169" s="282"/>
      <c r="AF169" s="282"/>
      <c r="AG169" s="282"/>
      <c r="AH169" s="282"/>
      <c r="AI169" s="282"/>
      <c r="AJ169" s="282"/>
      <c r="AK169" s="282"/>
      <c r="AL169" s="282"/>
      <c r="AM169" s="282"/>
      <c r="AN169" s="282"/>
      <c r="AO169" s="282"/>
      <c r="AP169" s="282"/>
      <c r="AQ169" s="282"/>
      <c r="AR169" s="282"/>
      <c r="AS169" s="282"/>
      <c r="AT169" s="282"/>
      <c r="AU169" s="282"/>
      <c r="AV169" s="282"/>
      <c r="AW169" s="282"/>
      <c r="AX169" s="282"/>
      <c r="AY169" s="282"/>
      <c r="AZ169" s="282"/>
      <c r="BA169" s="282"/>
      <c r="BB169" s="282"/>
      <c r="BC169" s="282"/>
      <c r="BD169" s="282"/>
      <c r="BE169" s="282"/>
      <c r="BF169" s="282"/>
      <c r="BG169" s="282"/>
      <c r="BH169" s="282"/>
      <c r="BI169" s="282"/>
      <c r="BJ169" s="278"/>
      <c r="BK169" s="278"/>
      <c r="BL169" s="278"/>
      <c r="BM169" s="278"/>
      <c r="BN169" s="278"/>
      <c r="BO169" s="278"/>
      <c r="BP169" s="278"/>
      <c r="BQ169" s="278"/>
      <c r="BR169" s="278"/>
      <c r="BS169" s="278"/>
      <c r="BT169" s="278"/>
      <c r="BU169" s="278"/>
      <c r="BV169" s="278"/>
      <c r="BW169" s="278"/>
      <c r="BX169" s="278"/>
      <c r="BY169" s="278"/>
      <c r="BZ169" s="278"/>
      <c r="CA169" s="278"/>
      <c r="CB169" s="278"/>
      <c r="CC169" s="278"/>
      <c r="CD169" s="278"/>
      <c r="CE169" s="278"/>
      <c r="CF169" s="278"/>
      <c r="CG169" s="278"/>
      <c r="CH169" s="278"/>
      <c r="CI169" s="278"/>
      <c r="CJ169" s="278"/>
      <c r="CK169" s="278"/>
      <c r="CL169" s="278"/>
      <c r="CM169" s="278"/>
      <c r="CN169" s="278"/>
      <c r="CO169" s="278"/>
      <c r="CP169" s="278"/>
      <c r="CQ169" s="278"/>
      <c r="CR169" s="278"/>
      <c r="CS169" s="278"/>
      <c r="CT169" s="278"/>
      <c r="CU169" s="278"/>
      <c r="CV169" s="278"/>
      <c r="CW169" s="278"/>
      <c r="CX169" s="278"/>
      <c r="CY169" s="278"/>
      <c r="CZ169" s="278"/>
      <c r="DA169" s="278"/>
      <c r="DB169" s="278"/>
      <c r="DC169" s="278"/>
      <c r="DD169" s="278"/>
      <c r="DE169" s="278"/>
      <c r="DF169" s="278"/>
      <c r="DG169" s="278"/>
      <c r="DH169" s="278"/>
      <c r="DI169" s="278"/>
      <c r="DJ169" s="278"/>
      <c r="DK169" s="278"/>
      <c r="DL169" s="278"/>
    </row>
    <row r="170" spans="1:116" ht="15.75" customHeight="1" x14ac:dyDescent="0.25">
      <c r="A170" s="466"/>
      <c r="B170" s="466"/>
      <c r="C170" s="467"/>
      <c r="D170" s="279"/>
      <c r="E170" s="280"/>
      <c r="F170" s="279"/>
      <c r="G170" s="279"/>
      <c r="H170" s="409"/>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282"/>
      <c r="AE170" s="282"/>
      <c r="AF170" s="282"/>
      <c r="AG170" s="282"/>
      <c r="AH170" s="282"/>
      <c r="AI170" s="282"/>
      <c r="AJ170" s="282"/>
      <c r="AK170" s="282"/>
      <c r="AL170" s="282"/>
      <c r="AM170" s="282"/>
      <c r="AN170" s="282"/>
      <c r="AO170" s="282"/>
      <c r="AP170" s="282"/>
      <c r="AQ170" s="282"/>
      <c r="AR170" s="282"/>
      <c r="AS170" s="282"/>
      <c r="AT170" s="282"/>
      <c r="AU170" s="282"/>
      <c r="AV170" s="282"/>
      <c r="AW170" s="282"/>
      <c r="AX170" s="282"/>
      <c r="AY170" s="282"/>
      <c r="AZ170" s="282"/>
      <c r="BA170" s="282"/>
      <c r="BB170" s="282"/>
      <c r="BC170" s="282"/>
      <c r="BD170" s="282"/>
      <c r="BE170" s="282"/>
      <c r="BF170" s="282"/>
      <c r="BG170" s="282"/>
      <c r="BH170" s="282"/>
      <c r="BI170" s="282"/>
      <c r="BJ170" s="278"/>
      <c r="BK170" s="278"/>
      <c r="BL170" s="278"/>
      <c r="BM170" s="278"/>
      <c r="BN170" s="278"/>
      <c r="BO170" s="278"/>
      <c r="BP170" s="278"/>
      <c r="BQ170" s="278"/>
      <c r="BR170" s="278"/>
      <c r="BS170" s="278"/>
      <c r="BT170" s="278"/>
      <c r="BU170" s="278"/>
      <c r="BV170" s="278"/>
      <c r="BW170" s="278"/>
      <c r="BX170" s="278"/>
      <c r="BY170" s="278"/>
      <c r="BZ170" s="278"/>
      <c r="CA170" s="278"/>
      <c r="CB170" s="278"/>
      <c r="CC170" s="278"/>
      <c r="CD170" s="278"/>
      <c r="CE170" s="278"/>
      <c r="CF170" s="278"/>
      <c r="CG170" s="278"/>
      <c r="CH170" s="278"/>
      <c r="CI170" s="278"/>
      <c r="CJ170" s="278"/>
      <c r="CK170" s="278"/>
      <c r="CL170" s="278"/>
      <c r="CM170" s="278"/>
      <c r="CN170" s="278"/>
      <c r="CO170" s="278"/>
      <c r="CP170" s="278"/>
      <c r="CQ170" s="278"/>
      <c r="CR170" s="278"/>
      <c r="CS170" s="278"/>
      <c r="CT170" s="278"/>
      <c r="CU170" s="278"/>
      <c r="CV170" s="278"/>
      <c r="CW170" s="278"/>
      <c r="CX170" s="278"/>
      <c r="CY170" s="278"/>
      <c r="CZ170" s="278"/>
      <c r="DA170" s="278"/>
      <c r="DB170" s="278"/>
      <c r="DC170" s="278"/>
      <c r="DD170" s="278"/>
      <c r="DE170" s="278"/>
      <c r="DF170" s="278"/>
      <c r="DG170" s="278"/>
      <c r="DH170" s="278"/>
      <c r="DI170" s="278"/>
      <c r="DJ170" s="278"/>
      <c r="DK170" s="278"/>
      <c r="DL170" s="278"/>
    </row>
    <row r="171" spans="1:116" ht="15.75" customHeight="1" x14ac:dyDescent="0.25">
      <c r="A171" s="466"/>
      <c r="B171" s="466"/>
      <c r="C171" s="467"/>
      <c r="D171" s="279"/>
      <c r="E171" s="280"/>
      <c r="F171" s="279"/>
      <c r="G171" s="279"/>
      <c r="H171" s="409"/>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282"/>
      <c r="AE171" s="282"/>
      <c r="AF171" s="282"/>
      <c r="AG171" s="282"/>
      <c r="AH171" s="282"/>
      <c r="AI171" s="282"/>
      <c r="AJ171" s="282"/>
      <c r="AK171" s="282"/>
      <c r="AL171" s="282"/>
      <c r="AM171" s="282"/>
      <c r="AN171" s="282"/>
      <c r="AO171" s="282"/>
      <c r="AP171" s="282"/>
      <c r="AQ171" s="282"/>
      <c r="AR171" s="282"/>
      <c r="AS171" s="282"/>
      <c r="AT171" s="282"/>
      <c r="AU171" s="282"/>
      <c r="AV171" s="282"/>
      <c r="AW171" s="282"/>
      <c r="AX171" s="282"/>
      <c r="AY171" s="282"/>
      <c r="AZ171" s="282"/>
      <c r="BA171" s="282"/>
      <c r="BB171" s="282"/>
      <c r="BC171" s="282"/>
      <c r="BD171" s="282"/>
      <c r="BE171" s="282"/>
      <c r="BF171" s="282"/>
      <c r="BG171" s="282"/>
      <c r="BH171" s="282"/>
      <c r="BI171" s="282"/>
      <c r="BJ171" s="278"/>
      <c r="BK171" s="278"/>
      <c r="BL171" s="278"/>
      <c r="BM171" s="278"/>
      <c r="BN171" s="278"/>
      <c r="BO171" s="278"/>
      <c r="BP171" s="278"/>
      <c r="BQ171" s="278"/>
      <c r="BR171" s="278"/>
      <c r="BS171" s="278"/>
      <c r="BT171" s="278"/>
      <c r="BU171" s="278"/>
      <c r="BV171" s="278"/>
      <c r="BW171" s="278"/>
      <c r="BX171" s="278"/>
      <c r="BY171" s="278"/>
      <c r="BZ171" s="278"/>
      <c r="CA171" s="278"/>
      <c r="CB171" s="278"/>
      <c r="CC171" s="278"/>
      <c r="CD171" s="278"/>
      <c r="CE171" s="278"/>
      <c r="CF171" s="278"/>
      <c r="CG171" s="278"/>
      <c r="CH171" s="278"/>
      <c r="CI171" s="278"/>
      <c r="CJ171" s="278"/>
      <c r="CK171" s="278"/>
      <c r="CL171" s="278"/>
      <c r="CM171" s="278"/>
      <c r="CN171" s="278"/>
      <c r="CO171" s="278"/>
      <c r="CP171" s="278"/>
      <c r="CQ171" s="278"/>
      <c r="CR171" s="278"/>
      <c r="CS171" s="278"/>
      <c r="CT171" s="278"/>
      <c r="CU171" s="278"/>
      <c r="CV171" s="278"/>
      <c r="CW171" s="278"/>
      <c r="CX171" s="278"/>
      <c r="CY171" s="278"/>
      <c r="CZ171" s="278"/>
      <c r="DA171" s="278"/>
      <c r="DB171" s="278"/>
      <c r="DC171" s="278"/>
      <c r="DD171" s="278"/>
      <c r="DE171" s="278"/>
      <c r="DF171" s="278"/>
      <c r="DG171" s="278"/>
      <c r="DH171" s="278"/>
      <c r="DI171" s="278"/>
      <c r="DJ171" s="278"/>
      <c r="DK171" s="278"/>
      <c r="DL171" s="278"/>
    </row>
    <row r="172" spans="1:116" ht="15.75" customHeight="1" x14ac:dyDescent="0.25">
      <c r="A172" s="466"/>
      <c r="B172" s="466"/>
      <c r="C172" s="467"/>
      <c r="D172" s="279"/>
      <c r="E172" s="280"/>
      <c r="F172" s="279"/>
      <c r="G172" s="279"/>
      <c r="H172" s="409"/>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c r="AL172" s="282"/>
      <c r="AM172" s="282"/>
      <c r="AN172" s="282"/>
      <c r="AO172" s="282"/>
      <c r="AP172" s="282"/>
      <c r="AQ172" s="282"/>
      <c r="AR172" s="282"/>
      <c r="AS172" s="282"/>
      <c r="AT172" s="282"/>
      <c r="AU172" s="282"/>
      <c r="AV172" s="282"/>
      <c r="AW172" s="282"/>
      <c r="AX172" s="282"/>
      <c r="AY172" s="282"/>
      <c r="AZ172" s="282"/>
      <c r="BA172" s="282"/>
      <c r="BB172" s="282"/>
      <c r="BC172" s="282"/>
      <c r="BD172" s="282"/>
      <c r="BE172" s="282"/>
      <c r="BF172" s="282"/>
      <c r="BG172" s="282"/>
      <c r="BH172" s="282"/>
      <c r="BI172" s="282"/>
      <c r="BJ172" s="278"/>
      <c r="BK172" s="278"/>
      <c r="BL172" s="278"/>
      <c r="BM172" s="278"/>
      <c r="BN172" s="278"/>
      <c r="BO172" s="278"/>
      <c r="BP172" s="278"/>
      <c r="BQ172" s="278"/>
      <c r="BR172" s="278"/>
      <c r="BS172" s="278"/>
      <c r="BT172" s="278"/>
      <c r="BU172" s="278"/>
      <c r="BV172" s="278"/>
      <c r="BW172" s="278"/>
      <c r="BX172" s="278"/>
      <c r="BY172" s="278"/>
      <c r="BZ172" s="278"/>
      <c r="CA172" s="278"/>
      <c r="CB172" s="278"/>
      <c r="CC172" s="278"/>
      <c r="CD172" s="278"/>
      <c r="CE172" s="278"/>
      <c r="CF172" s="278"/>
      <c r="CG172" s="278"/>
      <c r="CH172" s="278"/>
      <c r="CI172" s="278"/>
      <c r="CJ172" s="278"/>
      <c r="CK172" s="278"/>
      <c r="CL172" s="278"/>
      <c r="CM172" s="278"/>
      <c r="CN172" s="278"/>
      <c r="CO172" s="278"/>
      <c r="CP172" s="278"/>
      <c r="CQ172" s="278"/>
      <c r="CR172" s="278"/>
      <c r="CS172" s="278"/>
      <c r="CT172" s="278"/>
      <c r="CU172" s="278"/>
      <c r="CV172" s="278"/>
      <c r="CW172" s="278"/>
      <c r="CX172" s="278"/>
      <c r="CY172" s="278"/>
      <c r="CZ172" s="278"/>
      <c r="DA172" s="278"/>
      <c r="DB172" s="278"/>
      <c r="DC172" s="278"/>
      <c r="DD172" s="278"/>
      <c r="DE172" s="278"/>
      <c r="DF172" s="278"/>
      <c r="DG172" s="278"/>
      <c r="DH172" s="278"/>
      <c r="DI172" s="278"/>
      <c r="DJ172" s="278"/>
      <c r="DK172" s="278"/>
      <c r="DL172" s="278"/>
    </row>
    <row r="173" spans="1:116" ht="15.75" customHeight="1" x14ac:dyDescent="0.25">
      <c r="A173" s="466"/>
      <c r="B173" s="466"/>
      <c r="C173" s="467"/>
      <c r="D173" s="279"/>
      <c r="E173" s="280"/>
      <c r="F173" s="279"/>
      <c r="G173" s="279"/>
      <c r="H173" s="409"/>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c r="AL173" s="282"/>
      <c r="AM173" s="282"/>
      <c r="AN173" s="282"/>
      <c r="AO173" s="282"/>
      <c r="AP173" s="282"/>
      <c r="AQ173" s="282"/>
      <c r="AR173" s="282"/>
      <c r="AS173" s="282"/>
      <c r="AT173" s="282"/>
      <c r="AU173" s="282"/>
      <c r="AV173" s="282"/>
      <c r="AW173" s="282"/>
      <c r="AX173" s="282"/>
      <c r="AY173" s="282"/>
      <c r="AZ173" s="282"/>
      <c r="BA173" s="282"/>
      <c r="BB173" s="282"/>
      <c r="BC173" s="282"/>
      <c r="BD173" s="282"/>
      <c r="BE173" s="282"/>
      <c r="BF173" s="282"/>
      <c r="BG173" s="282"/>
      <c r="BH173" s="282"/>
      <c r="BI173" s="282"/>
      <c r="BJ173" s="278"/>
      <c r="BK173" s="278"/>
      <c r="BL173" s="278"/>
      <c r="BM173" s="278"/>
      <c r="BN173" s="278"/>
      <c r="BO173" s="278"/>
      <c r="BP173" s="278"/>
      <c r="BQ173" s="278"/>
      <c r="BR173" s="278"/>
      <c r="BS173" s="278"/>
      <c r="BT173" s="278"/>
      <c r="BU173" s="278"/>
      <c r="BV173" s="278"/>
      <c r="BW173" s="278"/>
      <c r="BX173" s="278"/>
      <c r="BY173" s="278"/>
      <c r="BZ173" s="278"/>
      <c r="CA173" s="278"/>
      <c r="CB173" s="278"/>
      <c r="CC173" s="278"/>
      <c r="CD173" s="278"/>
      <c r="CE173" s="278"/>
      <c r="CF173" s="278"/>
      <c r="CG173" s="278"/>
      <c r="CH173" s="278"/>
      <c r="CI173" s="278"/>
      <c r="CJ173" s="278"/>
      <c r="CK173" s="278"/>
      <c r="CL173" s="278"/>
      <c r="CM173" s="278"/>
      <c r="CN173" s="278"/>
      <c r="CO173" s="278"/>
      <c r="CP173" s="278"/>
      <c r="CQ173" s="278"/>
      <c r="CR173" s="278"/>
      <c r="CS173" s="278"/>
      <c r="CT173" s="278"/>
      <c r="CU173" s="278"/>
      <c r="CV173" s="278"/>
      <c r="CW173" s="278"/>
      <c r="CX173" s="278"/>
      <c r="CY173" s="278"/>
      <c r="CZ173" s="278"/>
      <c r="DA173" s="278"/>
      <c r="DB173" s="278"/>
      <c r="DC173" s="278"/>
      <c r="DD173" s="278"/>
      <c r="DE173" s="278"/>
      <c r="DF173" s="278"/>
      <c r="DG173" s="278"/>
      <c r="DH173" s="278"/>
      <c r="DI173" s="278"/>
      <c r="DJ173" s="278"/>
      <c r="DK173" s="278"/>
      <c r="DL173" s="278"/>
    </row>
    <row r="174" spans="1:116" ht="15.75" customHeight="1" x14ac:dyDescent="0.25">
      <c r="A174" s="466"/>
      <c r="B174" s="466"/>
      <c r="C174" s="467"/>
      <c r="D174" s="279"/>
      <c r="E174" s="280"/>
      <c r="F174" s="279"/>
      <c r="G174" s="279"/>
      <c r="H174" s="409"/>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c r="AL174" s="282"/>
      <c r="AM174" s="282"/>
      <c r="AN174" s="282"/>
      <c r="AO174" s="282"/>
      <c r="AP174" s="282"/>
      <c r="AQ174" s="282"/>
      <c r="AR174" s="282"/>
      <c r="AS174" s="282"/>
      <c r="AT174" s="282"/>
      <c r="AU174" s="282"/>
      <c r="AV174" s="282"/>
      <c r="AW174" s="282"/>
      <c r="AX174" s="282"/>
      <c r="AY174" s="282"/>
      <c r="AZ174" s="282"/>
      <c r="BA174" s="282"/>
      <c r="BB174" s="282"/>
      <c r="BC174" s="282"/>
      <c r="BD174" s="282"/>
      <c r="BE174" s="282"/>
      <c r="BF174" s="282"/>
      <c r="BG174" s="282"/>
      <c r="BH174" s="282"/>
      <c r="BI174" s="282"/>
      <c r="BJ174" s="278"/>
      <c r="BK174" s="278"/>
      <c r="BL174" s="278"/>
      <c r="BM174" s="278"/>
      <c r="BN174" s="278"/>
      <c r="BO174" s="278"/>
      <c r="BP174" s="278"/>
      <c r="BQ174" s="278"/>
      <c r="BR174" s="278"/>
      <c r="BS174" s="278"/>
      <c r="BT174" s="278"/>
      <c r="BU174" s="278"/>
      <c r="BV174" s="278"/>
      <c r="BW174" s="278"/>
      <c r="BX174" s="278"/>
      <c r="BY174" s="278"/>
      <c r="BZ174" s="278"/>
      <c r="CA174" s="278"/>
      <c r="CB174" s="278"/>
      <c r="CC174" s="278"/>
      <c r="CD174" s="278"/>
      <c r="CE174" s="278"/>
      <c r="CF174" s="278"/>
      <c r="CG174" s="278"/>
      <c r="CH174" s="278"/>
      <c r="CI174" s="278"/>
      <c r="CJ174" s="278"/>
      <c r="CK174" s="278"/>
      <c r="CL174" s="278"/>
      <c r="CM174" s="278"/>
      <c r="CN174" s="278"/>
      <c r="CO174" s="278"/>
      <c r="CP174" s="278"/>
      <c r="CQ174" s="278"/>
      <c r="CR174" s="278"/>
      <c r="CS174" s="278"/>
      <c r="CT174" s="278"/>
      <c r="CU174" s="278"/>
      <c r="CV174" s="278"/>
      <c r="CW174" s="278"/>
      <c r="CX174" s="278"/>
      <c r="CY174" s="278"/>
      <c r="CZ174" s="278"/>
      <c r="DA174" s="278"/>
      <c r="DB174" s="278"/>
      <c r="DC174" s="278"/>
      <c r="DD174" s="278"/>
      <c r="DE174" s="278"/>
      <c r="DF174" s="278"/>
      <c r="DG174" s="278"/>
      <c r="DH174" s="278"/>
      <c r="DI174" s="278"/>
      <c r="DJ174" s="278"/>
      <c r="DK174" s="278"/>
      <c r="DL174" s="278"/>
    </row>
    <row r="175" spans="1:116" ht="15.75" customHeight="1" x14ac:dyDescent="0.25">
      <c r="A175" s="466"/>
      <c r="B175" s="466"/>
      <c r="C175" s="467"/>
      <c r="D175" s="279"/>
      <c r="E175" s="280"/>
      <c r="F175" s="279"/>
      <c r="G175" s="279"/>
      <c r="H175" s="409"/>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c r="AL175" s="282"/>
      <c r="AM175" s="282"/>
      <c r="AN175" s="282"/>
      <c r="AO175" s="282"/>
      <c r="AP175" s="282"/>
      <c r="AQ175" s="282"/>
      <c r="AR175" s="282"/>
      <c r="AS175" s="282"/>
      <c r="AT175" s="282"/>
      <c r="AU175" s="282"/>
      <c r="AV175" s="282"/>
      <c r="AW175" s="282"/>
      <c r="AX175" s="282"/>
      <c r="AY175" s="282"/>
      <c r="AZ175" s="282"/>
      <c r="BA175" s="282"/>
      <c r="BB175" s="282"/>
      <c r="BC175" s="282"/>
      <c r="BD175" s="282"/>
      <c r="BE175" s="282"/>
      <c r="BF175" s="282"/>
      <c r="BG175" s="282"/>
      <c r="BH175" s="282"/>
      <c r="BI175" s="282"/>
      <c r="BJ175" s="278"/>
      <c r="BK175" s="278"/>
      <c r="BL175" s="278"/>
      <c r="BM175" s="278"/>
      <c r="BN175" s="278"/>
      <c r="BO175" s="278"/>
      <c r="BP175" s="278"/>
      <c r="BQ175" s="278"/>
      <c r="BR175" s="278"/>
      <c r="BS175" s="278"/>
      <c r="BT175" s="278"/>
      <c r="BU175" s="278"/>
      <c r="BV175" s="278"/>
      <c r="BW175" s="278"/>
      <c r="BX175" s="278"/>
      <c r="BY175" s="278"/>
      <c r="BZ175" s="278"/>
      <c r="CA175" s="278"/>
      <c r="CB175" s="278"/>
      <c r="CC175" s="278"/>
      <c r="CD175" s="278"/>
      <c r="CE175" s="278"/>
      <c r="CF175" s="278"/>
      <c r="CG175" s="278"/>
      <c r="CH175" s="278"/>
      <c r="CI175" s="278"/>
      <c r="CJ175" s="278"/>
      <c r="CK175" s="278"/>
      <c r="CL175" s="278"/>
      <c r="CM175" s="278"/>
      <c r="CN175" s="278"/>
      <c r="CO175" s="278"/>
      <c r="CP175" s="278"/>
      <c r="CQ175" s="278"/>
      <c r="CR175" s="278"/>
      <c r="CS175" s="278"/>
      <c r="CT175" s="278"/>
      <c r="CU175" s="278"/>
      <c r="CV175" s="278"/>
      <c r="CW175" s="278"/>
      <c r="CX175" s="278"/>
      <c r="CY175" s="278"/>
      <c r="CZ175" s="278"/>
      <c r="DA175" s="278"/>
      <c r="DB175" s="278"/>
      <c r="DC175" s="278"/>
      <c r="DD175" s="278"/>
      <c r="DE175" s="278"/>
      <c r="DF175" s="278"/>
      <c r="DG175" s="278"/>
      <c r="DH175" s="278"/>
      <c r="DI175" s="278"/>
      <c r="DJ175" s="278"/>
      <c r="DK175" s="278"/>
      <c r="DL175" s="278"/>
    </row>
    <row r="176" spans="1:116" ht="15.75" customHeight="1" x14ac:dyDescent="0.25">
      <c r="A176" s="466"/>
      <c r="B176" s="466"/>
      <c r="C176" s="467"/>
      <c r="D176" s="279"/>
      <c r="E176" s="280"/>
      <c r="F176" s="279"/>
      <c r="G176" s="279"/>
      <c r="H176" s="409"/>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c r="AL176" s="282"/>
      <c r="AM176" s="282"/>
      <c r="AN176" s="282"/>
      <c r="AO176" s="282"/>
      <c r="AP176" s="282"/>
      <c r="AQ176" s="282"/>
      <c r="AR176" s="282"/>
      <c r="AS176" s="282"/>
      <c r="AT176" s="282"/>
      <c r="AU176" s="282"/>
      <c r="AV176" s="282"/>
      <c r="AW176" s="282"/>
      <c r="AX176" s="282"/>
      <c r="AY176" s="282"/>
      <c r="AZ176" s="282"/>
      <c r="BA176" s="282"/>
      <c r="BB176" s="282"/>
      <c r="BC176" s="282"/>
      <c r="BD176" s="282"/>
      <c r="BE176" s="282"/>
      <c r="BF176" s="282"/>
      <c r="BG176" s="282"/>
      <c r="BH176" s="282"/>
      <c r="BI176" s="282"/>
      <c r="BJ176" s="278"/>
      <c r="BK176" s="278"/>
      <c r="BL176" s="278"/>
      <c r="BM176" s="278"/>
      <c r="BN176" s="278"/>
      <c r="BO176" s="278"/>
      <c r="BP176" s="278"/>
      <c r="BQ176" s="278"/>
      <c r="BR176" s="278"/>
      <c r="BS176" s="278"/>
      <c r="BT176" s="278"/>
      <c r="BU176" s="278"/>
      <c r="BV176" s="278"/>
      <c r="BW176" s="278"/>
      <c r="BX176" s="278"/>
      <c r="BY176" s="278"/>
      <c r="BZ176" s="278"/>
      <c r="CA176" s="278"/>
      <c r="CB176" s="278"/>
      <c r="CC176" s="278"/>
      <c r="CD176" s="278"/>
      <c r="CE176" s="278"/>
      <c r="CF176" s="278"/>
      <c r="CG176" s="278"/>
      <c r="CH176" s="278"/>
      <c r="CI176" s="278"/>
      <c r="CJ176" s="278"/>
      <c r="CK176" s="278"/>
      <c r="CL176" s="278"/>
      <c r="CM176" s="278"/>
      <c r="CN176" s="278"/>
      <c r="CO176" s="278"/>
      <c r="CP176" s="278"/>
      <c r="CQ176" s="278"/>
      <c r="CR176" s="278"/>
      <c r="CS176" s="278"/>
      <c r="CT176" s="278"/>
      <c r="CU176" s="278"/>
      <c r="CV176" s="278"/>
      <c r="CW176" s="278"/>
      <c r="CX176" s="278"/>
      <c r="CY176" s="278"/>
      <c r="CZ176" s="278"/>
      <c r="DA176" s="278"/>
      <c r="DB176" s="278"/>
      <c r="DC176" s="278"/>
      <c r="DD176" s="278"/>
      <c r="DE176" s="278"/>
      <c r="DF176" s="278"/>
      <c r="DG176" s="278"/>
      <c r="DH176" s="278"/>
      <c r="DI176" s="278"/>
      <c r="DJ176" s="278"/>
      <c r="DK176" s="278"/>
      <c r="DL176" s="278"/>
    </row>
    <row r="177" spans="1:116" ht="15.75" customHeight="1" x14ac:dyDescent="0.25">
      <c r="A177" s="466"/>
      <c r="B177" s="466"/>
      <c r="C177" s="467"/>
      <c r="D177" s="279"/>
      <c r="E177" s="280"/>
      <c r="F177" s="279"/>
      <c r="G177" s="279"/>
      <c r="H177" s="409"/>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282"/>
      <c r="AF177" s="282"/>
      <c r="AG177" s="282"/>
      <c r="AH177" s="282"/>
      <c r="AI177" s="282"/>
      <c r="AJ177" s="282"/>
      <c r="AK177" s="282"/>
      <c r="AL177" s="282"/>
      <c r="AM177" s="282"/>
      <c r="AN177" s="282"/>
      <c r="AO177" s="282"/>
      <c r="AP177" s="282"/>
      <c r="AQ177" s="282"/>
      <c r="AR177" s="282"/>
      <c r="AS177" s="282"/>
      <c r="AT177" s="282"/>
      <c r="AU177" s="282"/>
      <c r="AV177" s="282"/>
      <c r="AW177" s="282"/>
      <c r="AX177" s="282"/>
      <c r="AY177" s="282"/>
      <c r="AZ177" s="282"/>
      <c r="BA177" s="282"/>
      <c r="BB177" s="282"/>
      <c r="BC177" s="282"/>
      <c r="BD177" s="282"/>
      <c r="BE177" s="282"/>
      <c r="BF177" s="282"/>
      <c r="BG177" s="282"/>
      <c r="BH177" s="282"/>
      <c r="BI177" s="282"/>
      <c r="BJ177" s="278"/>
      <c r="BK177" s="278"/>
      <c r="BL177" s="278"/>
      <c r="BM177" s="278"/>
      <c r="BN177" s="278"/>
      <c r="BO177" s="278"/>
      <c r="BP177" s="278"/>
      <c r="BQ177" s="278"/>
      <c r="BR177" s="278"/>
      <c r="BS177" s="278"/>
      <c r="BT177" s="278"/>
      <c r="BU177" s="278"/>
      <c r="BV177" s="278"/>
      <c r="BW177" s="278"/>
      <c r="BX177" s="278"/>
      <c r="BY177" s="278"/>
      <c r="BZ177" s="278"/>
      <c r="CA177" s="278"/>
      <c r="CB177" s="278"/>
      <c r="CC177" s="278"/>
      <c r="CD177" s="278"/>
      <c r="CE177" s="278"/>
      <c r="CF177" s="278"/>
      <c r="CG177" s="278"/>
      <c r="CH177" s="278"/>
      <c r="CI177" s="278"/>
      <c r="CJ177" s="278"/>
      <c r="CK177" s="278"/>
      <c r="CL177" s="278"/>
      <c r="CM177" s="278"/>
      <c r="CN177" s="278"/>
      <c r="CO177" s="278"/>
      <c r="CP177" s="278"/>
      <c r="CQ177" s="278"/>
      <c r="CR177" s="278"/>
      <c r="CS177" s="278"/>
      <c r="CT177" s="278"/>
      <c r="CU177" s="278"/>
      <c r="CV177" s="278"/>
      <c r="CW177" s="278"/>
      <c r="CX177" s="278"/>
      <c r="CY177" s="278"/>
      <c r="CZ177" s="278"/>
      <c r="DA177" s="278"/>
      <c r="DB177" s="278"/>
      <c r="DC177" s="278"/>
      <c r="DD177" s="278"/>
      <c r="DE177" s="278"/>
      <c r="DF177" s="278"/>
      <c r="DG177" s="278"/>
      <c r="DH177" s="278"/>
      <c r="DI177" s="278"/>
      <c r="DJ177" s="278"/>
      <c r="DK177" s="278"/>
      <c r="DL177" s="278"/>
    </row>
    <row r="178" spans="1:116" ht="15.75" customHeight="1" x14ac:dyDescent="0.25">
      <c r="A178" s="466"/>
      <c r="B178" s="466"/>
      <c r="C178" s="467"/>
      <c r="D178" s="279"/>
      <c r="E178" s="280"/>
      <c r="F178" s="279"/>
      <c r="G178" s="279"/>
      <c r="H178" s="409"/>
      <c r="I178" s="282"/>
      <c r="J178" s="282"/>
      <c r="K178" s="282"/>
      <c r="L178" s="282"/>
      <c r="M178" s="282"/>
      <c r="N178" s="282"/>
      <c r="O178" s="282"/>
      <c r="P178" s="282"/>
      <c r="Q178" s="282"/>
      <c r="R178" s="282"/>
      <c r="S178" s="282"/>
      <c r="T178" s="282"/>
      <c r="U178" s="282"/>
      <c r="V178" s="282"/>
      <c r="W178" s="282"/>
      <c r="X178" s="282"/>
      <c r="Y178" s="282"/>
      <c r="Z178" s="282"/>
      <c r="AA178" s="282"/>
      <c r="AB178" s="282"/>
      <c r="AC178" s="282"/>
      <c r="AD178" s="282"/>
      <c r="AE178" s="282"/>
      <c r="AF178" s="282"/>
      <c r="AG178" s="282"/>
      <c r="AH178" s="282"/>
      <c r="AI178" s="282"/>
      <c r="AJ178" s="282"/>
      <c r="AK178" s="282"/>
      <c r="AL178" s="282"/>
      <c r="AM178" s="282"/>
      <c r="AN178" s="282"/>
      <c r="AO178" s="282"/>
      <c r="AP178" s="282"/>
      <c r="AQ178" s="282"/>
      <c r="AR178" s="282"/>
      <c r="AS178" s="282"/>
      <c r="AT178" s="282"/>
      <c r="AU178" s="282"/>
      <c r="AV178" s="282"/>
      <c r="AW178" s="282"/>
      <c r="AX178" s="282"/>
      <c r="AY178" s="282"/>
      <c r="AZ178" s="282"/>
      <c r="BA178" s="282"/>
      <c r="BB178" s="282"/>
      <c r="BC178" s="282"/>
      <c r="BD178" s="282"/>
      <c r="BE178" s="282"/>
      <c r="BF178" s="282"/>
      <c r="BG178" s="282"/>
      <c r="BH178" s="282"/>
      <c r="BI178" s="282"/>
      <c r="BJ178" s="278"/>
      <c r="BK178" s="278"/>
      <c r="BL178" s="278"/>
      <c r="BM178" s="278"/>
      <c r="BN178" s="278"/>
      <c r="BO178" s="278"/>
      <c r="BP178" s="278"/>
      <c r="BQ178" s="278"/>
      <c r="BR178" s="278"/>
      <c r="BS178" s="278"/>
      <c r="BT178" s="278"/>
      <c r="BU178" s="278"/>
      <c r="BV178" s="278"/>
      <c r="BW178" s="278"/>
      <c r="BX178" s="278"/>
      <c r="BY178" s="278"/>
      <c r="BZ178" s="278"/>
      <c r="CA178" s="278"/>
      <c r="CB178" s="278"/>
      <c r="CC178" s="278"/>
      <c r="CD178" s="278"/>
      <c r="CE178" s="278"/>
      <c r="CF178" s="278"/>
      <c r="CG178" s="278"/>
      <c r="CH178" s="278"/>
      <c r="CI178" s="278"/>
      <c r="CJ178" s="278"/>
      <c r="CK178" s="278"/>
      <c r="CL178" s="278"/>
      <c r="CM178" s="278"/>
      <c r="CN178" s="278"/>
      <c r="CO178" s="278"/>
      <c r="CP178" s="278"/>
      <c r="CQ178" s="278"/>
      <c r="CR178" s="278"/>
      <c r="CS178" s="278"/>
      <c r="CT178" s="278"/>
      <c r="CU178" s="278"/>
      <c r="CV178" s="278"/>
      <c r="CW178" s="278"/>
      <c r="CX178" s="278"/>
      <c r="CY178" s="278"/>
      <c r="CZ178" s="278"/>
      <c r="DA178" s="278"/>
      <c r="DB178" s="278"/>
      <c r="DC178" s="278"/>
      <c r="DD178" s="278"/>
      <c r="DE178" s="278"/>
      <c r="DF178" s="278"/>
      <c r="DG178" s="278"/>
      <c r="DH178" s="278"/>
      <c r="DI178" s="278"/>
      <c r="DJ178" s="278"/>
      <c r="DK178" s="278"/>
      <c r="DL178" s="278"/>
    </row>
    <row r="179" spans="1:116" ht="15.75" customHeight="1" x14ac:dyDescent="0.25">
      <c r="A179" s="466"/>
      <c r="B179" s="466"/>
      <c r="C179" s="467"/>
      <c r="D179" s="279"/>
      <c r="E179" s="280"/>
      <c r="F179" s="279"/>
      <c r="G179" s="279"/>
      <c r="H179" s="409"/>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282"/>
      <c r="AF179" s="282"/>
      <c r="AG179" s="282"/>
      <c r="AH179" s="282"/>
      <c r="AI179" s="282"/>
      <c r="AJ179" s="282"/>
      <c r="AK179" s="282"/>
      <c r="AL179" s="282"/>
      <c r="AM179" s="282"/>
      <c r="AN179" s="282"/>
      <c r="AO179" s="282"/>
      <c r="AP179" s="282"/>
      <c r="AQ179" s="282"/>
      <c r="AR179" s="282"/>
      <c r="AS179" s="282"/>
      <c r="AT179" s="282"/>
      <c r="AU179" s="282"/>
      <c r="AV179" s="282"/>
      <c r="AW179" s="282"/>
      <c r="AX179" s="282"/>
      <c r="AY179" s="282"/>
      <c r="AZ179" s="282"/>
      <c r="BA179" s="282"/>
      <c r="BB179" s="282"/>
      <c r="BC179" s="282"/>
      <c r="BD179" s="282"/>
      <c r="BE179" s="282"/>
      <c r="BF179" s="282"/>
      <c r="BG179" s="282"/>
      <c r="BH179" s="282"/>
      <c r="BI179" s="282"/>
      <c r="BJ179" s="278"/>
      <c r="BK179" s="278"/>
      <c r="BL179" s="278"/>
      <c r="BM179" s="278"/>
      <c r="BN179" s="278"/>
      <c r="BO179" s="278"/>
      <c r="BP179" s="278"/>
      <c r="BQ179" s="278"/>
      <c r="BR179" s="278"/>
      <c r="BS179" s="278"/>
      <c r="BT179" s="278"/>
      <c r="BU179" s="278"/>
      <c r="BV179" s="278"/>
      <c r="BW179" s="278"/>
      <c r="BX179" s="278"/>
      <c r="BY179" s="278"/>
      <c r="BZ179" s="278"/>
      <c r="CA179" s="278"/>
      <c r="CB179" s="278"/>
      <c r="CC179" s="278"/>
      <c r="CD179" s="278"/>
      <c r="CE179" s="278"/>
      <c r="CF179" s="278"/>
      <c r="CG179" s="278"/>
      <c r="CH179" s="278"/>
      <c r="CI179" s="278"/>
      <c r="CJ179" s="278"/>
      <c r="CK179" s="278"/>
      <c r="CL179" s="278"/>
      <c r="CM179" s="278"/>
      <c r="CN179" s="278"/>
      <c r="CO179" s="278"/>
      <c r="CP179" s="278"/>
      <c r="CQ179" s="278"/>
      <c r="CR179" s="278"/>
      <c r="CS179" s="278"/>
      <c r="CT179" s="278"/>
      <c r="CU179" s="278"/>
      <c r="CV179" s="278"/>
      <c r="CW179" s="278"/>
      <c r="CX179" s="278"/>
      <c r="CY179" s="278"/>
      <c r="CZ179" s="278"/>
      <c r="DA179" s="278"/>
      <c r="DB179" s="278"/>
      <c r="DC179" s="278"/>
      <c r="DD179" s="278"/>
      <c r="DE179" s="278"/>
      <c r="DF179" s="278"/>
      <c r="DG179" s="278"/>
      <c r="DH179" s="278"/>
      <c r="DI179" s="278"/>
      <c r="DJ179" s="278"/>
      <c r="DK179" s="278"/>
      <c r="DL179" s="278"/>
    </row>
    <row r="180" spans="1:116" ht="15.75" customHeight="1" x14ac:dyDescent="0.25">
      <c r="A180" s="466"/>
      <c r="B180" s="466"/>
      <c r="C180" s="467"/>
      <c r="D180" s="279"/>
      <c r="E180" s="280"/>
      <c r="F180" s="279"/>
      <c r="G180" s="279"/>
      <c r="H180" s="409"/>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82"/>
      <c r="AE180" s="282"/>
      <c r="AF180" s="282"/>
      <c r="AG180" s="282"/>
      <c r="AH180" s="282"/>
      <c r="AI180" s="282"/>
      <c r="AJ180" s="282"/>
      <c r="AK180" s="282"/>
      <c r="AL180" s="282"/>
      <c r="AM180" s="282"/>
      <c r="AN180" s="282"/>
      <c r="AO180" s="282"/>
      <c r="AP180" s="282"/>
      <c r="AQ180" s="282"/>
      <c r="AR180" s="282"/>
      <c r="AS180" s="282"/>
      <c r="AT180" s="282"/>
      <c r="AU180" s="282"/>
      <c r="AV180" s="282"/>
      <c r="AW180" s="282"/>
      <c r="AX180" s="282"/>
      <c r="AY180" s="282"/>
      <c r="AZ180" s="282"/>
      <c r="BA180" s="282"/>
      <c r="BB180" s="282"/>
      <c r="BC180" s="282"/>
      <c r="BD180" s="282"/>
      <c r="BE180" s="282"/>
      <c r="BF180" s="282"/>
      <c r="BG180" s="282"/>
      <c r="BH180" s="282"/>
      <c r="BI180" s="282"/>
      <c r="BJ180" s="278"/>
      <c r="BK180" s="278"/>
      <c r="BL180" s="278"/>
      <c r="BM180" s="278"/>
      <c r="BN180" s="278"/>
      <c r="BO180" s="278"/>
      <c r="BP180" s="278"/>
      <c r="BQ180" s="278"/>
      <c r="BR180" s="278"/>
      <c r="BS180" s="278"/>
      <c r="BT180" s="278"/>
      <c r="BU180" s="278"/>
      <c r="BV180" s="278"/>
      <c r="BW180" s="278"/>
      <c r="BX180" s="278"/>
      <c r="BY180" s="278"/>
      <c r="BZ180" s="278"/>
      <c r="CA180" s="278"/>
      <c r="CB180" s="278"/>
      <c r="CC180" s="278"/>
      <c r="CD180" s="278"/>
      <c r="CE180" s="278"/>
      <c r="CF180" s="278"/>
      <c r="CG180" s="278"/>
      <c r="CH180" s="278"/>
      <c r="CI180" s="278"/>
      <c r="CJ180" s="278"/>
      <c r="CK180" s="278"/>
      <c r="CL180" s="278"/>
      <c r="CM180" s="278"/>
      <c r="CN180" s="278"/>
      <c r="CO180" s="278"/>
      <c r="CP180" s="278"/>
      <c r="CQ180" s="278"/>
      <c r="CR180" s="278"/>
      <c r="CS180" s="278"/>
      <c r="CT180" s="278"/>
      <c r="CU180" s="278"/>
      <c r="CV180" s="278"/>
      <c r="CW180" s="278"/>
      <c r="CX180" s="278"/>
      <c r="CY180" s="278"/>
      <c r="CZ180" s="278"/>
      <c r="DA180" s="278"/>
      <c r="DB180" s="278"/>
      <c r="DC180" s="278"/>
      <c r="DD180" s="278"/>
      <c r="DE180" s="278"/>
      <c r="DF180" s="278"/>
      <c r="DG180" s="278"/>
      <c r="DH180" s="278"/>
      <c r="DI180" s="278"/>
      <c r="DJ180" s="278"/>
      <c r="DK180" s="278"/>
      <c r="DL180" s="278"/>
    </row>
    <row r="181" spans="1:116" ht="15.75" customHeight="1" x14ac:dyDescent="0.25">
      <c r="A181" s="466"/>
      <c r="B181" s="466"/>
      <c r="C181" s="467"/>
      <c r="D181" s="279"/>
      <c r="E181" s="280"/>
      <c r="F181" s="279"/>
      <c r="G181" s="279"/>
      <c r="H181" s="409"/>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282"/>
      <c r="AF181" s="282"/>
      <c r="AG181" s="282"/>
      <c r="AH181" s="282"/>
      <c r="AI181" s="282"/>
      <c r="AJ181" s="282"/>
      <c r="AK181" s="282"/>
      <c r="AL181" s="282"/>
      <c r="AM181" s="282"/>
      <c r="AN181" s="282"/>
      <c r="AO181" s="282"/>
      <c r="AP181" s="282"/>
      <c r="AQ181" s="282"/>
      <c r="AR181" s="282"/>
      <c r="AS181" s="282"/>
      <c r="AT181" s="282"/>
      <c r="AU181" s="282"/>
      <c r="AV181" s="282"/>
      <c r="AW181" s="282"/>
      <c r="AX181" s="282"/>
      <c r="AY181" s="282"/>
      <c r="AZ181" s="282"/>
      <c r="BA181" s="282"/>
      <c r="BB181" s="282"/>
      <c r="BC181" s="282"/>
      <c r="BD181" s="282"/>
      <c r="BE181" s="282"/>
      <c r="BF181" s="282"/>
      <c r="BG181" s="282"/>
      <c r="BH181" s="282"/>
      <c r="BI181" s="282"/>
      <c r="BJ181" s="278"/>
      <c r="BK181" s="278"/>
      <c r="BL181" s="278"/>
      <c r="BM181" s="278"/>
      <c r="BN181" s="278"/>
      <c r="BO181" s="278"/>
      <c r="BP181" s="278"/>
      <c r="BQ181" s="278"/>
      <c r="BR181" s="278"/>
      <c r="BS181" s="278"/>
      <c r="BT181" s="278"/>
      <c r="BU181" s="278"/>
      <c r="BV181" s="278"/>
      <c r="BW181" s="278"/>
      <c r="BX181" s="278"/>
      <c r="BY181" s="278"/>
      <c r="BZ181" s="278"/>
      <c r="CA181" s="278"/>
      <c r="CB181" s="278"/>
      <c r="CC181" s="278"/>
      <c r="CD181" s="278"/>
      <c r="CE181" s="278"/>
      <c r="CF181" s="278"/>
      <c r="CG181" s="278"/>
      <c r="CH181" s="278"/>
      <c r="CI181" s="278"/>
      <c r="CJ181" s="278"/>
      <c r="CK181" s="278"/>
      <c r="CL181" s="278"/>
      <c r="CM181" s="278"/>
      <c r="CN181" s="278"/>
      <c r="CO181" s="278"/>
      <c r="CP181" s="278"/>
      <c r="CQ181" s="278"/>
      <c r="CR181" s="278"/>
      <c r="CS181" s="278"/>
      <c r="CT181" s="278"/>
      <c r="CU181" s="278"/>
      <c r="CV181" s="278"/>
      <c r="CW181" s="278"/>
      <c r="CX181" s="278"/>
      <c r="CY181" s="278"/>
      <c r="CZ181" s="278"/>
      <c r="DA181" s="278"/>
      <c r="DB181" s="278"/>
      <c r="DC181" s="278"/>
      <c r="DD181" s="278"/>
      <c r="DE181" s="278"/>
      <c r="DF181" s="278"/>
      <c r="DG181" s="278"/>
      <c r="DH181" s="278"/>
      <c r="DI181" s="278"/>
      <c r="DJ181" s="278"/>
      <c r="DK181" s="278"/>
      <c r="DL181" s="278"/>
    </row>
    <row r="182" spans="1:116" ht="15.75" customHeight="1" x14ac:dyDescent="0.25">
      <c r="A182" s="466"/>
      <c r="B182" s="466"/>
      <c r="C182" s="467"/>
      <c r="D182" s="279"/>
      <c r="E182" s="280"/>
      <c r="F182" s="279"/>
      <c r="G182" s="279"/>
      <c r="H182" s="409"/>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282"/>
      <c r="AE182" s="282"/>
      <c r="AF182" s="282"/>
      <c r="AG182" s="282"/>
      <c r="AH182" s="282"/>
      <c r="AI182" s="282"/>
      <c r="AJ182" s="282"/>
      <c r="AK182" s="282"/>
      <c r="AL182" s="282"/>
      <c r="AM182" s="282"/>
      <c r="AN182" s="282"/>
      <c r="AO182" s="282"/>
      <c r="AP182" s="282"/>
      <c r="AQ182" s="282"/>
      <c r="AR182" s="282"/>
      <c r="AS182" s="282"/>
      <c r="AT182" s="282"/>
      <c r="AU182" s="282"/>
      <c r="AV182" s="282"/>
      <c r="AW182" s="282"/>
      <c r="AX182" s="282"/>
      <c r="AY182" s="282"/>
      <c r="AZ182" s="282"/>
      <c r="BA182" s="282"/>
      <c r="BB182" s="282"/>
      <c r="BC182" s="282"/>
      <c r="BD182" s="282"/>
      <c r="BE182" s="282"/>
      <c r="BF182" s="282"/>
      <c r="BG182" s="282"/>
      <c r="BH182" s="282"/>
      <c r="BI182" s="282"/>
      <c r="BJ182" s="278"/>
      <c r="BK182" s="278"/>
      <c r="BL182" s="278"/>
      <c r="BM182" s="278"/>
      <c r="BN182" s="278"/>
      <c r="BO182" s="278"/>
      <c r="BP182" s="278"/>
      <c r="BQ182" s="278"/>
      <c r="BR182" s="278"/>
      <c r="BS182" s="278"/>
      <c r="BT182" s="278"/>
      <c r="BU182" s="278"/>
      <c r="BV182" s="278"/>
      <c r="BW182" s="278"/>
      <c r="BX182" s="278"/>
      <c r="BY182" s="278"/>
      <c r="BZ182" s="278"/>
      <c r="CA182" s="278"/>
      <c r="CB182" s="278"/>
      <c r="CC182" s="278"/>
      <c r="CD182" s="278"/>
      <c r="CE182" s="278"/>
      <c r="CF182" s="278"/>
      <c r="CG182" s="278"/>
      <c r="CH182" s="278"/>
      <c r="CI182" s="278"/>
      <c r="CJ182" s="278"/>
      <c r="CK182" s="278"/>
      <c r="CL182" s="278"/>
      <c r="CM182" s="278"/>
      <c r="CN182" s="278"/>
      <c r="CO182" s="278"/>
      <c r="CP182" s="278"/>
      <c r="CQ182" s="278"/>
      <c r="CR182" s="278"/>
      <c r="CS182" s="278"/>
      <c r="CT182" s="278"/>
      <c r="CU182" s="278"/>
      <c r="CV182" s="278"/>
      <c r="CW182" s="278"/>
      <c r="CX182" s="278"/>
      <c r="CY182" s="278"/>
      <c r="CZ182" s="278"/>
      <c r="DA182" s="278"/>
      <c r="DB182" s="278"/>
      <c r="DC182" s="278"/>
      <c r="DD182" s="278"/>
      <c r="DE182" s="278"/>
      <c r="DF182" s="278"/>
      <c r="DG182" s="278"/>
      <c r="DH182" s="278"/>
      <c r="DI182" s="278"/>
      <c r="DJ182" s="278"/>
      <c r="DK182" s="278"/>
      <c r="DL182" s="278"/>
    </row>
    <row r="183" spans="1:116" ht="15.75" customHeight="1" x14ac:dyDescent="0.25">
      <c r="A183" s="466"/>
      <c r="B183" s="466"/>
      <c r="C183" s="467"/>
      <c r="D183" s="279"/>
      <c r="E183" s="280"/>
      <c r="F183" s="279"/>
      <c r="G183" s="279"/>
      <c r="H183" s="409"/>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282"/>
      <c r="AE183" s="282"/>
      <c r="AF183" s="282"/>
      <c r="AG183" s="282"/>
      <c r="AH183" s="282"/>
      <c r="AI183" s="282"/>
      <c r="AJ183" s="282"/>
      <c r="AK183" s="282"/>
      <c r="AL183" s="282"/>
      <c r="AM183" s="282"/>
      <c r="AN183" s="282"/>
      <c r="AO183" s="282"/>
      <c r="AP183" s="282"/>
      <c r="AQ183" s="282"/>
      <c r="AR183" s="282"/>
      <c r="AS183" s="282"/>
      <c r="AT183" s="282"/>
      <c r="AU183" s="282"/>
      <c r="AV183" s="282"/>
      <c r="AW183" s="282"/>
      <c r="AX183" s="282"/>
      <c r="AY183" s="282"/>
      <c r="AZ183" s="282"/>
      <c r="BA183" s="282"/>
      <c r="BB183" s="282"/>
      <c r="BC183" s="282"/>
      <c r="BD183" s="282"/>
      <c r="BE183" s="282"/>
      <c r="BF183" s="282"/>
      <c r="BG183" s="282"/>
      <c r="BH183" s="282"/>
      <c r="BI183" s="282"/>
      <c r="BJ183" s="278"/>
      <c r="BK183" s="278"/>
      <c r="BL183" s="278"/>
      <c r="BM183" s="278"/>
      <c r="BN183" s="278"/>
      <c r="BO183" s="278"/>
      <c r="BP183" s="278"/>
      <c r="BQ183" s="278"/>
      <c r="BR183" s="278"/>
      <c r="BS183" s="278"/>
      <c r="BT183" s="278"/>
      <c r="BU183" s="278"/>
      <c r="BV183" s="278"/>
      <c r="BW183" s="278"/>
      <c r="BX183" s="278"/>
      <c r="BY183" s="278"/>
      <c r="BZ183" s="278"/>
      <c r="CA183" s="278"/>
      <c r="CB183" s="278"/>
      <c r="CC183" s="278"/>
      <c r="CD183" s="278"/>
      <c r="CE183" s="278"/>
      <c r="CF183" s="278"/>
      <c r="CG183" s="278"/>
      <c r="CH183" s="278"/>
      <c r="CI183" s="278"/>
      <c r="CJ183" s="278"/>
      <c r="CK183" s="278"/>
      <c r="CL183" s="278"/>
      <c r="CM183" s="278"/>
      <c r="CN183" s="278"/>
      <c r="CO183" s="278"/>
      <c r="CP183" s="278"/>
      <c r="CQ183" s="278"/>
      <c r="CR183" s="278"/>
      <c r="CS183" s="278"/>
      <c r="CT183" s="278"/>
      <c r="CU183" s="278"/>
      <c r="CV183" s="278"/>
      <c r="CW183" s="278"/>
      <c r="CX183" s="278"/>
      <c r="CY183" s="278"/>
      <c r="CZ183" s="278"/>
      <c r="DA183" s="278"/>
      <c r="DB183" s="278"/>
      <c r="DC183" s="278"/>
      <c r="DD183" s="278"/>
      <c r="DE183" s="278"/>
      <c r="DF183" s="278"/>
      <c r="DG183" s="278"/>
      <c r="DH183" s="278"/>
      <c r="DI183" s="278"/>
      <c r="DJ183" s="278"/>
      <c r="DK183" s="278"/>
      <c r="DL183" s="278"/>
    </row>
    <row r="184" spans="1:116" ht="15.75" customHeight="1" x14ac:dyDescent="0.25">
      <c r="A184" s="466"/>
      <c r="B184" s="466"/>
      <c r="C184" s="467"/>
      <c r="D184" s="279"/>
      <c r="E184" s="280"/>
      <c r="F184" s="279"/>
      <c r="G184" s="279"/>
      <c r="H184" s="409"/>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82"/>
      <c r="AE184" s="282"/>
      <c r="AF184" s="282"/>
      <c r="AG184" s="282"/>
      <c r="AH184" s="282"/>
      <c r="AI184" s="282"/>
      <c r="AJ184" s="282"/>
      <c r="AK184" s="282"/>
      <c r="AL184" s="282"/>
      <c r="AM184" s="282"/>
      <c r="AN184" s="282"/>
      <c r="AO184" s="282"/>
      <c r="AP184" s="282"/>
      <c r="AQ184" s="282"/>
      <c r="AR184" s="282"/>
      <c r="AS184" s="282"/>
      <c r="AT184" s="282"/>
      <c r="AU184" s="282"/>
      <c r="AV184" s="282"/>
      <c r="AW184" s="282"/>
      <c r="AX184" s="282"/>
      <c r="AY184" s="282"/>
      <c r="AZ184" s="282"/>
      <c r="BA184" s="282"/>
      <c r="BB184" s="282"/>
      <c r="BC184" s="282"/>
      <c r="BD184" s="282"/>
      <c r="BE184" s="282"/>
      <c r="BF184" s="282"/>
      <c r="BG184" s="282"/>
      <c r="BH184" s="282"/>
      <c r="BI184" s="282"/>
      <c r="BJ184" s="278"/>
      <c r="BK184" s="278"/>
      <c r="BL184" s="278"/>
      <c r="BM184" s="278"/>
      <c r="BN184" s="278"/>
      <c r="BO184" s="278"/>
      <c r="BP184" s="278"/>
      <c r="BQ184" s="278"/>
      <c r="BR184" s="278"/>
      <c r="BS184" s="278"/>
      <c r="BT184" s="278"/>
      <c r="BU184" s="278"/>
      <c r="BV184" s="278"/>
      <c r="BW184" s="278"/>
      <c r="BX184" s="278"/>
      <c r="BY184" s="278"/>
      <c r="BZ184" s="278"/>
      <c r="CA184" s="278"/>
      <c r="CB184" s="278"/>
      <c r="CC184" s="278"/>
      <c r="CD184" s="278"/>
      <c r="CE184" s="278"/>
      <c r="CF184" s="278"/>
      <c r="CG184" s="278"/>
      <c r="CH184" s="278"/>
      <c r="CI184" s="278"/>
      <c r="CJ184" s="278"/>
      <c r="CK184" s="278"/>
      <c r="CL184" s="278"/>
      <c r="CM184" s="278"/>
      <c r="CN184" s="278"/>
      <c r="CO184" s="278"/>
      <c r="CP184" s="278"/>
      <c r="CQ184" s="278"/>
      <c r="CR184" s="278"/>
      <c r="CS184" s="278"/>
      <c r="CT184" s="278"/>
      <c r="CU184" s="278"/>
      <c r="CV184" s="278"/>
      <c r="CW184" s="278"/>
      <c r="CX184" s="278"/>
      <c r="CY184" s="278"/>
      <c r="CZ184" s="278"/>
      <c r="DA184" s="278"/>
      <c r="DB184" s="278"/>
      <c r="DC184" s="278"/>
      <c r="DD184" s="278"/>
      <c r="DE184" s="278"/>
      <c r="DF184" s="278"/>
      <c r="DG184" s="278"/>
      <c r="DH184" s="278"/>
      <c r="DI184" s="278"/>
      <c r="DJ184" s="278"/>
      <c r="DK184" s="278"/>
      <c r="DL184" s="278"/>
    </row>
    <row r="185" spans="1:116" ht="15.75" customHeight="1" x14ac:dyDescent="0.25">
      <c r="A185" s="466"/>
      <c r="B185" s="466"/>
      <c r="C185" s="467"/>
      <c r="D185" s="279"/>
      <c r="E185" s="280"/>
      <c r="F185" s="279"/>
      <c r="G185" s="279"/>
      <c r="H185" s="409"/>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282"/>
      <c r="AF185" s="282"/>
      <c r="AG185" s="282"/>
      <c r="AH185" s="282"/>
      <c r="AI185" s="282"/>
      <c r="AJ185" s="282"/>
      <c r="AK185" s="282"/>
      <c r="AL185" s="282"/>
      <c r="AM185" s="282"/>
      <c r="AN185" s="282"/>
      <c r="AO185" s="282"/>
      <c r="AP185" s="282"/>
      <c r="AQ185" s="282"/>
      <c r="AR185" s="282"/>
      <c r="AS185" s="282"/>
      <c r="AT185" s="282"/>
      <c r="AU185" s="282"/>
      <c r="AV185" s="282"/>
      <c r="AW185" s="282"/>
      <c r="AX185" s="282"/>
      <c r="AY185" s="282"/>
      <c r="AZ185" s="282"/>
      <c r="BA185" s="282"/>
      <c r="BB185" s="282"/>
      <c r="BC185" s="282"/>
      <c r="BD185" s="282"/>
      <c r="BE185" s="282"/>
      <c r="BF185" s="282"/>
      <c r="BG185" s="282"/>
      <c r="BH185" s="282"/>
      <c r="BI185" s="282"/>
      <c r="BJ185" s="278"/>
      <c r="BK185" s="278"/>
      <c r="BL185" s="278"/>
      <c r="BM185" s="278"/>
      <c r="BN185" s="278"/>
      <c r="BO185" s="278"/>
      <c r="BP185" s="278"/>
      <c r="BQ185" s="278"/>
      <c r="BR185" s="278"/>
      <c r="BS185" s="278"/>
      <c r="BT185" s="278"/>
      <c r="BU185" s="278"/>
      <c r="BV185" s="278"/>
      <c r="BW185" s="278"/>
      <c r="BX185" s="278"/>
      <c r="BY185" s="278"/>
      <c r="BZ185" s="278"/>
      <c r="CA185" s="278"/>
      <c r="CB185" s="278"/>
      <c r="CC185" s="278"/>
      <c r="CD185" s="278"/>
      <c r="CE185" s="278"/>
      <c r="CF185" s="278"/>
      <c r="CG185" s="278"/>
      <c r="CH185" s="278"/>
      <c r="CI185" s="278"/>
      <c r="CJ185" s="278"/>
      <c r="CK185" s="278"/>
      <c r="CL185" s="278"/>
      <c r="CM185" s="278"/>
      <c r="CN185" s="278"/>
      <c r="CO185" s="278"/>
      <c r="CP185" s="278"/>
      <c r="CQ185" s="278"/>
      <c r="CR185" s="278"/>
      <c r="CS185" s="278"/>
      <c r="CT185" s="278"/>
      <c r="CU185" s="278"/>
      <c r="CV185" s="278"/>
      <c r="CW185" s="278"/>
      <c r="CX185" s="278"/>
      <c r="CY185" s="278"/>
      <c r="CZ185" s="278"/>
      <c r="DA185" s="278"/>
      <c r="DB185" s="278"/>
      <c r="DC185" s="278"/>
      <c r="DD185" s="278"/>
      <c r="DE185" s="278"/>
      <c r="DF185" s="278"/>
      <c r="DG185" s="278"/>
      <c r="DH185" s="278"/>
      <c r="DI185" s="278"/>
      <c r="DJ185" s="278"/>
      <c r="DK185" s="278"/>
      <c r="DL185" s="278"/>
    </row>
    <row r="186" spans="1:116" ht="15.75" customHeight="1" x14ac:dyDescent="0.25">
      <c r="A186" s="466"/>
      <c r="B186" s="466"/>
      <c r="C186" s="467"/>
      <c r="D186" s="279"/>
      <c r="E186" s="280"/>
      <c r="F186" s="279"/>
      <c r="G186" s="279"/>
      <c r="H186" s="409"/>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282"/>
      <c r="AF186" s="282"/>
      <c r="AG186" s="282"/>
      <c r="AH186" s="282"/>
      <c r="AI186" s="282"/>
      <c r="AJ186" s="282"/>
      <c r="AK186" s="282"/>
      <c r="AL186" s="282"/>
      <c r="AM186" s="282"/>
      <c r="AN186" s="282"/>
      <c r="AO186" s="282"/>
      <c r="AP186" s="282"/>
      <c r="AQ186" s="282"/>
      <c r="AR186" s="282"/>
      <c r="AS186" s="282"/>
      <c r="AT186" s="282"/>
      <c r="AU186" s="282"/>
      <c r="AV186" s="282"/>
      <c r="AW186" s="282"/>
      <c r="AX186" s="282"/>
      <c r="AY186" s="282"/>
      <c r="AZ186" s="282"/>
      <c r="BA186" s="282"/>
      <c r="BB186" s="282"/>
      <c r="BC186" s="282"/>
      <c r="BD186" s="282"/>
      <c r="BE186" s="282"/>
      <c r="BF186" s="282"/>
      <c r="BG186" s="282"/>
      <c r="BH186" s="282"/>
      <c r="BI186" s="282"/>
      <c r="BJ186" s="278"/>
      <c r="BK186" s="278"/>
      <c r="BL186" s="278"/>
      <c r="BM186" s="278"/>
      <c r="BN186" s="278"/>
      <c r="BO186" s="278"/>
      <c r="BP186" s="278"/>
      <c r="BQ186" s="278"/>
      <c r="BR186" s="278"/>
      <c r="BS186" s="278"/>
      <c r="BT186" s="278"/>
      <c r="BU186" s="278"/>
      <c r="BV186" s="278"/>
      <c r="BW186" s="278"/>
      <c r="BX186" s="278"/>
      <c r="BY186" s="278"/>
      <c r="BZ186" s="278"/>
      <c r="CA186" s="278"/>
      <c r="CB186" s="278"/>
      <c r="CC186" s="278"/>
      <c r="CD186" s="278"/>
      <c r="CE186" s="278"/>
      <c r="CF186" s="278"/>
      <c r="CG186" s="278"/>
      <c r="CH186" s="278"/>
      <c r="CI186" s="278"/>
      <c r="CJ186" s="278"/>
      <c r="CK186" s="278"/>
      <c r="CL186" s="278"/>
      <c r="CM186" s="278"/>
      <c r="CN186" s="278"/>
      <c r="CO186" s="278"/>
      <c r="CP186" s="278"/>
      <c r="CQ186" s="278"/>
      <c r="CR186" s="278"/>
      <c r="CS186" s="278"/>
      <c r="CT186" s="278"/>
      <c r="CU186" s="278"/>
      <c r="CV186" s="278"/>
      <c r="CW186" s="278"/>
      <c r="CX186" s="278"/>
      <c r="CY186" s="278"/>
      <c r="CZ186" s="278"/>
      <c r="DA186" s="278"/>
      <c r="DB186" s="278"/>
      <c r="DC186" s="278"/>
      <c r="DD186" s="278"/>
      <c r="DE186" s="278"/>
      <c r="DF186" s="278"/>
      <c r="DG186" s="278"/>
      <c r="DH186" s="278"/>
      <c r="DI186" s="278"/>
      <c r="DJ186" s="278"/>
      <c r="DK186" s="278"/>
      <c r="DL186" s="278"/>
    </row>
    <row r="187" spans="1:116" ht="15.75" customHeight="1" x14ac:dyDescent="0.25">
      <c r="A187" s="466"/>
      <c r="B187" s="466"/>
      <c r="C187" s="467"/>
      <c r="D187" s="279"/>
      <c r="E187" s="280"/>
      <c r="F187" s="279"/>
      <c r="G187" s="279"/>
      <c r="H187" s="409"/>
      <c r="I187" s="282"/>
      <c r="J187" s="282"/>
      <c r="K187" s="282"/>
      <c r="L187" s="282"/>
      <c r="M187" s="282"/>
      <c r="N187" s="282"/>
      <c r="O187" s="282"/>
      <c r="P187" s="282"/>
      <c r="Q187" s="282"/>
      <c r="R187" s="282"/>
      <c r="S187" s="282"/>
      <c r="T187" s="282"/>
      <c r="U187" s="282"/>
      <c r="V187" s="282"/>
      <c r="W187" s="282"/>
      <c r="X187" s="282"/>
      <c r="Y187" s="282"/>
      <c r="Z187" s="282"/>
      <c r="AA187" s="282"/>
      <c r="AB187" s="282"/>
      <c r="AC187" s="282"/>
      <c r="AD187" s="282"/>
      <c r="AE187" s="282"/>
      <c r="AF187" s="282"/>
      <c r="AG187" s="282"/>
      <c r="AH187" s="282"/>
      <c r="AI187" s="282"/>
      <c r="AJ187" s="282"/>
      <c r="AK187" s="282"/>
      <c r="AL187" s="282"/>
      <c r="AM187" s="282"/>
      <c r="AN187" s="282"/>
      <c r="AO187" s="282"/>
      <c r="AP187" s="282"/>
      <c r="AQ187" s="282"/>
      <c r="AR187" s="282"/>
      <c r="AS187" s="282"/>
      <c r="AT187" s="282"/>
      <c r="AU187" s="282"/>
      <c r="AV187" s="282"/>
      <c r="AW187" s="282"/>
      <c r="AX187" s="282"/>
      <c r="AY187" s="282"/>
      <c r="AZ187" s="282"/>
      <c r="BA187" s="282"/>
      <c r="BB187" s="282"/>
      <c r="BC187" s="282"/>
      <c r="BD187" s="282"/>
      <c r="BE187" s="282"/>
      <c r="BF187" s="282"/>
      <c r="BG187" s="282"/>
      <c r="BH187" s="282"/>
      <c r="BI187" s="282"/>
      <c r="BJ187" s="278"/>
      <c r="BK187" s="278"/>
      <c r="BL187" s="278"/>
      <c r="BM187" s="278"/>
      <c r="BN187" s="278"/>
      <c r="BO187" s="278"/>
      <c r="BP187" s="278"/>
      <c r="BQ187" s="278"/>
      <c r="BR187" s="278"/>
      <c r="BS187" s="278"/>
      <c r="BT187" s="278"/>
      <c r="BU187" s="278"/>
      <c r="BV187" s="278"/>
      <c r="BW187" s="278"/>
      <c r="BX187" s="278"/>
      <c r="BY187" s="278"/>
      <c r="BZ187" s="278"/>
      <c r="CA187" s="278"/>
      <c r="CB187" s="278"/>
      <c r="CC187" s="278"/>
      <c r="CD187" s="278"/>
      <c r="CE187" s="278"/>
      <c r="CF187" s="278"/>
      <c r="CG187" s="278"/>
      <c r="CH187" s="278"/>
      <c r="CI187" s="278"/>
      <c r="CJ187" s="278"/>
      <c r="CK187" s="278"/>
      <c r="CL187" s="278"/>
      <c r="CM187" s="278"/>
      <c r="CN187" s="278"/>
      <c r="CO187" s="278"/>
      <c r="CP187" s="278"/>
      <c r="CQ187" s="278"/>
      <c r="CR187" s="278"/>
      <c r="CS187" s="278"/>
      <c r="CT187" s="278"/>
      <c r="CU187" s="278"/>
      <c r="CV187" s="278"/>
      <c r="CW187" s="278"/>
      <c r="CX187" s="278"/>
      <c r="CY187" s="278"/>
      <c r="CZ187" s="278"/>
      <c r="DA187" s="278"/>
      <c r="DB187" s="278"/>
      <c r="DC187" s="278"/>
      <c r="DD187" s="278"/>
      <c r="DE187" s="278"/>
      <c r="DF187" s="278"/>
      <c r="DG187" s="278"/>
      <c r="DH187" s="278"/>
      <c r="DI187" s="278"/>
      <c r="DJ187" s="278"/>
      <c r="DK187" s="278"/>
      <c r="DL187" s="278"/>
    </row>
    <row r="188" spans="1:116" ht="15.75" customHeight="1" x14ac:dyDescent="0.25">
      <c r="A188" s="466"/>
      <c r="B188" s="466"/>
      <c r="C188" s="467"/>
      <c r="D188" s="279"/>
      <c r="E188" s="280"/>
      <c r="F188" s="279"/>
      <c r="G188" s="279"/>
      <c r="H188" s="409"/>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282"/>
      <c r="AF188" s="282"/>
      <c r="AG188" s="282"/>
      <c r="AH188" s="282"/>
      <c r="AI188" s="282"/>
      <c r="AJ188" s="282"/>
      <c r="AK188" s="282"/>
      <c r="AL188" s="282"/>
      <c r="AM188" s="282"/>
      <c r="AN188" s="282"/>
      <c r="AO188" s="282"/>
      <c r="AP188" s="282"/>
      <c r="AQ188" s="282"/>
      <c r="AR188" s="282"/>
      <c r="AS188" s="282"/>
      <c r="AT188" s="282"/>
      <c r="AU188" s="282"/>
      <c r="AV188" s="282"/>
      <c r="AW188" s="282"/>
      <c r="AX188" s="282"/>
      <c r="AY188" s="282"/>
      <c r="AZ188" s="282"/>
      <c r="BA188" s="282"/>
      <c r="BB188" s="282"/>
      <c r="BC188" s="282"/>
      <c r="BD188" s="282"/>
      <c r="BE188" s="282"/>
      <c r="BF188" s="282"/>
      <c r="BG188" s="282"/>
      <c r="BH188" s="282"/>
      <c r="BI188" s="282"/>
      <c r="BJ188" s="278"/>
      <c r="BK188" s="278"/>
      <c r="BL188" s="278"/>
      <c r="BM188" s="278"/>
      <c r="BN188" s="278"/>
      <c r="BO188" s="278"/>
      <c r="BP188" s="278"/>
      <c r="BQ188" s="278"/>
      <c r="BR188" s="278"/>
      <c r="BS188" s="278"/>
      <c r="BT188" s="278"/>
      <c r="BU188" s="278"/>
      <c r="BV188" s="278"/>
      <c r="BW188" s="278"/>
      <c r="BX188" s="278"/>
      <c r="BY188" s="278"/>
      <c r="BZ188" s="278"/>
      <c r="CA188" s="278"/>
      <c r="CB188" s="278"/>
      <c r="CC188" s="278"/>
      <c r="CD188" s="278"/>
      <c r="CE188" s="278"/>
      <c r="CF188" s="278"/>
      <c r="CG188" s="278"/>
      <c r="CH188" s="278"/>
      <c r="CI188" s="278"/>
      <c r="CJ188" s="278"/>
      <c r="CK188" s="278"/>
      <c r="CL188" s="278"/>
      <c r="CM188" s="278"/>
      <c r="CN188" s="278"/>
      <c r="CO188" s="278"/>
      <c r="CP188" s="278"/>
      <c r="CQ188" s="278"/>
      <c r="CR188" s="278"/>
      <c r="CS188" s="278"/>
      <c r="CT188" s="278"/>
      <c r="CU188" s="278"/>
      <c r="CV188" s="278"/>
      <c r="CW188" s="278"/>
      <c r="CX188" s="278"/>
      <c r="CY188" s="278"/>
      <c r="CZ188" s="278"/>
      <c r="DA188" s="278"/>
      <c r="DB188" s="278"/>
      <c r="DC188" s="278"/>
      <c r="DD188" s="278"/>
      <c r="DE188" s="278"/>
      <c r="DF188" s="278"/>
      <c r="DG188" s="278"/>
      <c r="DH188" s="278"/>
      <c r="DI188" s="278"/>
      <c r="DJ188" s="278"/>
      <c r="DK188" s="278"/>
      <c r="DL188" s="278"/>
    </row>
    <row r="189" spans="1:116" ht="15.75" customHeight="1" x14ac:dyDescent="0.25">
      <c r="A189" s="466"/>
      <c r="B189" s="466"/>
      <c r="C189" s="467"/>
      <c r="D189" s="279"/>
      <c r="E189" s="280"/>
      <c r="F189" s="279"/>
      <c r="G189" s="279"/>
      <c r="H189" s="409"/>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c r="AF189" s="282"/>
      <c r="AG189" s="282"/>
      <c r="AH189" s="282"/>
      <c r="AI189" s="282"/>
      <c r="AJ189" s="282"/>
      <c r="AK189" s="282"/>
      <c r="AL189" s="282"/>
      <c r="AM189" s="282"/>
      <c r="AN189" s="282"/>
      <c r="AO189" s="282"/>
      <c r="AP189" s="282"/>
      <c r="AQ189" s="282"/>
      <c r="AR189" s="282"/>
      <c r="AS189" s="282"/>
      <c r="AT189" s="282"/>
      <c r="AU189" s="282"/>
      <c r="AV189" s="282"/>
      <c r="AW189" s="282"/>
      <c r="AX189" s="282"/>
      <c r="AY189" s="282"/>
      <c r="AZ189" s="282"/>
      <c r="BA189" s="282"/>
      <c r="BB189" s="282"/>
      <c r="BC189" s="282"/>
      <c r="BD189" s="282"/>
      <c r="BE189" s="282"/>
      <c r="BF189" s="282"/>
      <c r="BG189" s="282"/>
      <c r="BH189" s="282"/>
      <c r="BI189" s="282"/>
      <c r="BJ189" s="278"/>
      <c r="BK189" s="278"/>
      <c r="BL189" s="278"/>
      <c r="BM189" s="278"/>
      <c r="BN189" s="278"/>
      <c r="BO189" s="278"/>
      <c r="BP189" s="278"/>
      <c r="BQ189" s="278"/>
      <c r="BR189" s="278"/>
      <c r="BS189" s="278"/>
      <c r="BT189" s="278"/>
      <c r="BU189" s="278"/>
      <c r="BV189" s="278"/>
      <c r="BW189" s="278"/>
      <c r="BX189" s="278"/>
      <c r="BY189" s="278"/>
      <c r="BZ189" s="278"/>
      <c r="CA189" s="278"/>
      <c r="CB189" s="278"/>
      <c r="CC189" s="278"/>
      <c r="CD189" s="278"/>
      <c r="CE189" s="278"/>
      <c r="CF189" s="278"/>
      <c r="CG189" s="278"/>
      <c r="CH189" s="278"/>
      <c r="CI189" s="278"/>
      <c r="CJ189" s="278"/>
      <c r="CK189" s="278"/>
      <c r="CL189" s="278"/>
      <c r="CM189" s="278"/>
      <c r="CN189" s="278"/>
      <c r="CO189" s="278"/>
      <c r="CP189" s="278"/>
      <c r="CQ189" s="278"/>
      <c r="CR189" s="278"/>
      <c r="CS189" s="278"/>
      <c r="CT189" s="278"/>
      <c r="CU189" s="278"/>
      <c r="CV189" s="278"/>
      <c r="CW189" s="278"/>
      <c r="CX189" s="278"/>
      <c r="CY189" s="278"/>
      <c r="CZ189" s="278"/>
      <c r="DA189" s="278"/>
      <c r="DB189" s="278"/>
      <c r="DC189" s="278"/>
      <c r="DD189" s="278"/>
      <c r="DE189" s="278"/>
      <c r="DF189" s="278"/>
      <c r="DG189" s="278"/>
      <c r="DH189" s="278"/>
      <c r="DI189" s="278"/>
      <c r="DJ189" s="278"/>
      <c r="DK189" s="278"/>
      <c r="DL189" s="278"/>
    </row>
    <row r="190" spans="1:116" ht="15.75" customHeight="1" x14ac:dyDescent="0.25">
      <c r="A190" s="466"/>
      <c r="B190" s="466"/>
      <c r="C190" s="467"/>
      <c r="D190" s="279"/>
      <c r="E190" s="280"/>
      <c r="F190" s="279"/>
      <c r="G190" s="279"/>
      <c r="H190" s="409"/>
      <c r="I190" s="282"/>
      <c r="J190" s="282"/>
      <c r="K190" s="282"/>
      <c r="L190" s="282"/>
      <c r="M190" s="282"/>
      <c r="N190" s="282"/>
      <c r="O190" s="282"/>
      <c r="P190" s="282"/>
      <c r="Q190" s="282"/>
      <c r="R190" s="282"/>
      <c r="S190" s="282"/>
      <c r="T190" s="282"/>
      <c r="U190" s="282"/>
      <c r="V190" s="282"/>
      <c r="W190" s="282"/>
      <c r="X190" s="282"/>
      <c r="Y190" s="282"/>
      <c r="Z190" s="282"/>
      <c r="AA190" s="282"/>
      <c r="AB190" s="282"/>
      <c r="AC190" s="282"/>
      <c r="AD190" s="282"/>
      <c r="AE190" s="282"/>
      <c r="AF190" s="282"/>
      <c r="AG190" s="282"/>
      <c r="AH190" s="282"/>
      <c r="AI190" s="282"/>
      <c r="AJ190" s="282"/>
      <c r="AK190" s="282"/>
      <c r="AL190" s="282"/>
      <c r="AM190" s="282"/>
      <c r="AN190" s="282"/>
      <c r="AO190" s="282"/>
      <c r="AP190" s="282"/>
      <c r="AQ190" s="282"/>
      <c r="AR190" s="282"/>
      <c r="AS190" s="282"/>
      <c r="AT190" s="282"/>
      <c r="AU190" s="282"/>
      <c r="AV190" s="282"/>
      <c r="AW190" s="282"/>
      <c r="AX190" s="282"/>
      <c r="AY190" s="282"/>
      <c r="AZ190" s="282"/>
      <c r="BA190" s="282"/>
      <c r="BB190" s="282"/>
      <c r="BC190" s="282"/>
      <c r="BD190" s="282"/>
      <c r="BE190" s="282"/>
      <c r="BF190" s="282"/>
      <c r="BG190" s="282"/>
      <c r="BH190" s="282"/>
      <c r="BI190" s="282"/>
      <c r="BJ190" s="278"/>
      <c r="BK190" s="278"/>
      <c r="BL190" s="278"/>
      <c r="BM190" s="278"/>
      <c r="BN190" s="278"/>
      <c r="BO190" s="278"/>
      <c r="BP190" s="278"/>
      <c r="BQ190" s="278"/>
      <c r="BR190" s="278"/>
      <c r="BS190" s="278"/>
      <c r="BT190" s="278"/>
      <c r="BU190" s="278"/>
      <c r="BV190" s="278"/>
      <c r="BW190" s="278"/>
      <c r="BX190" s="278"/>
      <c r="BY190" s="278"/>
      <c r="BZ190" s="278"/>
      <c r="CA190" s="278"/>
      <c r="CB190" s="278"/>
      <c r="CC190" s="278"/>
      <c r="CD190" s="278"/>
      <c r="CE190" s="278"/>
      <c r="CF190" s="278"/>
      <c r="CG190" s="278"/>
      <c r="CH190" s="278"/>
      <c r="CI190" s="278"/>
      <c r="CJ190" s="278"/>
      <c r="CK190" s="278"/>
      <c r="CL190" s="278"/>
      <c r="CM190" s="278"/>
      <c r="CN190" s="278"/>
      <c r="CO190" s="278"/>
      <c r="CP190" s="278"/>
      <c r="CQ190" s="278"/>
      <c r="CR190" s="278"/>
      <c r="CS190" s="278"/>
      <c r="CT190" s="278"/>
      <c r="CU190" s="278"/>
      <c r="CV190" s="278"/>
      <c r="CW190" s="278"/>
      <c r="CX190" s="278"/>
      <c r="CY190" s="278"/>
      <c r="CZ190" s="278"/>
      <c r="DA190" s="278"/>
      <c r="DB190" s="278"/>
      <c r="DC190" s="278"/>
      <c r="DD190" s="278"/>
      <c r="DE190" s="278"/>
      <c r="DF190" s="278"/>
      <c r="DG190" s="278"/>
      <c r="DH190" s="278"/>
      <c r="DI190" s="278"/>
      <c r="DJ190" s="278"/>
      <c r="DK190" s="278"/>
      <c r="DL190" s="278"/>
    </row>
    <row r="191" spans="1:116" ht="15.75" customHeight="1" x14ac:dyDescent="0.25">
      <c r="A191" s="466"/>
      <c r="B191" s="466"/>
      <c r="C191" s="467"/>
      <c r="D191" s="279"/>
      <c r="E191" s="280"/>
      <c r="F191" s="279"/>
      <c r="G191" s="279"/>
      <c r="H191" s="409"/>
      <c r="I191" s="282"/>
      <c r="J191" s="282"/>
      <c r="K191" s="282"/>
      <c r="L191" s="282"/>
      <c r="M191" s="282"/>
      <c r="N191" s="282"/>
      <c r="O191" s="282"/>
      <c r="P191" s="282"/>
      <c r="Q191" s="282"/>
      <c r="R191" s="282"/>
      <c r="S191" s="282"/>
      <c r="T191" s="282"/>
      <c r="U191" s="282"/>
      <c r="V191" s="282"/>
      <c r="W191" s="282"/>
      <c r="X191" s="282"/>
      <c r="Y191" s="282"/>
      <c r="Z191" s="282"/>
      <c r="AA191" s="282"/>
      <c r="AB191" s="282"/>
      <c r="AC191" s="282"/>
      <c r="AD191" s="282"/>
      <c r="AE191" s="282"/>
      <c r="AF191" s="282"/>
      <c r="AG191" s="282"/>
      <c r="AH191" s="282"/>
      <c r="AI191" s="282"/>
      <c r="AJ191" s="282"/>
      <c r="AK191" s="282"/>
      <c r="AL191" s="282"/>
      <c r="AM191" s="282"/>
      <c r="AN191" s="282"/>
      <c r="AO191" s="282"/>
      <c r="AP191" s="282"/>
      <c r="AQ191" s="282"/>
      <c r="AR191" s="282"/>
      <c r="AS191" s="282"/>
      <c r="AT191" s="282"/>
      <c r="AU191" s="282"/>
      <c r="AV191" s="282"/>
      <c r="AW191" s="282"/>
      <c r="AX191" s="282"/>
      <c r="AY191" s="282"/>
      <c r="AZ191" s="282"/>
      <c r="BA191" s="282"/>
      <c r="BB191" s="282"/>
      <c r="BC191" s="282"/>
      <c r="BD191" s="282"/>
      <c r="BE191" s="282"/>
      <c r="BF191" s="282"/>
      <c r="BG191" s="282"/>
      <c r="BH191" s="282"/>
      <c r="BI191" s="282"/>
      <c r="BJ191" s="278"/>
      <c r="BK191" s="278"/>
      <c r="BL191" s="278"/>
      <c r="BM191" s="278"/>
      <c r="BN191" s="278"/>
      <c r="BO191" s="278"/>
      <c r="BP191" s="278"/>
      <c r="BQ191" s="278"/>
      <c r="BR191" s="278"/>
      <c r="BS191" s="278"/>
      <c r="BT191" s="278"/>
      <c r="BU191" s="278"/>
      <c r="BV191" s="278"/>
      <c r="BW191" s="278"/>
      <c r="BX191" s="278"/>
      <c r="BY191" s="278"/>
      <c r="BZ191" s="278"/>
      <c r="CA191" s="278"/>
      <c r="CB191" s="278"/>
      <c r="CC191" s="278"/>
      <c r="CD191" s="278"/>
      <c r="CE191" s="278"/>
      <c r="CF191" s="278"/>
      <c r="CG191" s="278"/>
      <c r="CH191" s="278"/>
      <c r="CI191" s="278"/>
      <c r="CJ191" s="278"/>
      <c r="CK191" s="278"/>
      <c r="CL191" s="278"/>
      <c r="CM191" s="278"/>
      <c r="CN191" s="278"/>
      <c r="CO191" s="278"/>
      <c r="CP191" s="278"/>
      <c r="CQ191" s="278"/>
      <c r="CR191" s="278"/>
      <c r="CS191" s="278"/>
      <c r="CT191" s="278"/>
      <c r="CU191" s="278"/>
      <c r="CV191" s="278"/>
      <c r="CW191" s="278"/>
      <c r="CX191" s="278"/>
      <c r="CY191" s="278"/>
      <c r="CZ191" s="278"/>
      <c r="DA191" s="278"/>
      <c r="DB191" s="278"/>
      <c r="DC191" s="278"/>
      <c r="DD191" s="278"/>
      <c r="DE191" s="278"/>
      <c r="DF191" s="278"/>
      <c r="DG191" s="278"/>
      <c r="DH191" s="278"/>
      <c r="DI191" s="278"/>
      <c r="DJ191" s="278"/>
      <c r="DK191" s="278"/>
      <c r="DL191" s="278"/>
    </row>
    <row r="192" spans="1:116" ht="15.75" customHeight="1" x14ac:dyDescent="0.25">
      <c r="A192" s="466"/>
      <c r="B192" s="466"/>
      <c r="C192" s="467"/>
      <c r="D192" s="279"/>
      <c r="E192" s="280"/>
      <c r="F192" s="279"/>
      <c r="G192" s="279"/>
      <c r="H192" s="409"/>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282"/>
      <c r="AE192" s="282"/>
      <c r="AF192" s="282"/>
      <c r="AG192" s="282"/>
      <c r="AH192" s="282"/>
      <c r="AI192" s="282"/>
      <c r="AJ192" s="282"/>
      <c r="AK192" s="282"/>
      <c r="AL192" s="282"/>
      <c r="AM192" s="282"/>
      <c r="AN192" s="282"/>
      <c r="AO192" s="282"/>
      <c r="AP192" s="282"/>
      <c r="AQ192" s="282"/>
      <c r="AR192" s="282"/>
      <c r="AS192" s="282"/>
      <c r="AT192" s="282"/>
      <c r="AU192" s="282"/>
      <c r="AV192" s="282"/>
      <c r="AW192" s="282"/>
      <c r="AX192" s="282"/>
      <c r="AY192" s="282"/>
      <c r="AZ192" s="282"/>
      <c r="BA192" s="282"/>
      <c r="BB192" s="282"/>
      <c r="BC192" s="282"/>
      <c r="BD192" s="282"/>
      <c r="BE192" s="282"/>
      <c r="BF192" s="282"/>
      <c r="BG192" s="282"/>
      <c r="BH192" s="282"/>
      <c r="BI192" s="282"/>
      <c r="BJ192" s="278"/>
      <c r="BK192" s="278"/>
      <c r="BL192" s="278"/>
      <c r="BM192" s="278"/>
      <c r="BN192" s="278"/>
      <c r="BO192" s="278"/>
      <c r="BP192" s="278"/>
      <c r="BQ192" s="278"/>
      <c r="BR192" s="278"/>
      <c r="BS192" s="278"/>
      <c r="BT192" s="278"/>
      <c r="BU192" s="278"/>
      <c r="BV192" s="278"/>
      <c r="BW192" s="278"/>
      <c r="BX192" s="278"/>
      <c r="BY192" s="278"/>
      <c r="BZ192" s="278"/>
      <c r="CA192" s="278"/>
      <c r="CB192" s="278"/>
      <c r="CC192" s="278"/>
      <c r="CD192" s="278"/>
      <c r="CE192" s="278"/>
      <c r="CF192" s="278"/>
      <c r="CG192" s="278"/>
      <c r="CH192" s="278"/>
      <c r="CI192" s="278"/>
      <c r="CJ192" s="278"/>
      <c r="CK192" s="278"/>
      <c r="CL192" s="278"/>
      <c r="CM192" s="278"/>
      <c r="CN192" s="278"/>
      <c r="CO192" s="278"/>
      <c r="CP192" s="278"/>
      <c r="CQ192" s="278"/>
      <c r="CR192" s="278"/>
      <c r="CS192" s="278"/>
      <c r="CT192" s="278"/>
      <c r="CU192" s="278"/>
      <c r="CV192" s="278"/>
      <c r="CW192" s="278"/>
      <c r="CX192" s="278"/>
      <c r="CY192" s="278"/>
      <c r="CZ192" s="278"/>
      <c r="DA192" s="278"/>
      <c r="DB192" s="278"/>
      <c r="DC192" s="278"/>
      <c r="DD192" s="278"/>
      <c r="DE192" s="278"/>
      <c r="DF192" s="278"/>
      <c r="DG192" s="278"/>
      <c r="DH192" s="278"/>
      <c r="DI192" s="278"/>
      <c r="DJ192" s="278"/>
      <c r="DK192" s="278"/>
      <c r="DL192" s="278"/>
    </row>
    <row r="193" spans="1:116" ht="15.75" customHeight="1" x14ac:dyDescent="0.25">
      <c r="A193" s="466"/>
      <c r="B193" s="466"/>
      <c r="C193" s="467"/>
      <c r="D193" s="279"/>
      <c r="E193" s="280"/>
      <c r="F193" s="279"/>
      <c r="G193" s="279"/>
      <c r="H193" s="409"/>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282"/>
      <c r="AE193" s="282"/>
      <c r="AF193" s="282"/>
      <c r="AG193" s="282"/>
      <c r="AH193" s="282"/>
      <c r="AI193" s="282"/>
      <c r="AJ193" s="282"/>
      <c r="AK193" s="282"/>
      <c r="AL193" s="282"/>
      <c r="AM193" s="282"/>
      <c r="AN193" s="282"/>
      <c r="AO193" s="282"/>
      <c r="AP193" s="282"/>
      <c r="AQ193" s="282"/>
      <c r="AR193" s="282"/>
      <c r="AS193" s="282"/>
      <c r="AT193" s="282"/>
      <c r="AU193" s="282"/>
      <c r="AV193" s="282"/>
      <c r="AW193" s="282"/>
      <c r="AX193" s="282"/>
      <c r="AY193" s="282"/>
      <c r="AZ193" s="282"/>
      <c r="BA193" s="282"/>
      <c r="BB193" s="282"/>
      <c r="BC193" s="282"/>
      <c r="BD193" s="282"/>
      <c r="BE193" s="282"/>
      <c r="BF193" s="282"/>
      <c r="BG193" s="282"/>
      <c r="BH193" s="282"/>
      <c r="BI193" s="282"/>
      <c r="BJ193" s="278"/>
      <c r="BK193" s="278"/>
      <c r="BL193" s="278"/>
      <c r="BM193" s="278"/>
      <c r="BN193" s="278"/>
      <c r="BO193" s="278"/>
      <c r="BP193" s="278"/>
      <c r="BQ193" s="278"/>
      <c r="BR193" s="278"/>
      <c r="BS193" s="278"/>
      <c r="BT193" s="278"/>
      <c r="BU193" s="278"/>
      <c r="BV193" s="278"/>
      <c r="BW193" s="278"/>
      <c r="BX193" s="278"/>
      <c r="BY193" s="278"/>
      <c r="BZ193" s="278"/>
      <c r="CA193" s="278"/>
      <c r="CB193" s="278"/>
      <c r="CC193" s="278"/>
      <c r="CD193" s="278"/>
      <c r="CE193" s="278"/>
      <c r="CF193" s="278"/>
      <c r="CG193" s="278"/>
      <c r="CH193" s="278"/>
      <c r="CI193" s="278"/>
      <c r="CJ193" s="278"/>
      <c r="CK193" s="278"/>
      <c r="CL193" s="278"/>
      <c r="CM193" s="278"/>
      <c r="CN193" s="278"/>
      <c r="CO193" s="278"/>
      <c r="CP193" s="278"/>
      <c r="CQ193" s="278"/>
      <c r="CR193" s="278"/>
      <c r="CS193" s="278"/>
      <c r="CT193" s="278"/>
      <c r="CU193" s="278"/>
      <c r="CV193" s="278"/>
      <c r="CW193" s="278"/>
      <c r="CX193" s="278"/>
      <c r="CY193" s="278"/>
      <c r="CZ193" s="278"/>
      <c r="DA193" s="278"/>
      <c r="DB193" s="278"/>
      <c r="DC193" s="278"/>
      <c r="DD193" s="278"/>
      <c r="DE193" s="278"/>
      <c r="DF193" s="278"/>
      <c r="DG193" s="278"/>
      <c r="DH193" s="278"/>
      <c r="DI193" s="278"/>
      <c r="DJ193" s="278"/>
      <c r="DK193" s="278"/>
      <c r="DL193" s="278"/>
    </row>
    <row r="194" spans="1:116" ht="15.75" customHeight="1" x14ac:dyDescent="0.25">
      <c r="A194" s="466"/>
      <c r="B194" s="466"/>
      <c r="C194" s="467"/>
      <c r="D194" s="279"/>
      <c r="E194" s="280"/>
      <c r="F194" s="279"/>
      <c r="G194" s="279"/>
      <c r="H194" s="409"/>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282"/>
      <c r="AE194" s="282"/>
      <c r="AF194" s="282"/>
      <c r="AG194" s="282"/>
      <c r="AH194" s="282"/>
      <c r="AI194" s="282"/>
      <c r="AJ194" s="282"/>
      <c r="AK194" s="282"/>
      <c r="AL194" s="282"/>
      <c r="AM194" s="282"/>
      <c r="AN194" s="282"/>
      <c r="AO194" s="282"/>
      <c r="AP194" s="282"/>
      <c r="AQ194" s="282"/>
      <c r="AR194" s="282"/>
      <c r="AS194" s="282"/>
      <c r="AT194" s="282"/>
      <c r="AU194" s="282"/>
      <c r="AV194" s="282"/>
      <c r="AW194" s="282"/>
      <c r="AX194" s="282"/>
      <c r="AY194" s="282"/>
      <c r="AZ194" s="282"/>
      <c r="BA194" s="282"/>
      <c r="BB194" s="282"/>
      <c r="BC194" s="282"/>
      <c r="BD194" s="282"/>
      <c r="BE194" s="282"/>
      <c r="BF194" s="282"/>
      <c r="BG194" s="282"/>
      <c r="BH194" s="282"/>
      <c r="BI194" s="282"/>
      <c r="BJ194" s="278"/>
      <c r="BK194" s="278"/>
      <c r="BL194" s="278"/>
      <c r="BM194" s="278"/>
      <c r="BN194" s="278"/>
      <c r="BO194" s="278"/>
      <c r="BP194" s="278"/>
      <c r="BQ194" s="278"/>
      <c r="BR194" s="278"/>
      <c r="BS194" s="278"/>
      <c r="BT194" s="278"/>
      <c r="BU194" s="278"/>
      <c r="BV194" s="278"/>
      <c r="BW194" s="278"/>
      <c r="BX194" s="278"/>
      <c r="BY194" s="278"/>
      <c r="BZ194" s="278"/>
      <c r="CA194" s="278"/>
      <c r="CB194" s="278"/>
      <c r="CC194" s="278"/>
      <c r="CD194" s="278"/>
      <c r="CE194" s="278"/>
      <c r="CF194" s="278"/>
      <c r="CG194" s="278"/>
      <c r="CH194" s="278"/>
      <c r="CI194" s="278"/>
      <c r="CJ194" s="278"/>
      <c r="CK194" s="278"/>
      <c r="CL194" s="278"/>
      <c r="CM194" s="278"/>
      <c r="CN194" s="278"/>
      <c r="CO194" s="278"/>
      <c r="CP194" s="278"/>
      <c r="CQ194" s="278"/>
      <c r="CR194" s="278"/>
      <c r="CS194" s="278"/>
      <c r="CT194" s="278"/>
      <c r="CU194" s="278"/>
      <c r="CV194" s="278"/>
      <c r="CW194" s="278"/>
      <c r="CX194" s="278"/>
      <c r="CY194" s="278"/>
      <c r="CZ194" s="278"/>
      <c r="DA194" s="278"/>
      <c r="DB194" s="278"/>
      <c r="DC194" s="278"/>
      <c r="DD194" s="278"/>
      <c r="DE194" s="278"/>
      <c r="DF194" s="278"/>
      <c r="DG194" s="278"/>
      <c r="DH194" s="278"/>
      <c r="DI194" s="278"/>
      <c r="DJ194" s="278"/>
      <c r="DK194" s="278"/>
      <c r="DL194" s="278"/>
    </row>
    <row r="195" spans="1:116" ht="15.75" customHeight="1" x14ac:dyDescent="0.25">
      <c r="A195" s="466"/>
      <c r="B195" s="466"/>
      <c r="C195" s="467"/>
      <c r="D195" s="279"/>
      <c r="E195" s="280"/>
      <c r="F195" s="279"/>
      <c r="G195" s="279"/>
      <c r="H195" s="409"/>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282"/>
      <c r="AE195" s="282"/>
      <c r="AF195" s="282"/>
      <c r="AG195" s="282"/>
      <c r="AH195" s="282"/>
      <c r="AI195" s="282"/>
      <c r="AJ195" s="282"/>
      <c r="AK195" s="282"/>
      <c r="AL195" s="282"/>
      <c r="AM195" s="282"/>
      <c r="AN195" s="282"/>
      <c r="AO195" s="282"/>
      <c r="AP195" s="282"/>
      <c r="AQ195" s="282"/>
      <c r="AR195" s="282"/>
      <c r="AS195" s="282"/>
      <c r="AT195" s="282"/>
      <c r="AU195" s="282"/>
      <c r="AV195" s="282"/>
      <c r="AW195" s="282"/>
      <c r="AX195" s="282"/>
      <c r="AY195" s="282"/>
      <c r="AZ195" s="282"/>
      <c r="BA195" s="282"/>
      <c r="BB195" s="282"/>
      <c r="BC195" s="282"/>
      <c r="BD195" s="282"/>
      <c r="BE195" s="282"/>
      <c r="BF195" s="282"/>
      <c r="BG195" s="282"/>
      <c r="BH195" s="282"/>
      <c r="BI195" s="282"/>
      <c r="BJ195" s="278"/>
      <c r="BK195" s="278"/>
      <c r="BL195" s="278"/>
      <c r="BM195" s="278"/>
      <c r="BN195" s="278"/>
      <c r="BO195" s="278"/>
      <c r="BP195" s="278"/>
      <c r="BQ195" s="278"/>
      <c r="BR195" s="278"/>
      <c r="BS195" s="278"/>
      <c r="BT195" s="278"/>
      <c r="BU195" s="278"/>
      <c r="BV195" s="278"/>
      <c r="BW195" s="278"/>
      <c r="BX195" s="278"/>
      <c r="BY195" s="278"/>
      <c r="BZ195" s="278"/>
      <c r="CA195" s="278"/>
      <c r="CB195" s="278"/>
      <c r="CC195" s="278"/>
      <c r="CD195" s="278"/>
      <c r="CE195" s="278"/>
      <c r="CF195" s="278"/>
      <c r="CG195" s="278"/>
      <c r="CH195" s="278"/>
      <c r="CI195" s="278"/>
      <c r="CJ195" s="278"/>
      <c r="CK195" s="278"/>
      <c r="CL195" s="278"/>
      <c r="CM195" s="278"/>
      <c r="CN195" s="278"/>
      <c r="CO195" s="278"/>
      <c r="CP195" s="278"/>
      <c r="CQ195" s="278"/>
      <c r="CR195" s="278"/>
      <c r="CS195" s="278"/>
      <c r="CT195" s="278"/>
      <c r="CU195" s="278"/>
      <c r="CV195" s="278"/>
      <c r="CW195" s="278"/>
      <c r="CX195" s="278"/>
      <c r="CY195" s="278"/>
      <c r="CZ195" s="278"/>
      <c r="DA195" s="278"/>
      <c r="DB195" s="278"/>
      <c r="DC195" s="278"/>
      <c r="DD195" s="278"/>
      <c r="DE195" s="278"/>
      <c r="DF195" s="278"/>
      <c r="DG195" s="278"/>
      <c r="DH195" s="278"/>
      <c r="DI195" s="278"/>
      <c r="DJ195" s="278"/>
      <c r="DK195" s="278"/>
      <c r="DL195" s="278"/>
    </row>
    <row r="196" spans="1:116" ht="15.75" customHeight="1" x14ac:dyDescent="0.25">
      <c r="A196" s="466"/>
      <c r="B196" s="466"/>
      <c r="C196" s="467"/>
      <c r="D196" s="279"/>
      <c r="E196" s="280"/>
      <c r="F196" s="279"/>
      <c r="G196" s="279"/>
      <c r="H196" s="409"/>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82"/>
      <c r="AE196" s="282"/>
      <c r="AF196" s="282"/>
      <c r="AG196" s="282"/>
      <c r="AH196" s="282"/>
      <c r="AI196" s="282"/>
      <c r="AJ196" s="282"/>
      <c r="AK196" s="282"/>
      <c r="AL196" s="282"/>
      <c r="AM196" s="282"/>
      <c r="AN196" s="282"/>
      <c r="AO196" s="282"/>
      <c r="AP196" s="282"/>
      <c r="AQ196" s="282"/>
      <c r="AR196" s="282"/>
      <c r="AS196" s="282"/>
      <c r="AT196" s="282"/>
      <c r="AU196" s="282"/>
      <c r="AV196" s="282"/>
      <c r="AW196" s="282"/>
      <c r="AX196" s="282"/>
      <c r="AY196" s="282"/>
      <c r="AZ196" s="282"/>
      <c r="BA196" s="282"/>
      <c r="BB196" s="282"/>
      <c r="BC196" s="282"/>
      <c r="BD196" s="282"/>
      <c r="BE196" s="282"/>
      <c r="BF196" s="282"/>
      <c r="BG196" s="282"/>
      <c r="BH196" s="282"/>
      <c r="BI196" s="282"/>
      <c r="BJ196" s="278"/>
      <c r="BK196" s="278"/>
      <c r="BL196" s="278"/>
      <c r="BM196" s="278"/>
      <c r="BN196" s="278"/>
      <c r="BO196" s="278"/>
      <c r="BP196" s="278"/>
      <c r="BQ196" s="278"/>
      <c r="BR196" s="278"/>
      <c r="BS196" s="278"/>
      <c r="BT196" s="278"/>
      <c r="BU196" s="278"/>
      <c r="BV196" s="278"/>
      <c r="BW196" s="278"/>
      <c r="BX196" s="278"/>
      <c r="BY196" s="278"/>
      <c r="BZ196" s="278"/>
      <c r="CA196" s="278"/>
      <c r="CB196" s="278"/>
      <c r="CC196" s="278"/>
      <c r="CD196" s="278"/>
      <c r="CE196" s="278"/>
      <c r="CF196" s="278"/>
      <c r="CG196" s="278"/>
      <c r="CH196" s="278"/>
      <c r="CI196" s="278"/>
      <c r="CJ196" s="278"/>
      <c r="CK196" s="278"/>
      <c r="CL196" s="278"/>
      <c r="CM196" s="278"/>
      <c r="CN196" s="278"/>
      <c r="CO196" s="278"/>
      <c r="CP196" s="278"/>
      <c r="CQ196" s="278"/>
      <c r="CR196" s="278"/>
      <c r="CS196" s="278"/>
      <c r="CT196" s="278"/>
      <c r="CU196" s="278"/>
      <c r="CV196" s="278"/>
      <c r="CW196" s="278"/>
      <c r="CX196" s="278"/>
      <c r="CY196" s="278"/>
      <c r="CZ196" s="278"/>
      <c r="DA196" s="278"/>
      <c r="DB196" s="278"/>
      <c r="DC196" s="278"/>
      <c r="DD196" s="278"/>
      <c r="DE196" s="278"/>
      <c r="DF196" s="278"/>
      <c r="DG196" s="278"/>
      <c r="DH196" s="278"/>
      <c r="DI196" s="278"/>
      <c r="DJ196" s="278"/>
      <c r="DK196" s="278"/>
      <c r="DL196" s="278"/>
    </row>
    <row r="197" spans="1:116" ht="15.75" customHeight="1" x14ac:dyDescent="0.25">
      <c r="A197" s="466"/>
      <c r="B197" s="466"/>
      <c r="C197" s="467"/>
      <c r="D197" s="279"/>
      <c r="E197" s="280"/>
      <c r="F197" s="279"/>
      <c r="G197" s="279"/>
      <c r="H197" s="409"/>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282"/>
      <c r="AI197" s="282"/>
      <c r="AJ197" s="282"/>
      <c r="AK197" s="282"/>
      <c r="AL197" s="282"/>
      <c r="AM197" s="282"/>
      <c r="AN197" s="282"/>
      <c r="AO197" s="282"/>
      <c r="AP197" s="282"/>
      <c r="AQ197" s="282"/>
      <c r="AR197" s="282"/>
      <c r="AS197" s="282"/>
      <c r="AT197" s="282"/>
      <c r="AU197" s="282"/>
      <c r="AV197" s="282"/>
      <c r="AW197" s="282"/>
      <c r="AX197" s="282"/>
      <c r="AY197" s="282"/>
      <c r="AZ197" s="282"/>
      <c r="BA197" s="282"/>
      <c r="BB197" s="282"/>
      <c r="BC197" s="282"/>
      <c r="BD197" s="282"/>
      <c r="BE197" s="282"/>
      <c r="BF197" s="282"/>
      <c r="BG197" s="282"/>
      <c r="BH197" s="282"/>
      <c r="BI197" s="282"/>
      <c r="BJ197" s="278"/>
      <c r="BK197" s="278"/>
      <c r="BL197" s="278"/>
      <c r="BM197" s="278"/>
      <c r="BN197" s="278"/>
      <c r="BO197" s="278"/>
      <c r="BP197" s="278"/>
      <c r="BQ197" s="278"/>
      <c r="BR197" s="278"/>
      <c r="BS197" s="278"/>
      <c r="BT197" s="278"/>
      <c r="BU197" s="278"/>
      <c r="BV197" s="278"/>
      <c r="BW197" s="278"/>
      <c r="BX197" s="278"/>
      <c r="BY197" s="278"/>
      <c r="BZ197" s="278"/>
      <c r="CA197" s="278"/>
      <c r="CB197" s="278"/>
      <c r="CC197" s="278"/>
      <c r="CD197" s="278"/>
      <c r="CE197" s="278"/>
      <c r="CF197" s="278"/>
      <c r="CG197" s="278"/>
      <c r="CH197" s="278"/>
      <c r="CI197" s="278"/>
      <c r="CJ197" s="278"/>
      <c r="CK197" s="278"/>
      <c r="CL197" s="278"/>
      <c r="CM197" s="278"/>
      <c r="CN197" s="278"/>
      <c r="CO197" s="278"/>
      <c r="CP197" s="278"/>
      <c r="CQ197" s="278"/>
      <c r="CR197" s="278"/>
      <c r="CS197" s="278"/>
      <c r="CT197" s="278"/>
      <c r="CU197" s="278"/>
      <c r="CV197" s="278"/>
      <c r="CW197" s="278"/>
      <c r="CX197" s="278"/>
      <c r="CY197" s="278"/>
      <c r="CZ197" s="278"/>
      <c r="DA197" s="278"/>
      <c r="DB197" s="278"/>
      <c r="DC197" s="278"/>
      <c r="DD197" s="278"/>
      <c r="DE197" s="278"/>
      <c r="DF197" s="278"/>
      <c r="DG197" s="278"/>
      <c r="DH197" s="278"/>
      <c r="DI197" s="278"/>
      <c r="DJ197" s="278"/>
      <c r="DK197" s="278"/>
      <c r="DL197" s="278"/>
    </row>
    <row r="198" spans="1:116" ht="15.75" customHeight="1" x14ac:dyDescent="0.25">
      <c r="A198" s="466"/>
      <c r="B198" s="466"/>
      <c r="C198" s="467"/>
      <c r="D198" s="279"/>
      <c r="E198" s="280"/>
      <c r="F198" s="279"/>
      <c r="G198" s="279"/>
      <c r="H198" s="409"/>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282"/>
      <c r="AF198" s="282"/>
      <c r="AG198" s="282"/>
      <c r="AH198" s="282"/>
      <c r="AI198" s="282"/>
      <c r="AJ198" s="282"/>
      <c r="AK198" s="282"/>
      <c r="AL198" s="282"/>
      <c r="AM198" s="282"/>
      <c r="AN198" s="282"/>
      <c r="AO198" s="282"/>
      <c r="AP198" s="282"/>
      <c r="AQ198" s="282"/>
      <c r="AR198" s="282"/>
      <c r="AS198" s="282"/>
      <c r="AT198" s="282"/>
      <c r="AU198" s="282"/>
      <c r="AV198" s="282"/>
      <c r="AW198" s="282"/>
      <c r="AX198" s="282"/>
      <c r="AY198" s="282"/>
      <c r="AZ198" s="282"/>
      <c r="BA198" s="282"/>
      <c r="BB198" s="282"/>
      <c r="BC198" s="282"/>
      <c r="BD198" s="282"/>
      <c r="BE198" s="282"/>
      <c r="BF198" s="282"/>
      <c r="BG198" s="282"/>
      <c r="BH198" s="282"/>
      <c r="BI198" s="282"/>
      <c r="BJ198" s="278"/>
      <c r="BK198" s="278"/>
      <c r="BL198" s="278"/>
      <c r="BM198" s="278"/>
      <c r="BN198" s="278"/>
      <c r="BO198" s="278"/>
      <c r="BP198" s="278"/>
      <c r="BQ198" s="278"/>
      <c r="BR198" s="278"/>
      <c r="BS198" s="278"/>
      <c r="BT198" s="278"/>
      <c r="BU198" s="278"/>
      <c r="BV198" s="278"/>
      <c r="BW198" s="278"/>
      <c r="BX198" s="278"/>
      <c r="BY198" s="278"/>
      <c r="BZ198" s="278"/>
      <c r="CA198" s="278"/>
      <c r="CB198" s="278"/>
      <c r="CC198" s="278"/>
      <c r="CD198" s="278"/>
      <c r="CE198" s="278"/>
      <c r="CF198" s="278"/>
      <c r="CG198" s="278"/>
      <c r="CH198" s="278"/>
      <c r="CI198" s="278"/>
      <c r="CJ198" s="278"/>
      <c r="CK198" s="278"/>
      <c r="CL198" s="278"/>
      <c r="CM198" s="278"/>
      <c r="CN198" s="278"/>
      <c r="CO198" s="278"/>
      <c r="CP198" s="278"/>
      <c r="CQ198" s="278"/>
      <c r="CR198" s="278"/>
      <c r="CS198" s="278"/>
      <c r="CT198" s="278"/>
      <c r="CU198" s="278"/>
      <c r="CV198" s="278"/>
      <c r="CW198" s="278"/>
      <c r="CX198" s="278"/>
      <c r="CY198" s="278"/>
      <c r="CZ198" s="278"/>
      <c r="DA198" s="278"/>
      <c r="DB198" s="278"/>
      <c r="DC198" s="278"/>
      <c r="DD198" s="278"/>
      <c r="DE198" s="278"/>
      <c r="DF198" s="278"/>
      <c r="DG198" s="278"/>
      <c r="DH198" s="278"/>
      <c r="DI198" s="278"/>
      <c r="DJ198" s="278"/>
      <c r="DK198" s="278"/>
      <c r="DL198" s="278"/>
    </row>
    <row r="199" spans="1:116" ht="15.75" customHeight="1" x14ac:dyDescent="0.25">
      <c r="A199" s="466"/>
      <c r="B199" s="466"/>
      <c r="C199" s="467"/>
      <c r="D199" s="279"/>
      <c r="E199" s="280"/>
      <c r="F199" s="279"/>
      <c r="G199" s="279"/>
      <c r="H199" s="409"/>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282"/>
      <c r="AI199" s="282"/>
      <c r="AJ199" s="282"/>
      <c r="AK199" s="282"/>
      <c r="AL199" s="282"/>
      <c r="AM199" s="282"/>
      <c r="AN199" s="282"/>
      <c r="AO199" s="282"/>
      <c r="AP199" s="282"/>
      <c r="AQ199" s="282"/>
      <c r="AR199" s="282"/>
      <c r="AS199" s="282"/>
      <c r="AT199" s="282"/>
      <c r="AU199" s="282"/>
      <c r="AV199" s="282"/>
      <c r="AW199" s="282"/>
      <c r="AX199" s="282"/>
      <c r="AY199" s="282"/>
      <c r="AZ199" s="282"/>
      <c r="BA199" s="282"/>
      <c r="BB199" s="282"/>
      <c r="BC199" s="282"/>
      <c r="BD199" s="282"/>
      <c r="BE199" s="282"/>
      <c r="BF199" s="282"/>
      <c r="BG199" s="282"/>
      <c r="BH199" s="282"/>
      <c r="BI199" s="282"/>
      <c r="BJ199" s="278"/>
      <c r="BK199" s="278"/>
      <c r="BL199" s="278"/>
      <c r="BM199" s="278"/>
      <c r="BN199" s="278"/>
      <c r="BO199" s="278"/>
      <c r="BP199" s="278"/>
      <c r="BQ199" s="278"/>
      <c r="BR199" s="278"/>
      <c r="BS199" s="278"/>
      <c r="BT199" s="278"/>
      <c r="BU199" s="278"/>
      <c r="BV199" s="278"/>
      <c r="BW199" s="278"/>
      <c r="BX199" s="278"/>
      <c r="BY199" s="278"/>
      <c r="BZ199" s="278"/>
      <c r="CA199" s="278"/>
      <c r="CB199" s="278"/>
      <c r="CC199" s="278"/>
      <c r="CD199" s="278"/>
      <c r="CE199" s="278"/>
      <c r="CF199" s="278"/>
      <c r="CG199" s="278"/>
      <c r="CH199" s="278"/>
      <c r="CI199" s="278"/>
      <c r="CJ199" s="278"/>
      <c r="CK199" s="278"/>
      <c r="CL199" s="278"/>
      <c r="CM199" s="278"/>
      <c r="CN199" s="278"/>
      <c r="CO199" s="278"/>
      <c r="CP199" s="278"/>
      <c r="CQ199" s="278"/>
      <c r="CR199" s="278"/>
      <c r="CS199" s="278"/>
      <c r="CT199" s="278"/>
      <c r="CU199" s="278"/>
      <c r="CV199" s="278"/>
      <c r="CW199" s="278"/>
      <c r="CX199" s="278"/>
      <c r="CY199" s="278"/>
      <c r="CZ199" s="278"/>
      <c r="DA199" s="278"/>
      <c r="DB199" s="278"/>
      <c r="DC199" s="278"/>
      <c r="DD199" s="278"/>
      <c r="DE199" s="278"/>
      <c r="DF199" s="278"/>
      <c r="DG199" s="278"/>
      <c r="DH199" s="278"/>
      <c r="DI199" s="278"/>
      <c r="DJ199" s="278"/>
      <c r="DK199" s="278"/>
      <c r="DL199" s="278"/>
    </row>
    <row r="200" spans="1:116" ht="15.75" customHeight="1" x14ac:dyDescent="0.25">
      <c r="A200" s="466"/>
      <c r="B200" s="466"/>
      <c r="C200" s="467"/>
      <c r="D200" s="279"/>
      <c r="E200" s="280"/>
      <c r="F200" s="279"/>
      <c r="G200" s="279"/>
      <c r="H200" s="409"/>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282"/>
      <c r="AE200" s="282"/>
      <c r="AF200" s="282"/>
      <c r="AG200" s="282"/>
      <c r="AH200" s="282"/>
      <c r="AI200" s="282"/>
      <c r="AJ200" s="282"/>
      <c r="AK200" s="282"/>
      <c r="AL200" s="282"/>
      <c r="AM200" s="282"/>
      <c r="AN200" s="282"/>
      <c r="AO200" s="282"/>
      <c r="AP200" s="282"/>
      <c r="AQ200" s="282"/>
      <c r="AR200" s="282"/>
      <c r="AS200" s="282"/>
      <c r="AT200" s="282"/>
      <c r="AU200" s="282"/>
      <c r="AV200" s="282"/>
      <c r="AW200" s="282"/>
      <c r="AX200" s="282"/>
      <c r="AY200" s="282"/>
      <c r="AZ200" s="282"/>
      <c r="BA200" s="282"/>
      <c r="BB200" s="282"/>
      <c r="BC200" s="282"/>
      <c r="BD200" s="282"/>
      <c r="BE200" s="282"/>
      <c r="BF200" s="282"/>
      <c r="BG200" s="282"/>
      <c r="BH200" s="282"/>
      <c r="BI200" s="282"/>
      <c r="BJ200" s="278"/>
      <c r="BK200" s="278"/>
      <c r="BL200" s="278"/>
      <c r="BM200" s="278"/>
      <c r="BN200" s="278"/>
      <c r="BO200" s="278"/>
      <c r="BP200" s="278"/>
      <c r="BQ200" s="278"/>
      <c r="BR200" s="278"/>
      <c r="BS200" s="278"/>
      <c r="BT200" s="278"/>
      <c r="BU200" s="278"/>
      <c r="BV200" s="278"/>
      <c r="BW200" s="278"/>
      <c r="BX200" s="278"/>
      <c r="BY200" s="278"/>
      <c r="BZ200" s="278"/>
      <c r="CA200" s="278"/>
      <c r="CB200" s="278"/>
      <c r="CC200" s="278"/>
      <c r="CD200" s="278"/>
      <c r="CE200" s="278"/>
      <c r="CF200" s="278"/>
      <c r="CG200" s="278"/>
      <c r="CH200" s="278"/>
      <c r="CI200" s="278"/>
      <c r="CJ200" s="278"/>
      <c r="CK200" s="278"/>
      <c r="CL200" s="278"/>
      <c r="CM200" s="278"/>
      <c r="CN200" s="278"/>
      <c r="CO200" s="278"/>
      <c r="CP200" s="278"/>
      <c r="CQ200" s="278"/>
      <c r="CR200" s="278"/>
      <c r="CS200" s="278"/>
      <c r="CT200" s="278"/>
      <c r="CU200" s="278"/>
      <c r="CV200" s="278"/>
      <c r="CW200" s="278"/>
      <c r="CX200" s="278"/>
      <c r="CY200" s="278"/>
      <c r="CZ200" s="278"/>
      <c r="DA200" s="278"/>
      <c r="DB200" s="278"/>
      <c r="DC200" s="278"/>
      <c r="DD200" s="278"/>
      <c r="DE200" s="278"/>
      <c r="DF200" s="278"/>
      <c r="DG200" s="278"/>
      <c r="DH200" s="278"/>
      <c r="DI200" s="278"/>
      <c r="DJ200" s="278"/>
      <c r="DK200" s="278"/>
      <c r="DL200" s="278"/>
    </row>
    <row r="201" spans="1:116" ht="15.75" customHeight="1" x14ac:dyDescent="0.25">
      <c r="A201" s="466"/>
      <c r="B201" s="466"/>
      <c r="C201" s="467"/>
      <c r="D201" s="279"/>
      <c r="E201" s="280"/>
      <c r="F201" s="279"/>
      <c r="G201" s="279"/>
      <c r="H201" s="409"/>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282"/>
      <c r="AE201" s="282"/>
      <c r="AF201" s="282"/>
      <c r="AG201" s="282"/>
      <c r="AH201" s="282"/>
      <c r="AI201" s="282"/>
      <c r="AJ201" s="282"/>
      <c r="AK201" s="282"/>
      <c r="AL201" s="282"/>
      <c r="AM201" s="282"/>
      <c r="AN201" s="282"/>
      <c r="AO201" s="282"/>
      <c r="AP201" s="282"/>
      <c r="AQ201" s="282"/>
      <c r="AR201" s="282"/>
      <c r="AS201" s="282"/>
      <c r="AT201" s="282"/>
      <c r="AU201" s="282"/>
      <c r="AV201" s="282"/>
      <c r="AW201" s="282"/>
      <c r="AX201" s="282"/>
      <c r="AY201" s="282"/>
      <c r="AZ201" s="282"/>
      <c r="BA201" s="282"/>
      <c r="BB201" s="282"/>
      <c r="BC201" s="282"/>
      <c r="BD201" s="282"/>
      <c r="BE201" s="282"/>
      <c r="BF201" s="282"/>
      <c r="BG201" s="282"/>
      <c r="BH201" s="282"/>
      <c r="BI201" s="282"/>
      <c r="BJ201" s="278"/>
      <c r="BK201" s="278"/>
      <c r="BL201" s="278"/>
      <c r="BM201" s="278"/>
      <c r="BN201" s="278"/>
      <c r="BO201" s="278"/>
      <c r="BP201" s="278"/>
      <c r="BQ201" s="278"/>
      <c r="BR201" s="278"/>
      <c r="BS201" s="278"/>
      <c r="BT201" s="278"/>
      <c r="BU201" s="278"/>
      <c r="BV201" s="278"/>
      <c r="BW201" s="278"/>
      <c r="BX201" s="278"/>
      <c r="BY201" s="278"/>
      <c r="BZ201" s="278"/>
      <c r="CA201" s="278"/>
      <c r="CB201" s="278"/>
      <c r="CC201" s="278"/>
      <c r="CD201" s="278"/>
      <c r="CE201" s="278"/>
      <c r="CF201" s="278"/>
      <c r="CG201" s="278"/>
      <c r="CH201" s="278"/>
      <c r="CI201" s="278"/>
      <c r="CJ201" s="278"/>
      <c r="CK201" s="278"/>
      <c r="CL201" s="278"/>
      <c r="CM201" s="278"/>
      <c r="CN201" s="278"/>
      <c r="CO201" s="278"/>
      <c r="CP201" s="278"/>
      <c r="CQ201" s="278"/>
      <c r="CR201" s="278"/>
      <c r="CS201" s="278"/>
      <c r="CT201" s="278"/>
      <c r="CU201" s="278"/>
      <c r="CV201" s="278"/>
      <c r="CW201" s="278"/>
      <c r="CX201" s="278"/>
      <c r="CY201" s="278"/>
      <c r="CZ201" s="278"/>
      <c r="DA201" s="278"/>
      <c r="DB201" s="278"/>
      <c r="DC201" s="278"/>
      <c r="DD201" s="278"/>
      <c r="DE201" s="278"/>
      <c r="DF201" s="278"/>
      <c r="DG201" s="278"/>
      <c r="DH201" s="278"/>
      <c r="DI201" s="278"/>
      <c r="DJ201" s="278"/>
      <c r="DK201" s="278"/>
      <c r="DL201" s="278"/>
    </row>
    <row r="202" spans="1:116" ht="15.75" customHeight="1" x14ac:dyDescent="0.25">
      <c r="A202" s="466"/>
      <c r="B202" s="466"/>
      <c r="C202" s="467"/>
      <c r="D202" s="279"/>
      <c r="E202" s="280"/>
      <c r="F202" s="279"/>
      <c r="G202" s="279"/>
      <c r="H202" s="409"/>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282"/>
      <c r="AE202" s="282"/>
      <c r="AF202" s="282"/>
      <c r="AG202" s="282"/>
      <c r="AH202" s="282"/>
      <c r="AI202" s="282"/>
      <c r="AJ202" s="282"/>
      <c r="AK202" s="282"/>
      <c r="AL202" s="282"/>
      <c r="AM202" s="282"/>
      <c r="AN202" s="282"/>
      <c r="AO202" s="282"/>
      <c r="AP202" s="282"/>
      <c r="AQ202" s="282"/>
      <c r="AR202" s="282"/>
      <c r="AS202" s="282"/>
      <c r="AT202" s="282"/>
      <c r="AU202" s="282"/>
      <c r="AV202" s="282"/>
      <c r="AW202" s="282"/>
      <c r="AX202" s="282"/>
      <c r="AY202" s="282"/>
      <c r="AZ202" s="282"/>
      <c r="BA202" s="282"/>
      <c r="BB202" s="282"/>
      <c r="BC202" s="282"/>
      <c r="BD202" s="282"/>
      <c r="BE202" s="282"/>
      <c r="BF202" s="282"/>
      <c r="BG202" s="282"/>
      <c r="BH202" s="282"/>
      <c r="BI202" s="282"/>
      <c r="BJ202" s="278"/>
      <c r="BK202" s="278"/>
      <c r="BL202" s="278"/>
      <c r="BM202" s="278"/>
      <c r="BN202" s="278"/>
      <c r="BO202" s="278"/>
      <c r="BP202" s="278"/>
      <c r="BQ202" s="278"/>
      <c r="BR202" s="278"/>
      <c r="BS202" s="278"/>
      <c r="BT202" s="278"/>
      <c r="BU202" s="278"/>
      <c r="BV202" s="278"/>
      <c r="BW202" s="278"/>
      <c r="BX202" s="278"/>
      <c r="BY202" s="278"/>
      <c r="BZ202" s="278"/>
      <c r="CA202" s="278"/>
      <c r="CB202" s="278"/>
      <c r="CC202" s="278"/>
      <c r="CD202" s="278"/>
      <c r="CE202" s="278"/>
      <c r="CF202" s="278"/>
      <c r="CG202" s="278"/>
      <c r="CH202" s="278"/>
      <c r="CI202" s="278"/>
      <c r="CJ202" s="278"/>
      <c r="CK202" s="278"/>
      <c r="CL202" s="278"/>
      <c r="CM202" s="278"/>
      <c r="CN202" s="278"/>
      <c r="CO202" s="278"/>
      <c r="CP202" s="278"/>
      <c r="CQ202" s="278"/>
      <c r="CR202" s="278"/>
      <c r="CS202" s="278"/>
      <c r="CT202" s="278"/>
      <c r="CU202" s="278"/>
      <c r="CV202" s="278"/>
      <c r="CW202" s="278"/>
      <c r="CX202" s="278"/>
      <c r="CY202" s="278"/>
      <c r="CZ202" s="278"/>
      <c r="DA202" s="278"/>
      <c r="DB202" s="278"/>
      <c r="DC202" s="278"/>
      <c r="DD202" s="278"/>
      <c r="DE202" s="278"/>
      <c r="DF202" s="278"/>
      <c r="DG202" s="278"/>
      <c r="DH202" s="278"/>
      <c r="DI202" s="278"/>
      <c r="DJ202" s="278"/>
      <c r="DK202" s="278"/>
      <c r="DL202" s="278"/>
    </row>
    <row r="203" spans="1:116" ht="15.75" customHeight="1" x14ac:dyDescent="0.25">
      <c r="A203" s="466"/>
      <c r="B203" s="466"/>
      <c r="C203" s="467"/>
      <c r="D203" s="279"/>
      <c r="E203" s="280"/>
      <c r="F203" s="279"/>
      <c r="G203" s="279"/>
      <c r="H203" s="409"/>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282"/>
      <c r="AE203" s="282"/>
      <c r="AF203" s="282"/>
      <c r="AG203" s="282"/>
      <c r="AH203" s="282"/>
      <c r="AI203" s="282"/>
      <c r="AJ203" s="282"/>
      <c r="AK203" s="282"/>
      <c r="AL203" s="282"/>
      <c r="AM203" s="282"/>
      <c r="AN203" s="282"/>
      <c r="AO203" s="282"/>
      <c r="AP203" s="282"/>
      <c r="AQ203" s="282"/>
      <c r="AR203" s="282"/>
      <c r="AS203" s="282"/>
      <c r="AT203" s="282"/>
      <c r="AU203" s="282"/>
      <c r="AV203" s="282"/>
      <c r="AW203" s="282"/>
      <c r="AX203" s="282"/>
      <c r="AY203" s="282"/>
      <c r="AZ203" s="282"/>
      <c r="BA203" s="282"/>
      <c r="BB203" s="282"/>
      <c r="BC203" s="282"/>
      <c r="BD203" s="282"/>
      <c r="BE203" s="282"/>
      <c r="BF203" s="282"/>
      <c r="BG203" s="282"/>
      <c r="BH203" s="282"/>
      <c r="BI203" s="282"/>
      <c r="BJ203" s="278"/>
      <c r="BK203" s="278"/>
      <c r="BL203" s="278"/>
      <c r="BM203" s="278"/>
      <c r="BN203" s="278"/>
      <c r="BO203" s="278"/>
      <c r="BP203" s="278"/>
      <c r="BQ203" s="278"/>
      <c r="BR203" s="278"/>
      <c r="BS203" s="278"/>
      <c r="BT203" s="278"/>
      <c r="BU203" s="278"/>
      <c r="BV203" s="278"/>
      <c r="BW203" s="278"/>
      <c r="BX203" s="278"/>
      <c r="BY203" s="278"/>
      <c r="BZ203" s="278"/>
      <c r="CA203" s="278"/>
      <c r="CB203" s="278"/>
      <c r="CC203" s="278"/>
      <c r="CD203" s="278"/>
      <c r="CE203" s="278"/>
      <c r="CF203" s="278"/>
      <c r="CG203" s="278"/>
      <c r="CH203" s="278"/>
      <c r="CI203" s="278"/>
      <c r="CJ203" s="278"/>
      <c r="CK203" s="278"/>
      <c r="CL203" s="278"/>
      <c r="CM203" s="278"/>
      <c r="CN203" s="278"/>
      <c r="CO203" s="278"/>
      <c r="CP203" s="278"/>
      <c r="CQ203" s="278"/>
      <c r="CR203" s="278"/>
      <c r="CS203" s="278"/>
      <c r="CT203" s="278"/>
      <c r="CU203" s="278"/>
      <c r="CV203" s="278"/>
      <c r="CW203" s="278"/>
      <c r="CX203" s="278"/>
      <c r="CY203" s="278"/>
      <c r="CZ203" s="278"/>
      <c r="DA203" s="278"/>
      <c r="DB203" s="278"/>
      <c r="DC203" s="278"/>
      <c r="DD203" s="278"/>
      <c r="DE203" s="278"/>
      <c r="DF203" s="278"/>
      <c r="DG203" s="278"/>
      <c r="DH203" s="278"/>
      <c r="DI203" s="278"/>
      <c r="DJ203" s="278"/>
      <c r="DK203" s="278"/>
      <c r="DL203" s="278"/>
    </row>
    <row r="204" spans="1:116" ht="15.75" customHeight="1" x14ac:dyDescent="0.25">
      <c r="A204" s="466"/>
      <c r="B204" s="466"/>
      <c r="C204" s="467"/>
      <c r="D204" s="279"/>
      <c r="E204" s="280"/>
      <c r="F204" s="279"/>
      <c r="G204" s="279"/>
      <c r="H204" s="409"/>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282"/>
      <c r="AE204" s="282"/>
      <c r="AF204" s="282"/>
      <c r="AG204" s="282"/>
      <c r="AH204" s="282"/>
      <c r="AI204" s="282"/>
      <c r="AJ204" s="282"/>
      <c r="AK204" s="282"/>
      <c r="AL204" s="282"/>
      <c r="AM204" s="282"/>
      <c r="AN204" s="282"/>
      <c r="AO204" s="282"/>
      <c r="AP204" s="282"/>
      <c r="AQ204" s="282"/>
      <c r="AR204" s="282"/>
      <c r="AS204" s="282"/>
      <c r="AT204" s="282"/>
      <c r="AU204" s="282"/>
      <c r="AV204" s="282"/>
      <c r="AW204" s="282"/>
      <c r="AX204" s="282"/>
      <c r="AY204" s="282"/>
      <c r="AZ204" s="282"/>
      <c r="BA204" s="282"/>
      <c r="BB204" s="282"/>
      <c r="BC204" s="282"/>
      <c r="BD204" s="282"/>
      <c r="BE204" s="282"/>
      <c r="BF204" s="282"/>
      <c r="BG204" s="282"/>
      <c r="BH204" s="282"/>
      <c r="BI204" s="282"/>
      <c r="BJ204" s="278"/>
      <c r="BK204" s="278"/>
      <c r="BL204" s="278"/>
      <c r="BM204" s="278"/>
      <c r="BN204" s="278"/>
      <c r="BO204" s="278"/>
      <c r="BP204" s="278"/>
      <c r="BQ204" s="278"/>
      <c r="BR204" s="278"/>
      <c r="BS204" s="278"/>
      <c r="BT204" s="278"/>
      <c r="BU204" s="278"/>
      <c r="BV204" s="278"/>
      <c r="BW204" s="278"/>
      <c r="BX204" s="278"/>
      <c r="BY204" s="278"/>
      <c r="BZ204" s="278"/>
      <c r="CA204" s="278"/>
      <c r="CB204" s="278"/>
      <c r="CC204" s="278"/>
      <c r="CD204" s="278"/>
      <c r="CE204" s="278"/>
      <c r="CF204" s="278"/>
      <c r="CG204" s="278"/>
      <c r="CH204" s="278"/>
      <c r="CI204" s="278"/>
      <c r="CJ204" s="278"/>
      <c r="CK204" s="278"/>
      <c r="CL204" s="278"/>
      <c r="CM204" s="278"/>
      <c r="CN204" s="278"/>
      <c r="CO204" s="278"/>
      <c r="CP204" s="278"/>
      <c r="CQ204" s="278"/>
      <c r="CR204" s="278"/>
      <c r="CS204" s="278"/>
      <c r="CT204" s="278"/>
      <c r="CU204" s="278"/>
      <c r="CV204" s="278"/>
      <c r="CW204" s="278"/>
      <c r="CX204" s="278"/>
      <c r="CY204" s="278"/>
      <c r="CZ204" s="278"/>
      <c r="DA204" s="278"/>
      <c r="DB204" s="278"/>
      <c r="DC204" s="278"/>
      <c r="DD204" s="278"/>
      <c r="DE204" s="278"/>
      <c r="DF204" s="278"/>
      <c r="DG204" s="278"/>
      <c r="DH204" s="278"/>
      <c r="DI204" s="278"/>
      <c r="DJ204" s="278"/>
      <c r="DK204" s="278"/>
      <c r="DL204" s="278"/>
    </row>
    <row r="205" spans="1:116" ht="15.75" customHeight="1" x14ac:dyDescent="0.25">
      <c r="A205" s="466"/>
      <c r="B205" s="466"/>
      <c r="C205" s="467"/>
      <c r="D205" s="279"/>
      <c r="E205" s="280"/>
      <c r="F205" s="279"/>
      <c r="G205" s="279"/>
      <c r="H205" s="409"/>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282"/>
      <c r="AE205" s="282"/>
      <c r="AF205" s="282"/>
      <c r="AG205" s="282"/>
      <c r="AH205" s="282"/>
      <c r="AI205" s="282"/>
      <c r="AJ205" s="282"/>
      <c r="AK205" s="282"/>
      <c r="AL205" s="282"/>
      <c r="AM205" s="282"/>
      <c r="AN205" s="282"/>
      <c r="AO205" s="282"/>
      <c r="AP205" s="282"/>
      <c r="AQ205" s="282"/>
      <c r="AR205" s="282"/>
      <c r="AS205" s="282"/>
      <c r="AT205" s="282"/>
      <c r="AU205" s="282"/>
      <c r="AV205" s="282"/>
      <c r="AW205" s="282"/>
      <c r="AX205" s="282"/>
      <c r="AY205" s="282"/>
      <c r="AZ205" s="282"/>
      <c r="BA205" s="282"/>
      <c r="BB205" s="282"/>
      <c r="BC205" s="282"/>
      <c r="BD205" s="282"/>
      <c r="BE205" s="282"/>
      <c r="BF205" s="282"/>
      <c r="BG205" s="282"/>
      <c r="BH205" s="282"/>
      <c r="BI205" s="282"/>
      <c r="BJ205" s="278"/>
      <c r="BK205" s="278"/>
      <c r="BL205" s="278"/>
      <c r="BM205" s="278"/>
      <c r="BN205" s="278"/>
      <c r="BO205" s="278"/>
      <c r="BP205" s="278"/>
      <c r="BQ205" s="278"/>
      <c r="BR205" s="278"/>
      <c r="BS205" s="278"/>
      <c r="BT205" s="278"/>
      <c r="BU205" s="278"/>
      <c r="BV205" s="278"/>
      <c r="BW205" s="278"/>
      <c r="BX205" s="278"/>
      <c r="BY205" s="278"/>
      <c r="BZ205" s="278"/>
      <c r="CA205" s="278"/>
      <c r="CB205" s="278"/>
      <c r="CC205" s="278"/>
      <c r="CD205" s="278"/>
      <c r="CE205" s="278"/>
      <c r="CF205" s="278"/>
      <c r="CG205" s="278"/>
      <c r="CH205" s="278"/>
      <c r="CI205" s="278"/>
      <c r="CJ205" s="278"/>
      <c r="CK205" s="278"/>
      <c r="CL205" s="278"/>
      <c r="CM205" s="278"/>
      <c r="CN205" s="278"/>
      <c r="CO205" s="278"/>
      <c r="CP205" s="278"/>
      <c r="CQ205" s="278"/>
      <c r="CR205" s="278"/>
      <c r="CS205" s="278"/>
      <c r="CT205" s="278"/>
      <c r="CU205" s="278"/>
      <c r="CV205" s="278"/>
      <c r="CW205" s="278"/>
      <c r="CX205" s="278"/>
      <c r="CY205" s="278"/>
      <c r="CZ205" s="278"/>
      <c r="DA205" s="278"/>
      <c r="DB205" s="278"/>
      <c r="DC205" s="278"/>
      <c r="DD205" s="278"/>
      <c r="DE205" s="278"/>
      <c r="DF205" s="278"/>
      <c r="DG205" s="278"/>
      <c r="DH205" s="278"/>
      <c r="DI205" s="278"/>
      <c r="DJ205" s="278"/>
      <c r="DK205" s="278"/>
      <c r="DL205" s="278"/>
    </row>
    <row r="206" spans="1:116" ht="15.75" customHeight="1" x14ac:dyDescent="0.25">
      <c r="A206" s="466"/>
      <c r="B206" s="466"/>
      <c r="C206" s="467"/>
      <c r="D206" s="279"/>
      <c r="E206" s="280"/>
      <c r="F206" s="279"/>
      <c r="G206" s="279"/>
      <c r="H206" s="409"/>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282"/>
      <c r="AF206" s="282"/>
      <c r="AG206" s="282"/>
      <c r="AH206" s="282"/>
      <c r="AI206" s="282"/>
      <c r="AJ206" s="282"/>
      <c r="AK206" s="282"/>
      <c r="AL206" s="282"/>
      <c r="AM206" s="282"/>
      <c r="AN206" s="282"/>
      <c r="AO206" s="282"/>
      <c r="AP206" s="282"/>
      <c r="AQ206" s="282"/>
      <c r="AR206" s="282"/>
      <c r="AS206" s="282"/>
      <c r="AT206" s="282"/>
      <c r="AU206" s="282"/>
      <c r="AV206" s="282"/>
      <c r="AW206" s="282"/>
      <c r="AX206" s="282"/>
      <c r="AY206" s="282"/>
      <c r="AZ206" s="282"/>
      <c r="BA206" s="282"/>
      <c r="BB206" s="282"/>
      <c r="BC206" s="282"/>
      <c r="BD206" s="282"/>
      <c r="BE206" s="282"/>
      <c r="BF206" s="282"/>
      <c r="BG206" s="282"/>
      <c r="BH206" s="282"/>
      <c r="BI206" s="282"/>
      <c r="BJ206" s="278"/>
      <c r="BK206" s="278"/>
      <c r="BL206" s="278"/>
      <c r="BM206" s="278"/>
      <c r="BN206" s="278"/>
      <c r="BO206" s="278"/>
      <c r="BP206" s="278"/>
      <c r="BQ206" s="278"/>
      <c r="BR206" s="278"/>
      <c r="BS206" s="278"/>
      <c r="BT206" s="278"/>
      <c r="BU206" s="278"/>
      <c r="BV206" s="278"/>
      <c r="BW206" s="278"/>
      <c r="BX206" s="278"/>
      <c r="BY206" s="278"/>
      <c r="BZ206" s="278"/>
      <c r="CA206" s="278"/>
      <c r="CB206" s="278"/>
      <c r="CC206" s="278"/>
      <c r="CD206" s="278"/>
      <c r="CE206" s="278"/>
      <c r="CF206" s="278"/>
      <c r="CG206" s="278"/>
      <c r="CH206" s="278"/>
      <c r="CI206" s="278"/>
      <c r="CJ206" s="278"/>
      <c r="CK206" s="278"/>
      <c r="CL206" s="278"/>
      <c r="CM206" s="278"/>
      <c r="CN206" s="278"/>
      <c r="CO206" s="278"/>
      <c r="CP206" s="278"/>
      <c r="CQ206" s="278"/>
      <c r="CR206" s="278"/>
      <c r="CS206" s="278"/>
      <c r="CT206" s="278"/>
      <c r="CU206" s="278"/>
      <c r="CV206" s="278"/>
      <c r="CW206" s="278"/>
      <c r="CX206" s="278"/>
      <c r="CY206" s="278"/>
      <c r="CZ206" s="278"/>
      <c r="DA206" s="278"/>
      <c r="DB206" s="278"/>
      <c r="DC206" s="278"/>
      <c r="DD206" s="278"/>
      <c r="DE206" s="278"/>
      <c r="DF206" s="278"/>
      <c r="DG206" s="278"/>
      <c r="DH206" s="278"/>
      <c r="DI206" s="278"/>
      <c r="DJ206" s="278"/>
      <c r="DK206" s="278"/>
      <c r="DL206" s="278"/>
    </row>
    <row r="207" spans="1:116" ht="15.75" customHeight="1" x14ac:dyDescent="0.25">
      <c r="A207" s="466"/>
      <c r="B207" s="466"/>
      <c r="C207" s="467"/>
      <c r="D207" s="279"/>
      <c r="E207" s="280"/>
      <c r="F207" s="279"/>
      <c r="G207" s="279"/>
      <c r="H207" s="409"/>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282"/>
      <c r="AF207" s="282"/>
      <c r="AG207" s="282"/>
      <c r="AH207" s="282"/>
      <c r="AI207" s="282"/>
      <c r="AJ207" s="282"/>
      <c r="AK207" s="282"/>
      <c r="AL207" s="282"/>
      <c r="AM207" s="282"/>
      <c r="AN207" s="282"/>
      <c r="AO207" s="282"/>
      <c r="AP207" s="282"/>
      <c r="AQ207" s="282"/>
      <c r="AR207" s="282"/>
      <c r="AS207" s="282"/>
      <c r="AT207" s="282"/>
      <c r="AU207" s="282"/>
      <c r="AV207" s="282"/>
      <c r="AW207" s="282"/>
      <c r="AX207" s="282"/>
      <c r="AY207" s="282"/>
      <c r="AZ207" s="282"/>
      <c r="BA207" s="282"/>
      <c r="BB207" s="282"/>
      <c r="BC207" s="282"/>
      <c r="BD207" s="282"/>
      <c r="BE207" s="282"/>
      <c r="BF207" s="282"/>
      <c r="BG207" s="282"/>
      <c r="BH207" s="282"/>
      <c r="BI207" s="282"/>
      <c r="BJ207" s="278"/>
      <c r="BK207" s="278"/>
      <c r="BL207" s="278"/>
      <c r="BM207" s="278"/>
      <c r="BN207" s="278"/>
      <c r="BO207" s="278"/>
      <c r="BP207" s="278"/>
      <c r="BQ207" s="278"/>
      <c r="BR207" s="278"/>
      <c r="BS207" s="278"/>
      <c r="BT207" s="278"/>
      <c r="BU207" s="278"/>
      <c r="BV207" s="278"/>
      <c r="BW207" s="278"/>
      <c r="BX207" s="278"/>
      <c r="BY207" s="278"/>
      <c r="BZ207" s="278"/>
      <c r="CA207" s="278"/>
      <c r="CB207" s="278"/>
      <c r="CC207" s="278"/>
      <c r="CD207" s="278"/>
      <c r="CE207" s="278"/>
      <c r="CF207" s="278"/>
      <c r="CG207" s="278"/>
      <c r="CH207" s="278"/>
      <c r="CI207" s="278"/>
      <c r="CJ207" s="278"/>
      <c r="CK207" s="278"/>
      <c r="CL207" s="278"/>
      <c r="CM207" s="278"/>
      <c r="CN207" s="278"/>
      <c r="CO207" s="278"/>
      <c r="CP207" s="278"/>
      <c r="CQ207" s="278"/>
      <c r="CR207" s="278"/>
      <c r="CS207" s="278"/>
      <c r="CT207" s="278"/>
      <c r="CU207" s="278"/>
      <c r="CV207" s="278"/>
      <c r="CW207" s="278"/>
      <c r="CX207" s="278"/>
      <c r="CY207" s="278"/>
      <c r="CZ207" s="278"/>
      <c r="DA207" s="278"/>
      <c r="DB207" s="278"/>
      <c r="DC207" s="278"/>
      <c r="DD207" s="278"/>
      <c r="DE207" s="278"/>
      <c r="DF207" s="278"/>
      <c r="DG207" s="278"/>
      <c r="DH207" s="278"/>
      <c r="DI207" s="278"/>
      <c r="DJ207" s="278"/>
      <c r="DK207" s="278"/>
      <c r="DL207" s="278"/>
    </row>
    <row r="208" spans="1:116" ht="15.75" customHeight="1" x14ac:dyDescent="0.25">
      <c r="A208" s="466"/>
      <c r="B208" s="466"/>
      <c r="C208" s="467"/>
      <c r="D208" s="279"/>
      <c r="E208" s="280"/>
      <c r="F208" s="279"/>
      <c r="G208" s="279"/>
      <c r="H208" s="409"/>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82"/>
      <c r="AE208" s="282"/>
      <c r="AF208" s="282"/>
      <c r="AG208" s="282"/>
      <c r="AH208" s="282"/>
      <c r="AI208" s="282"/>
      <c r="AJ208" s="282"/>
      <c r="AK208" s="282"/>
      <c r="AL208" s="282"/>
      <c r="AM208" s="282"/>
      <c r="AN208" s="282"/>
      <c r="AO208" s="282"/>
      <c r="AP208" s="282"/>
      <c r="AQ208" s="282"/>
      <c r="AR208" s="282"/>
      <c r="AS208" s="282"/>
      <c r="AT208" s="282"/>
      <c r="AU208" s="282"/>
      <c r="AV208" s="282"/>
      <c r="AW208" s="282"/>
      <c r="AX208" s="282"/>
      <c r="AY208" s="282"/>
      <c r="AZ208" s="282"/>
      <c r="BA208" s="282"/>
      <c r="BB208" s="282"/>
      <c r="BC208" s="282"/>
      <c r="BD208" s="282"/>
      <c r="BE208" s="282"/>
      <c r="BF208" s="282"/>
      <c r="BG208" s="282"/>
      <c r="BH208" s="282"/>
      <c r="BI208" s="282"/>
      <c r="BJ208" s="278"/>
      <c r="BK208" s="278"/>
      <c r="BL208" s="278"/>
      <c r="BM208" s="278"/>
      <c r="BN208" s="278"/>
      <c r="BO208" s="278"/>
      <c r="BP208" s="278"/>
      <c r="BQ208" s="278"/>
      <c r="BR208" s="278"/>
      <c r="BS208" s="278"/>
      <c r="BT208" s="278"/>
      <c r="BU208" s="278"/>
      <c r="BV208" s="278"/>
      <c r="BW208" s="278"/>
      <c r="BX208" s="278"/>
      <c r="BY208" s="278"/>
      <c r="BZ208" s="278"/>
      <c r="CA208" s="278"/>
      <c r="CB208" s="278"/>
      <c r="CC208" s="278"/>
      <c r="CD208" s="278"/>
      <c r="CE208" s="278"/>
      <c r="CF208" s="278"/>
      <c r="CG208" s="278"/>
      <c r="CH208" s="278"/>
      <c r="CI208" s="278"/>
      <c r="CJ208" s="278"/>
      <c r="CK208" s="278"/>
      <c r="CL208" s="278"/>
      <c r="CM208" s="278"/>
      <c r="CN208" s="278"/>
      <c r="CO208" s="278"/>
      <c r="CP208" s="278"/>
      <c r="CQ208" s="278"/>
      <c r="CR208" s="278"/>
      <c r="CS208" s="278"/>
      <c r="CT208" s="278"/>
      <c r="CU208" s="278"/>
      <c r="CV208" s="278"/>
      <c r="CW208" s="278"/>
      <c r="CX208" s="278"/>
      <c r="CY208" s="278"/>
      <c r="CZ208" s="278"/>
      <c r="DA208" s="278"/>
      <c r="DB208" s="278"/>
      <c r="DC208" s="278"/>
      <c r="DD208" s="278"/>
      <c r="DE208" s="278"/>
      <c r="DF208" s="278"/>
      <c r="DG208" s="278"/>
      <c r="DH208" s="278"/>
      <c r="DI208" s="278"/>
      <c r="DJ208" s="278"/>
      <c r="DK208" s="278"/>
      <c r="DL208" s="278"/>
    </row>
    <row r="209" spans="1:116" ht="15.75" customHeight="1" x14ac:dyDescent="0.25">
      <c r="A209" s="466"/>
      <c r="B209" s="466"/>
      <c r="C209" s="467"/>
      <c r="D209" s="279"/>
      <c r="E209" s="280"/>
      <c r="F209" s="279"/>
      <c r="G209" s="279"/>
      <c r="H209" s="409"/>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282"/>
      <c r="AE209" s="282"/>
      <c r="AF209" s="282"/>
      <c r="AG209" s="282"/>
      <c r="AH209" s="282"/>
      <c r="AI209" s="282"/>
      <c r="AJ209" s="282"/>
      <c r="AK209" s="282"/>
      <c r="AL209" s="282"/>
      <c r="AM209" s="282"/>
      <c r="AN209" s="282"/>
      <c r="AO209" s="282"/>
      <c r="AP209" s="282"/>
      <c r="AQ209" s="282"/>
      <c r="AR209" s="282"/>
      <c r="AS209" s="282"/>
      <c r="AT209" s="282"/>
      <c r="AU209" s="282"/>
      <c r="AV209" s="282"/>
      <c r="AW209" s="282"/>
      <c r="AX209" s="282"/>
      <c r="AY209" s="282"/>
      <c r="AZ209" s="282"/>
      <c r="BA209" s="282"/>
      <c r="BB209" s="282"/>
      <c r="BC209" s="282"/>
      <c r="BD209" s="282"/>
      <c r="BE209" s="282"/>
      <c r="BF209" s="282"/>
      <c r="BG209" s="282"/>
      <c r="BH209" s="282"/>
      <c r="BI209" s="282"/>
      <c r="BJ209" s="278"/>
      <c r="BK209" s="278"/>
      <c r="BL209" s="278"/>
      <c r="BM209" s="278"/>
      <c r="BN209" s="278"/>
      <c r="BO209" s="278"/>
      <c r="BP209" s="278"/>
      <c r="BQ209" s="278"/>
      <c r="BR209" s="278"/>
      <c r="BS209" s="278"/>
      <c r="BT209" s="278"/>
      <c r="BU209" s="278"/>
      <c r="BV209" s="278"/>
      <c r="BW209" s="278"/>
      <c r="BX209" s="278"/>
      <c r="BY209" s="278"/>
      <c r="BZ209" s="278"/>
      <c r="CA209" s="278"/>
      <c r="CB209" s="278"/>
      <c r="CC209" s="278"/>
      <c r="CD209" s="278"/>
      <c r="CE209" s="278"/>
      <c r="CF209" s="278"/>
      <c r="CG209" s="278"/>
      <c r="CH209" s="278"/>
      <c r="CI209" s="278"/>
      <c r="CJ209" s="278"/>
      <c r="CK209" s="278"/>
      <c r="CL209" s="278"/>
      <c r="CM209" s="278"/>
      <c r="CN209" s="278"/>
      <c r="CO209" s="278"/>
      <c r="CP209" s="278"/>
      <c r="CQ209" s="278"/>
      <c r="CR209" s="278"/>
      <c r="CS209" s="278"/>
      <c r="CT209" s="278"/>
      <c r="CU209" s="278"/>
      <c r="CV209" s="278"/>
      <c r="CW209" s="278"/>
      <c r="CX209" s="278"/>
      <c r="CY209" s="278"/>
      <c r="CZ209" s="278"/>
      <c r="DA209" s="278"/>
      <c r="DB209" s="278"/>
      <c r="DC209" s="278"/>
      <c r="DD209" s="278"/>
      <c r="DE209" s="278"/>
      <c r="DF209" s="278"/>
      <c r="DG209" s="278"/>
      <c r="DH209" s="278"/>
      <c r="DI209" s="278"/>
      <c r="DJ209" s="278"/>
      <c r="DK209" s="278"/>
      <c r="DL209" s="278"/>
    </row>
    <row r="210" spans="1:116" ht="15.75" customHeight="1" x14ac:dyDescent="0.25">
      <c r="A210" s="466"/>
      <c r="B210" s="466"/>
      <c r="C210" s="467"/>
      <c r="D210" s="279"/>
      <c r="E210" s="280"/>
      <c r="F210" s="279"/>
      <c r="G210" s="279"/>
      <c r="H210" s="409"/>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82"/>
      <c r="AZ210" s="282"/>
      <c r="BA210" s="282"/>
      <c r="BB210" s="282"/>
      <c r="BC210" s="282"/>
      <c r="BD210" s="282"/>
      <c r="BE210" s="282"/>
      <c r="BF210" s="282"/>
      <c r="BG210" s="282"/>
      <c r="BH210" s="282"/>
      <c r="BI210" s="282"/>
      <c r="BJ210" s="278"/>
      <c r="BK210" s="278"/>
      <c r="BL210" s="278"/>
      <c r="BM210" s="278"/>
      <c r="BN210" s="278"/>
      <c r="BO210" s="278"/>
      <c r="BP210" s="278"/>
      <c r="BQ210" s="278"/>
      <c r="BR210" s="278"/>
      <c r="BS210" s="278"/>
      <c r="BT210" s="278"/>
      <c r="BU210" s="278"/>
      <c r="BV210" s="278"/>
      <c r="BW210" s="278"/>
      <c r="BX210" s="278"/>
      <c r="BY210" s="278"/>
      <c r="BZ210" s="278"/>
      <c r="CA210" s="278"/>
      <c r="CB210" s="278"/>
      <c r="CC210" s="278"/>
      <c r="CD210" s="278"/>
      <c r="CE210" s="278"/>
      <c r="CF210" s="278"/>
      <c r="CG210" s="278"/>
      <c r="CH210" s="278"/>
      <c r="CI210" s="278"/>
      <c r="CJ210" s="278"/>
      <c r="CK210" s="278"/>
      <c r="CL210" s="278"/>
      <c r="CM210" s="278"/>
      <c r="CN210" s="278"/>
      <c r="CO210" s="278"/>
      <c r="CP210" s="278"/>
      <c r="CQ210" s="278"/>
      <c r="CR210" s="278"/>
      <c r="CS210" s="278"/>
      <c r="CT210" s="278"/>
      <c r="CU210" s="278"/>
      <c r="CV210" s="278"/>
      <c r="CW210" s="278"/>
      <c r="CX210" s="278"/>
      <c r="CY210" s="278"/>
      <c r="CZ210" s="278"/>
      <c r="DA210" s="278"/>
      <c r="DB210" s="278"/>
      <c r="DC210" s="278"/>
      <c r="DD210" s="278"/>
      <c r="DE210" s="278"/>
      <c r="DF210" s="278"/>
      <c r="DG210" s="278"/>
      <c r="DH210" s="278"/>
      <c r="DI210" s="278"/>
      <c r="DJ210" s="278"/>
      <c r="DK210" s="278"/>
      <c r="DL210" s="278"/>
    </row>
    <row r="211" spans="1:116" ht="15.75" customHeight="1" x14ac:dyDescent="0.25">
      <c r="A211" s="466"/>
      <c r="B211" s="466"/>
      <c r="C211" s="467"/>
      <c r="D211" s="279"/>
      <c r="E211" s="280"/>
      <c r="F211" s="279"/>
      <c r="G211" s="279"/>
      <c r="H211" s="409"/>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82"/>
      <c r="AZ211" s="282"/>
      <c r="BA211" s="282"/>
      <c r="BB211" s="282"/>
      <c r="BC211" s="282"/>
      <c r="BD211" s="282"/>
      <c r="BE211" s="282"/>
      <c r="BF211" s="282"/>
      <c r="BG211" s="282"/>
      <c r="BH211" s="282"/>
      <c r="BI211" s="282"/>
      <c r="BJ211" s="278"/>
      <c r="BK211" s="278"/>
      <c r="BL211" s="278"/>
      <c r="BM211" s="278"/>
      <c r="BN211" s="278"/>
      <c r="BO211" s="278"/>
      <c r="BP211" s="278"/>
      <c r="BQ211" s="278"/>
      <c r="BR211" s="278"/>
      <c r="BS211" s="278"/>
      <c r="BT211" s="278"/>
      <c r="BU211" s="278"/>
      <c r="BV211" s="278"/>
      <c r="BW211" s="278"/>
      <c r="BX211" s="278"/>
      <c r="BY211" s="278"/>
      <c r="BZ211" s="278"/>
      <c r="CA211" s="278"/>
      <c r="CB211" s="278"/>
      <c r="CC211" s="278"/>
      <c r="CD211" s="278"/>
      <c r="CE211" s="278"/>
      <c r="CF211" s="278"/>
      <c r="CG211" s="278"/>
      <c r="CH211" s="278"/>
      <c r="CI211" s="278"/>
      <c r="CJ211" s="278"/>
      <c r="CK211" s="278"/>
      <c r="CL211" s="278"/>
      <c r="CM211" s="278"/>
      <c r="CN211" s="278"/>
      <c r="CO211" s="278"/>
      <c r="CP211" s="278"/>
      <c r="CQ211" s="278"/>
      <c r="CR211" s="278"/>
      <c r="CS211" s="278"/>
      <c r="CT211" s="278"/>
      <c r="CU211" s="278"/>
      <c r="CV211" s="278"/>
      <c r="CW211" s="278"/>
      <c r="CX211" s="278"/>
      <c r="CY211" s="278"/>
      <c r="CZ211" s="278"/>
      <c r="DA211" s="278"/>
      <c r="DB211" s="278"/>
      <c r="DC211" s="278"/>
      <c r="DD211" s="278"/>
      <c r="DE211" s="278"/>
      <c r="DF211" s="278"/>
      <c r="DG211" s="278"/>
      <c r="DH211" s="278"/>
      <c r="DI211" s="278"/>
      <c r="DJ211" s="278"/>
      <c r="DK211" s="278"/>
      <c r="DL211" s="278"/>
    </row>
    <row r="212" spans="1:116" ht="15.75" customHeight="1" x14ac:dyDescent="0.25">
      <c r="A212" s="466"/>
      <c r="B212" s="466"/>
      <c r="C212" s="467"/>
      <c r="D212" s="279"/>
      <c r="E212" s="280"/>
      <c r="F212" s="279"/>
      <c r="G212" s="279"/>
      <c r="H212" s="409"/>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82"/>
      <c r="AZ212" s="282"/>
      <c r="BA212" s="282"/>
      <c r="BB212" s="282"/>
      <c r="BC212" s="282"/>
      <c r="BD212" s="282"/>
      <c r="BE212" s="282"/>
      <c r="BF212" s="282"/>
      <c r="BG212" s="282"/>
      <c r="BH212" s="282"/>
      <c r="BI212" s="282"/>
      <c r="BJ212" s="278"/>
      <c r="BK212" s="278"/>
      <c r="BL212" s="278"/>
      <c r="BM212" s="278"/>
      <c r="BN212" s="278"/>
      <c r="BO212" s="278"/>
      <c r="BP212" s="278"/>
      <c r="BQ212" s="278"/>
      <c r="BR212" s="278"/>
      <c r="BS212" s="278"/>
      <c r="BT212" s="278"/>
      <c r="BU212" s="278"/>
      <c r="BV212" s="278"/>
      <c r="BW212" s="278"/>
      <c r="BX212" s="278"/>
      <c r="BY212" s="278"/>
      <c r="BZ212" s="278"/>
      <c r="CA212" s="278"/>
      <c r="CB212" s="278"/>
      <c r="CC212" s="278"/>
      <c r="CD212" s="278"/>
      <c r="CE212" s="278"/>
      <c r="CF212" s="278"/>
      <c r="CG212" s="278"/>
      <c r="CH212" s="278"/>
      <c r="CI212" s="278"/>
      <c r="CJ212" s="278"/>
      <c r="CK212" s="278"/>
      <c r="CL212" s="278"/>
      <c r="CM212" s="278"/>
      <c r="CN212" s="278"/>
      <c r="CO212" s="278"/>
      <c r="CP212" s="278"/>
      <c r="CQ212" s="278"/>
      <c r="CR212" s="278"/>
      <c r="CS212" s="278"/>
      <c r="CT212" s="278"/>
      <c r="CU212" s="278"/>
      <c r="CV212" s="278"/>
      <c r="CW212" s="278"/>
      <c r="CX212" s="278"/>
      <c r="CY212" s="278"/>
      <c r="CZ212" s="278"/>
      <c r="DA212" s="278"/>
      <c r="DB212" s="278"/>
      <c r="DC212" s="278"/>
      <c r="DD212" s="278"/>
      <c r="DE212" s="278"/>
      <c r="DF212" s="278"/>
      <c r="DG212" s="278"/>
      <c r="DH212" s="278"/>
      <c r="DI212" s="278"/>
      <c r="DJ212" s="278"/>
      <c r="DK212" s="278"/>
      <c r="DL212" s="278"/>
    </row>
    <row r="213" spans="1:116" ht="15.75" customHeight="1" x14ac:dyDescent="0.25">
      <c r="A213" s="466"/>
      <c r="B213" s="466"/>
      <c r="C213" s="467"/>
      <c r="D213" s="279"/>
      <c r="E213" s="280"/>
      <c r="F213" s="279"/>
      <c r="G213" s="279"/>
      <c r="H213" s="409"/>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82"/>
      <c r="AZ213" s="282"/>
      <c r="BA213" s="282"/>
      <c r="BB213" s="282"/>
      <c r="BC213" s="282"/>
      <c r="BD213" s="282"/>
      <c r="BE213" s="282"/>
      <c r="BF213" s="282"/>
      <c r="BG213" s="282"/>
      <c r="BH213" s="282"/>
      <c r="BI213" s="282"/>
      <c r="BJ213" s="278"/>
      <c r="BK213" s="278"/>
      <c r="BL213" s="278"/>
      <c r="BM213" s="278"/>
      <c r="BN213" s="278"/>
      <c r="BO213" s="278"/>
      <c r="BP213" s="278"/>
      <c r="BQ213" s="278"/>
      <c r="BR213" s="278"/>
      <c r="BS213" s="278"/>
      <c r="BT213" s="278"/>
      <c r="BU213" s="278"/>
      <c r="BV213" s="278"/>
      <c r="BW213" s="278"/>
      <c r="BX213" s="278"/>
      <c r="BY213" s="278"/>
      <c r="BZ213" s="278"/>
      <c r="CA213" s="278"/>
      <c r="CB213" s="278"/>
      <c r="CC213" s="278"/>
      <c r="CD213" s="278"/>
      <c r="CE213" s="278"/>
      <c r="CF213" s="278"/>
      <c r="CG213" s="278"/>
      <c r="CH213" s="278"/>
      <c r="CI213" s="278"/>
      <c r="CJ213" s="278"/>
      <c r="CK213" s="278"/>
      <c r="CL213" s="278"/>
      <c r="CM213" s="278"/>
      <c r="CN213" s="278"/>
      <c r="CO213" s="278"/>
      <c r="CP213" s="278"/>
      <c r="CQ213" s="278"/>
      <c r="CR213" s="278"/>
      <c r="CS213" s="278"/>
      <c r="CT213" s="278"/>
      <c r="CU213" s="278"/>
      <c r="CV213" s="278"/>
      <c r="CW213" s="278"/>
      <c r="CX213" s="278"/>
      <c r="CY213" s="278"/>
      <c r="CZ213" s="278"/>
      <c r="DA213" s="278"/>
      <c r="DB213" s="278"/>
      <c r="DC213" s="278"/>
      <c r="DD213" s="278"/>
      <c r="DE213" s="278"/>
      <c r="DF213" s="278"/>
      <c r="DG213" s="278"/>
      <c r="DH213" s="278"/>
      <c r="DI213" s="278"/>
      <c r="DJ213" s="278"/>
      <c r="DK213" s="278"/>
      <c r="DL213" s="278"/>
    </row>
    <row r="214" spans="1:116" ht="15.75" customHeight="1" x14ac:dyDescent="0.25">
      <c r="A214" s="466"/>
      <c r="B214" s="466"/>
      <c r="C214" s="467"/>
      <c r="D214" s="279"/>
      <c r="E214" s="280"/>
      <c r="F214" s="279"/>
      <c r="G214" s="279"/>
      <c r="H214" s="409"/>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282"/>
      <c r="AE214" s="282"/>
      <c r="AF214" s="282"/>
      <c r="AG214" s="282"/>
      <c r="AH214" s="282"/>
      <c r="AI214" s="282"/>
      <c r="AJ214" s="282"/>
      <c r="AK214" s="282"/>
      <c r="AL214" s="282"/>
      <c r="AM214" s="282"/>
      <c r="AN214" s="282"/>
      <c r="AO214" s="282"/>
      <c r="AP214" s="282"/>
      <c r="AQ214" s="282"/>
      <c r="AR214" s="282"/>
      <c r="AS214" s="282"/>
      <c r="AT214" s="282"/>
      <c r="AU214" s="282"/>
      <c r="AV214" s="282"/>
      <c r="AW214" s="282"/>
      <c r="AX214" s="282"/>
      <c r="AY214" s="282"/>
      <c r="AZ214" s="282"/>
      <c r="BA214" s="282"/>
      <c r="BB214" s="282"/>
      <c r="BC214" s="282"/>
      <c r="BD214" s="282"/>
      <c r="BE214" s="282"/>
      <c r="BF214" s="282"/>
      <c r="BG214" s="282"/>
      <c r="BH214" s="282"/>
      <c r="BI214" s="282"/>
      <c r="BJ214" s="278"/>
      <c r="BK214" s="278"/>
      <c r="BL214" s="278"/>
      <c r="BM214" s="278"/>
      <c r="BN214" s="278"/>
      <c r="BO214" s="278"/>
      <c r="BP214" s="278"/>
      <c r="BQ214" s="278"/>
      <c r="BR214" s="278"/>
      <c r="BS214" s="278"/>
      <c r="BT214" s="278"/>
      <c r="BU214" s="278"/>
      <c r="BV214" s="278"/>
      <c r="BW214" s="278"/>
      <c r="BX214" s="278"/>
      <c r="BY214" s="278"/>
      <c r="BZ214" s="278"/>
      <c r="CA214" s="278"/>
      <c r="CB214" s="278"/>
      <c r="CC214" s="278"/>
      <c r="CD214" s="278"/>
      <c r="CE214" s="278"/>
      <c r="CF214" s="278"/>
      <c r="CG214" s="278"/>
      <c r="CH214" s="278"/>
      <c r="CI214" s="278"/>
      <c r="CJ214" s="278"/>
      <c r="CK214" s="278"/>
      <c r="CL214" s="278"/>
      <c r="CM214" s="278"/>
      <c r="CN214" s="278"/>
      <c r="CO214" s="278"/>
      <c r="CP214" s="278"/>
      <c r="CQ214" s="278"/>
      <c r="CR214" s="278"/>
      <c r="CS214" s="278"/>
      <c r="CT214" s="278"/>
      <c r="CU214" s="278"/>
      <c r="CV214" s="278"/>
      <c r="CW214" s="278"/>
      <c r="CX214" s="278"/>
      <c r="CY214" s="278"/>
      <c r="CZ214" s="278"/>
      <c r="DA214" s="278"/>
      <c r="DB214" s="278"/>
      <c r="DC214" s="278"/>
      <c r="DD214" s="278"/>
      <c r="DE214" s="278"/>
      <c r="DF214" s="278"/>
      <c r="DG214" s="278"/>
      <c r="DH214" s="278"/>
      <c r="DI214" s="278"/>
      <c r="DJ214" s="278"/>
      <c r="DK214" s="278"/>
      <c r="DL214" s="278"/>
    </row>
    <row r="215" spans="1:116" ht="15.75" customHeight="1" x14ac:dyDescent="0.25">
      <c r="A215" s="466"/>
      <c r="B215" s="466"/>
      <c r="C215" s="467"/>
      <c r="D215" s="279"/>
      <c r="E215" s="280"/>
      <c r="F215" s="279"/>
      <c r="G215" s="279"/>
      <c r="H215" s="409"/>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282"/>
      <c r="AF215" s="282"/>
      <c r="AG215" s="282"/>
      <c r="AH215" s="282"/>
      <c r="AI215" s="282"/>
      <c r="AJ215" s="282"/>
      <c r="AK215" s="282"/>
      <c r="AL215" s="282"/>
      <c r="AM215" s="282"/>
      <c r="AN215" s="282"/>
      <c r="AO215" s="282"/>
      <c r="AP215" s="282"/>
      <c r="AQ215" s="282"/>
      <c r="AR215" s="282"/>
      <c r="AS215" s="282"/>
      <c r="AT215" s="282"/>
      <c r="AU215" s="282"/>
      <c r="AV215" s="282"/>
      <c r="AW215" s="282"/>
      <c r="AX215" s="282"/>
      <c r="AY215" s="282"/>
      <c r="AZ215" s="282"/>
      <c r="BA215" s="282"/>
      <c r="BB215" s="282"/>
      <c r="BC215" s="282"/>
      <c r="BD215" s="282"/>
      <c r="BE215" s="282"/>
      <c r="BF215" s="282"/>
      <c r="BG215" s="282"/>
      <c r="BH215" s="282"/>
      <c r="BI215" s="282"/>
      <c r="BJ215" s="278"/>
      <c r="BK215" s="278"/>
      <c r="BL215" s="278"/>
      <c r="BM215" s="278"/>
      <c r="BN215" s="278"/>
      <c r="BO215" s="278"/>
      <c r="BP215" s="278"/>
      <c r="BQ215" s="278"/>
      <c r="BR215" s="278"/>
      <c r="BS215" s="278"/>
      <c r="BT215" s="278"/>
      <c r="BU215" s="278"/>
      <c r="BV215" s="278"/>
      <c r="BW215" s="278"/>
      <c r="BX215" s="278"/>
      <c r="BY215" s="278"/>
      <c r="BZ215" s="278"/>
      <c r="CA215" s="278"/>
      <c r="CB215" s="278"/>
      <c r="CC215" s="278"/>
      <c r="CD215" s="278"/>
      <c r="CE215" s="278"/>
      <c r="CF215" s="278"/>
      <c r="CG215" s="278"/>
      <c r="CH215" s="278"/>
      <c r="CI215" s="278"/>
      <c r="CJ215" s="278"/>
      <c r="CK215" s="278"/>
      <c r="CL215" s="278"/>
      <c r="CM215" s="278"/>
      <c r="CN215" s="278"/>
      <c r="CO215" s="278"/>
      <c r="CP215" s="278"/>
      <c r="CQ215" s="278"/>
      <c r="CR215" s="278"/>
      <c r="CS215" s="278"/>
      <c r="CT215" s="278"/>
      <c r="CU215" s="278"/>
      <c r="CV215" s="278"/>
      <c r="CW215" s="278"/>
      <c r="CX215" s="278"/>
      <c r="CY215" s="278"/>
      <c r="CZ215" s="278"/>
      <c r="DA215" s="278"/>
      <c r="DB215" s="278"/>
      <c r="DC215" s="278"/>
      <c r="DD215" s="278"/>
      <c r="DE215" s="278"/>
      <c r="DF215" s="278"/>
      <c r="DG215" s="278"/>
      <c r="DH215" s="278"/>
      <c r="DI215" s="278"/>
      <c r="DJ215" s="278"/>
      <c r="DK215" s="278"/>
      <c r="DL215" s="278"/>
    </row>
    <row r="216" spans="1:116" ht="15.75" customHeight="1" x14ac:dyDescent="0.25">
      <c r="A216" s="466"/>
      <c r="B216" s="466"/>
      <c r="C216" s="467"/>
      <c r="D216" s="279"/>
      <c r="E216" s="280"/>
      <c r="F216" s="279"/>
      <c r="G216" s="279"/>
      <c r="H216" s="409"/>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282"/>
      <c r="AF216" s="282"/>
      <c r="AG216" s="282"/>
      <c r="AH216" s="282"/>
      <c r="AI216" s="282"/>
      <c r="AJ216" s="282"/>
      <c r="AK216" s="282"/>
      <c r="AL216" s="282"/>
      <c r="AM216" s="282"/>
      <c r="AN216" s="282"/>
      <c r="AO216" s="282"/>
      <c r="AP216" s="282"/>
      <c r="AQ216" s="282"/>
      <c r="AR216" s="282"/>
      <c r="AS216" s="282"/>
      <c r="AT216" s="282"/>
      <c r="AU216" s="282"/>
      <c r="AV216" s="282"/>
      <c r="AW216" s="282"/>
      <c r="AX216" s="282"/>
      <c r="AY216" s="282"/>
      <c r="AZ216" s="282"/>
      <c r="BA216" s="282"/>
      <c r="BB216" s="282"/>
      <c r="BC216" s="282"/>
      <c r="BD216" s="282"/>
      <c r="BE216" s="282"/>
      <c r="BF216" s="282"/>
      <c r="BG216" s="282"/>
      <c r="BH216" s="282"/>
      <c r="BI216" s="282"/>
      <c r="BJ216" s="278"/>
      <c r="BK216" s="278"/>
      <c r="BL216" s="278"/>
      <c r="BM216" s="278"/>
      <c r="BN216" s="278"/>
      <c r="BO216" s="278"/>
      <c r="BP216" s="278"/>
      <c r="BQ216" s="278"/>
      <c r="BR216" s="278"/>
      <c r="BS216" s="278"/>
      <c r="BT216" s="278"/>
      <c r="BU216" s="278"/>
      <c r="BV216" s="278"/>
      <c r="BW216" s="278"/>
      <c r="BX216" s="278"/>
      <c r="BY216" s="278"/>
      <c r="BZ216" s="278"/>
      <c r="CA216" s="278"/>
      <c r="CB216" s="278"/>
      <c r="CC216" s="278"/>
      <c r="CD216" s="278"/>
      <c r="CE216" s="278"/>
      <c r="CF216" s="278"/>
      <c r="CG216" s="278"/>
      <c r="CH216" s="278"/>
      <c r="CI216" s="278"/>
      <c r="CJ216" s="278"/>
      <c r="CK216" s="278"/>
      <c r="CL216" s="278"/>
      <c r="CM216" s="278"/>
      <c r="CN216" s="278"/>
      <c r="CO216" s="278"/>
      <c r="CP216" s="278"/>
      <c r="CQ216" s="278"/>
      <c r="CR216" s="278"/>
      <c r="CS216" s="278"/>
      <c r="CT216" s="278"/>
      <c r="CU216" s="278"/>
      <c r="CV216" s="278"/>
      <c r="CW216" s="278"/>
      <c r="CX216" s="278"/>
      <c r="CY216" s="278"/>
      <c r="CZ216" s="278"/>
      <c r="DA216" s="278"/>
      <c r="DB216" s="278"/>
      <c r="DC216" s="278"/>
      <c r="DD216" s="278"/>
      <c r="DE216" s="278"/>
      <c r="DF216" s="278"/>
      <c r="DG216" s="278"/>
      <c r="DH216" s="278"/>
      <c r="DI216" s="278"/>
      <c r="DJ216" s="278"/>
      <c r="DK216" s="278"/>
      <c r="DL216" s="278"/>
    </row>
    <row r="217" spans="1:116" ht="15.75" customHeight="1" x14ac:dyDescent="0.25">
      <c r="A217" s="466"/>
      <c r="B217" s="466"/>
      <c r="C217" s="467"/>
      <c r="D217" s="279"/>
      <c r="E217" s="280"/>
      <c r="F217" s="279"/>
      <c r="G217" s="279"/>
      <c r="H217" s="409"/>
      <c r="I217" s="282"/>
      <c r="J217" s="282"/>
      <c r="K217" s="282"/>
      <c r="L217" s="282"/>
      <c r="M217" s="282"/>
      <c r="N217" s="282"/>
      <c r="O217" s="282"/>
      <c r="P217" s="282"/>
      <c r="Q217" s="282"/>
      <c r="R217" s="282"/>
      <c r="S217" s="282"/>
      <c r="T217" s="282"/>
      <c r="U217" s="282"/>
      <c r="V217" s="282"/>
      <c r="W217" s="282"/>
      <c r="X217" s="282"/>
      <c r="Y217" s="282"/>
      <c r="Z217" s="282"/>
      <c r="AA217" s="282"/>
      <c r="AB217" s="282"/>
      <c r="AC217" s="282"/>
      <c r="AD217" s="282"/>
      <c r="AE217" s="282"/>
      <c r="AF217" s="282"/>
      <c r="AG217" s="282"/>
      <c r="AH217" s="282"/>
      <c r="AI217" s="282"/>
      <c r="AJ217" s="282"/>
      <c r="AK217" s="282"/>
      <c r="AL217" s="282"/>
      <c r="AM217" s="282"/>
      <c r="AN217" s="282"/>
      <c r="AO217" s="282"/>
      <c r="AP217" s="282"/>
      <c r="AQ217" s="282"/>
      <c r="AR217" s="282"/>
      <c r="AS217" s="282"/>
      <c r="AT217" s="282"/>
      <c r="AU217" s="282"/>
      <c r="AV217" s="282"/>
      <c r="AW217" s="282"/>
      <c r="AX217" s="282"/>
      <c r="AY217" s="282"/>
      <c r="AZ217" s="282"/>
      <c r="BA217" s="282"/>
      <c r="BB217" s="282"/>
      <c r="BC217" s="282"/>
      <c r="BD217" s="282"/>
      <c r="BE217" s="282"/>
      <c r="BF217" s="282"/>
      <c r="BG217" s="282"/>
      <c r="BH217" s="282"/>
      <c r="BI217" s="282"/>
      <c r="BJ217" s="278"/>
      <c r="BK217" s="278"/>
      <c r="BL217" s="278"/>
      <c r="BM217" s="278"/>
      <c r="BN217" s="278"/>
      <c r="BO217" s="278"/>
      <c r="BP217" s="278"/>
      <c r="BQ217" s="278"/>
      <c r="BR217" s="278"/>
      <c r="BS217" s="278"/>
      <c r="BT217" s="278"/>
      <c r="BU217" s="278"/>
      <c r="BV217" s="278"/>
      <c r="BW217" s="278"/>
      <c r="BX217" s="278"/>
      <c r="BY217" s="278"/>
      <c r="BZ217" s="278"/>
      <c r="CA217" s="278"/>
      <c r="CB217" s="278"/>
      <c r="CC217" s="278"/>
      <c r="CD217" s="278"/>
      <c r="CE217" s="278"/>
      <c r="CF217" s="278"/>
      <c r="CG217" s="278"/>
      <c r="CH217" s="278"/>
      <c r="CI217" s="278"/>
      <c r="CJ217" s="278"/>
      <c r="CK217" s="278"/>
      <c r="CL217" s="278"/>
      <c r="CM217" s="278"/>
      <c r="CN217" s="278"/>
      <c r="CO217" s="278"/>
      <c r="CP217" s="278"/>
      <c r="CQ217" s="278"/>
      <c r="CR217" s="278"/>
      <c r="CS217" s="278"/>
      <c r="CT217" s="278"/>
      <c r="CU217" s="278"/>
      <c r="CV217" s="278"/>
      <c r="CW217" s="278"/>
      <c r="CX217" s="278"/>
      <c r="CY217" s="278"/>
      <c r="CZ217" s="278"/>
      <c r="DA217" s="278"/>
      <c r="DB217" s="278"/>
      <c r="DC217" s="278"/>
      <c r="DD217" s="278"/>
      <c r="DE217" s="278"/>
      <c r="DF217" s="278"/>
      <c r="DG217" s="278"/>
      <c r="DH217" s="278"/>
      <c r="DI217" s="278"/>
      <c r="DJ217" s="278"/>
      <c r="DK217" s="278"/>
      <c r="DL217" s="278"/>
    </row>
    <row r="218" spans="1:116" ht="15.75" customHeight="1" x14ac:dyDescent="0.25">
      <c r="A218" s="466"/>
      <c r="B218" s="466"/>
      <c r="C218" s="467"/>
      <c r="D218" s="279"/>
      <c r="E218" s="280"/>
      <c r="F218" s="279"/>
      <c r="G218" s="279"/>
      <c r="H218" s="409"/>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282"/>
      <c r="AE218" s="282"/>
      <c r="AF218" s="282"/>
      <c r="AG218" s="282"/>
      <c r="AH218" s="282"/>
      <c r="AI218" s="282"/>
      <c r="AJ218" s="282"/>
      <c r="AK218" s="282"/>
      <c r="AL218" s="282"/>
      <c r="AM218" s="282"/>
      <c r="AN218" s="282"/>
      <c r="AO218" s="282"/>
      <c r="AP218" s="282"/>
      <c r="AQ218" s="282"/>
      <c r="AR218" s="282"/>
      <c r="AS218" s="282"/>
      <c r="AT218" s="282"/>
      <c r="AU218" s="282"/>
      <c r="AV218" s="282"/>
      <c r="AW218" s="282"/>
      <c r="AX218" s="282"/>
      <c r="AY218" s="282"/>
      <c r="AZ218" s="282"/>
      <c r="BA218" s="282"/>
      <c r="BB218" s="282"/>
      <c r="BC218" s="282"/>
      <c r="BD218" s="282"/>
      <c r="BE218" s="282"/>
      <c r="BF218" s="282"/>
      <c r="BG218" s="282"/>
      <c r="BH218" s="282"/>
      <c r="BI218" s="282"/>
      <c r="BJ218" s="278"/>
      <c r="BK218" s="278"/>
      <c r="BL218" s="278"/>
      <c r="BM218" s="278"/>
      <c r="BN218" s="278"/>
      <c r="BO218" s="278"/>
      <c r="BP218" s="278"/>
      <c r="BQ218" s="278"/>
      <c r="BR218" s="278"/>
      <c r="BS218" s="278"/>
      <c r="BT218" s="278"/>
      <c r="BU218" s="278"/>
      <c r="BV218" s="278"/>
      <c r="BW218" s="278"/>
      <c r="BX218" s="278"/>
      <c r="BY218" s="278"/>
      <c r="BZ218" s="278"/>
      <c r="CA218" s="278"/>
      <c r="CB218" s="278"/>
      <c r="CC218" s="278"/>
      <c r="CD218" s="278"/>
      <c r="CE218" s="278"/>
      <c r="CF218" s="278"/>
      <c r="CG218" s="278"/>
      <c r="CH218" s="278"/>
      <c r="CI218" s="278"/>
      <c r="CJ218" s="278"/>
      <c r="CK218" s="278"/>
      <c r="CL218" s="278"/>
      <c r="CM218" s="278"/>
      <c r="CN218" s="278"/>
      <c r="CO218" s="278"/>
      <c r="CP218" s="278"/>
      <c r="CQ218" s="278"/>
      <c r="CR218" s="278"/>
      <c r="CS218" s="278"/>
      <c r="CT218" s="278"/>
      <c r="CU218" s="278"/>
      <c r="CV218" s="278"/>
      <c r="CW218" s="278"/>
      <c r="CX218" s="278"/>
      <c r="CY218" s="278"/>
      <c r="CZ218" s="278"/>
      <c r="DA218" s="278"/>
      <c r="DB218" s="278"/>
      <c r="DC218" s="278"/>
      <c r="DD218" s="278"/>
      <c r="DE218" s="278"/>
      <c r="DF218" s="278"/>
      <c r="DG218" s="278"/>
      <c r="DH218" s="278"/>
      <c r="DI218" s="278"/>
      <c r="DJ218" s="278"/>
      <c r="DK218" s="278"/>
      <c r="DL218" s="278"/>
    </row>
    <row r="219" spans="1:116" ht="15.75" customHeight="1" x14ac:dyDescent="0.25">
      <c r="A219" s="466"/>
      <c r="B219" s="466"/>
      <c r="C219" s="467"/>
      <c r="D219" s="279"/>
      <c r="E219" s="280"/>
      <c r="F219" s="279"/>
      <c r="G219" s="279"/>
      <c r="H219" s="409"/>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c r="AF219" s="282"/>
      <c r="AG219" s="282"/>
      <c r="AH219" s="282"/>
      <c r="AI219" s="282"/>
      <c r="AJ219" s="282"/>
      <c r="AK219" s="282"/>
      <c r="AL219" s="282"/>
      <c r="AM219" s="282"/>
      <c r="AN219" s="282"/>
      <c r="AO219" s="282"/>
      <c r="AP219" s="282"/>
      <c r="AQ219" s="282"/>
      <c r="AR219" s="282"/>
      <c r="AS219" s="282"/>
      <c r="AT219" s="282"/>
      <c r="AU219" s="282"/>
      <c r="AV219" s="282"/>
      <c r="AW219" s="282"/>
      <c r="AX219" s="282"/>
      <c r="AY219" s="282"/>
      <c r="AZ219" s="282"/>
      <c r="BA219" s="282"/>
      <c r="BB219" s="282"/>
      <c r="BC219" s="282"/>
      <c r="BD219" s="282"/>
      <c r="BE219" s="282"/>
      <c r="BF219" s="282"/>
      <c r="BG219" s="282"/>
      <c r="BH219" s="282"/>
      <c r="BI219" s="282"/>
      <c r="BJ219" s="278"/>
      <c r="BK219" s="278"/>
      <c r="BL219" s="278"/>
      <c r="BM219" s="278"/>
      <c r="BN219" s="278"/>
      <c r="BO219" s="278"/>
      <c r="BP219" s="278"/>
      <c r="BQ219" s="278"/>
      <c r="BR219" s="278"/>
      <c r="BS219" s="278"/>
      <c r="BT219" s="278"/>
      <c r="BU219" s="278"/>
      <c r="BV219" s="278"/>
      <c r="BW219" s="278"/>
      <c r="BX219" s="278"/>
      <c r="BY219" s="278"/>
      <c r="BZ219" s="278"/>
      <c r="CA219" s="278"/>
      <c r="CB219" s="278"/>
      <c r="CC219" s="278"/>
      <c r="CD219" s="278"/>
      <c r="CE219" s="278"/>
      <c r="CF219" s="278"/>
      <c r="CG219" s="278"/>
      <c r="CH219" s="278"/>
      <c r="CI219" s="278"/>
      <c r="CJ219" s="278"/>
      <c r="CK219" s="278"/>
      <c r="CL219" s="278"/>
      <c r="CM219" s="278"/>
      <c r="CN219" s="278"/>
      <c r="CO219" s="278"/>
      <c r="CP219" s="278"/>
      <c r="CQ219" s="278"/>
      <c r="CR219" s="278"/>
      <c r="CS219" s="278"/>
      <c r="CT219" s="278"/>
      <c r="CU219" s="278"/>
      <c r="CV219" s="278"/>
      <c r="CW219" s="278"/>
      <c r="CX219" s="278"/>
      <c r="CY219" s="278"/>
      <c r="CZ219" s="278"/>
      <c r="DA219" s="278"/>
      <c r="DB219" s="278"/>
      <c r="DC219" s="278"/>
      <c r="DD219" s="278"/>
      <c r="DE219" s="278"/>
      <c r="DF219" s="278"/>
      <c r="DG219" s="278"/>
      <c r="DH219" s="278"/>
      <c r="DI219" s="278"/>
      <c r="DJ219" s="278"/>
      <c r="DK219" s="278"/>
      <c r="DL219" s="278"/>
    </row>
    <row r="220" spans="1:116" ht="15.75" customHeight="1" x14ac:dyDescent="0.25">
      <c r="A220" s="466"/>
      <c r="B220" s="466"/>
      <c r="C220" s="467"/>
      <c r="D220" s="279"/>
      <c r="E220" s="280"/>
      <c r="F220" s="279"/>
      <c r="G220" s="279"/>
      <c r="H220" s="409"/>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282"/>
      <c r="AE220" s="282"/>
      <c r="AF220" s="282"/>
      <c r="AG220" s="282"/>
      <c r="AH220" s="282"/>
      <c r="AI220" s="282"/>
      <c r="AJ220" s="282"/>
      <c r="AK220" s="282"/>
      <c r="AL220" s="282"/>
      <c r="AM220" s="282"/>
      <c r="AN220" s="282"/>
      <c r="AO220" s="282"/>
      <c r="AP220" s="282"/>
      <c r="AQ220" s="282"/>
      <c r="AR220" s="282"/>
      <c r="AS220" s="282"/>
      <c r="AT220" s="282"/>
      <c r="AU220" s="282"/>
      <c r="AV220" s="282"/>
      <c r="AW220" s="282"/>
      <c r="AX220" s="282"/>
      <c r="AY220" s="282"/>
      <c r="AZ220" s="282"/>
      <c r="BA220" s="282"/>
      <c r="BB220" s="282"/>
      <c r="BC220" s="282"/>
      <c r="BD220" s="282"/>
      <c r="BE220" s="282"/>
      <c r="BF220" s="282"/>
      <c r="BG220" s="282"/>
      <c r="BH220" s="282"/>
      <c r="BI220" s="282"/>
      <c r="BJ220" s="278"/>
      <c r="BK220" s="278"/>
      <c r="BL220" s="278"/>
      <c r="BM220" s="278"/>
      <c r="BN220" s="278"/>
      <c r="BO220" s="278"/>
      <c r="BP220" s="278"/>
      <c r="BQ220" s="278"/>
      <c r="BR220" s="278"/>
      <c r="BS220" s="278"/>
      <c r="BT220" s="278"/>
      <c r="BU220" s="278"/>
      <c r="BV220" s="278"/>
      <c r="BW220" s="278"/>
      <c r="BX220" s="278"/>
      <c r="BY220" s="278"/>
      <c r="BZ220" s="278"/>
      <c r="CA220" s="278"/>
      <c r="CB220" s="278"/>
      <c r="CC220" s="278"/>
      <c r="CD220" s="278"/>
      <c r="CE220" s="278"/>
      <c r="CF220" s="278"/>
      <c r="CG220" s="278"/>
      <c r="CH220" s="278"/>
      <c r="CI220" s="278"/>
      <c r="CJ220" s="278"/>
      <c r="CK220" s="278"/>
      <c r="CL220" s="278"/>
      <c r="CM220" s="278"/>
      <c r="CN220" s="278"/>
      <c r="CO220" s="278"/>
      <c r="CP220" s="278"/>
      <c r="CQ220" s="278"/>
      <c r="CR220" s="278"/>
      <c r="CS220" s="278"/>
      <c r="CT220" s="278"/>
      <c r="CU220" s="278"/>
      <c r="CV220" s="278"/>
      <c r="CW220" s="278"/>
      <c r="CX220" s="278"/>
      <c r="CY220" s="278"/>
      <c r="CZ220" s="278"/>
      <c r="DA220" s="278"/>
      <c r="DB220" s="278"/>
      <c r="DC220" s="278"/>
      <c r="DD220" s="278"/>
      <c r="DE220" s="278"/>
      <c r="DF220" s="278"/>
      <c r="DG220" s="278"/>
      <c r="DH220" s="278"/>
      <c r="DI220" s="278"/>
      <c r="DJ220" s="278"/>
      <c r="DK220" s="278"/>
      <c r="DL220" s="278"/>
    </row>
    <row r="221" spans="1:116" ht="15.75" customHeight="1" x14ac:dyDescent="0.25">
      <c r="A221" s="466"/>
      <c r="B221" s="466"/>
      <c r="C221" s="467"/>
      <c r="D221" s="279"/>
      <c r="E221" s="280"/>
      <c r="F221" s="279"/>
      <c r="G221" s="279"/>
      <c r="H221" s="409"/>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82"/>
      <c r="AE221" s="282"/>
      <c r="AF221" s="282"/>
      <c r="AG221" s="282"/>
      <c r="AH221" s="282"/>
      <c r="AI221" s="282"/>
      <c r="AJ221" s="282"/>
      <c r="AK221" s="282"/>
      <c r="AL221" s="282"/>
      <c r="AM221" s="282"/>
      <c r="AN221" s="282"/>
      <c r="AO221" s="282"/>
      <c r="AP221" s="282"/>
      <c r="AQ221" s="282"/>
      <c r="AR221" s="282"/>
      <c r="AS221" s="282"/>
      <c r="AT221" s="282"/>
      <c r="AU221" s="282"/>
      <c r="AV221" s="282"/>
      <c r="AW221" s="282"/>
      <c r="AX221" s="282"/>
      <c r="AY221" s="282"/>
      <c r="AZ221" s="282"/>
      <c r="BA221" s="282"/>
      <c r="BB221" s="282"/>
      <c r="BC221" s="282"/>
      <c r="BD221" s="282"/>
      <c r="BE221" s="282"/>
      <c r="BF221" s="282"/>
      <c r="BG221" s="282"/>
      <c r="BH221" s="282"/>
      <c r="BI221" s="282"/>
      <c r="BJ221" s="278"/>
      <c r="BK221" s="278"/>
      <c r="BL221" s="278"/>
      <c r="BM221" s="278"/>
      <c r="BN221" s="278"/>
      <c r="BO221" s="278"/>
      <c r="BP221" s="278"/>
      <c r="BQ221" s="278"/>
      <c r="BR221" s="278"/>
      <c r="BS221" s="278"/>
      <c r="BT221" s="278"/>
      <c r="BU221" s="278"/>
      <c r="BV221" s="278"/>
      <c r="BW221" s="278"/>
      <c r="BX221" s="278"/>
      <c r="BY221" s="278"/>
      <c r="BZ221" s="278"/>
      <c r="CA221" s="278"/>
      <c r="CB221" s="278"/>
      <c r="CC221" s="278"/>
      <c r="CD221" s="278"/>
      <c r="CE221" s="278"/>
      <c r="CF221" s="278"/>
      <c r="CG221" s="278"/>
      <c r="CH221" s="278"/>
      <c r="CI221" s="278"/>
      <c r="CJ221" s="278"/>
      <c r="CK221" s="278"/>
      <c r="CL221" s="278"/>
      <c r="CM221" s="278"/>
      <c r="CN221" s="278"/>
      <c r="CO221" s="278"/>
      <c r="CP221" s="278"/>
      <c r="CQ221" s="278"/>
      <c r="CR221" s="278"/>
      <c r="CS221" s="278"/>
      <c r="CT221" s="278"/>
      <c r="CU221" s="278"/>
      <c r="CV221" s="278"/>
      <c r="CW221" s="278"/>
      <c r="CX221" s="278"/>
      <c r="CY221" s="278"/>
      <c r="CZ221" s="278"/>
      <c r="DA221" s="278"/>
      <c r="DB221" s="278"/>
      <c r="DC221" s="278"/>
      <c r="DD221" s="278"/>
      <c r="DE221" s="278"/>
      <c r="DF221" s="278"/>
      <c r="DG221" s="278"/>
      <c r="DH221" s="278"/>
      <c r="DI221" s="278"/>
      <c r="DJ221" s="278"/>
      <c r="DK221" s="278"/>
      <c r="DL221" s="278"/>
    </row>
    <row r="222" spans="1:116" ht="15.75" customHeight="1" x14ac:dyDescent="0.25">
      <c r="A222" s="466"/>
      <c r="B222" s="466"/>
      <c r="C222" s="467"/>
      <c r="D222" s="279"/>
      <c r="E222" s="280"/>
      <c r="F222" s="279"/>
      <c r="G222" s="279"/>
      <c r="H222" s="409"/>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282"/>
      <c r="AE222" s="282"/>
      <c r="AF222" s="282"/>
      <c r="AG222" s="282"/>
      <c r="AH222" s="282"/>
      <c r="AI222" s="282"/>
      <c r="AJ222" s="282"/>
      <c r="AK222" s="282"/>
      <c r="AL222" s="282"/>
      <c r="AM222" s="282"/>
      <c r="AN222" s="282"/>
      <c r="AO222" s="282"/>
      <c r="AP222" s="282"/>
      <c r="AQ222" s="282"/>
      <c r="AR222" s="282"/>
      <c r="AS222" s="282"/>
      <c r="AT222" s="282"/>
      <c r="AU222" s="282"/>
      <c r="AV222" s="282"/>
      <c r="AW222" s="282"/>
      <c r="AX222" s="282"/>
      <c r="AY222" s="282"/>
      <c r="AZ222" s="282"/>
      <c r="BA222" s="282"/>
      <c r="BB222" s="282"/>
      <c r="BC222" s="282"/>
      <c r="BD222" s="282"/>
      <c r="BE222" s="282"/>
      <c r="BF222" s="282"/>
      <c r="BG222" s="282"/>
      <c r="BH222" s="282"/>
      <c r="BI222" s="282"/>
      <c r="BJ222" s="278"/>
      <c r="BK222" s="278"/>
      <c r="BL222" s="278"/>
      <c r="BM222" s="278"/>
      <c r="BN222" s="278"/>
      <c r="BO222" s="278"/>
      <c r="BP222" s="278"/>
      <c r="BQ222" s="278"/>
      <c r="BR222" s="278"/>
      <c r="BS222" s="278"/>
      <c r="BT222" s="278"/>
      <c r="BU222" s="278"/>
      <c r="BV222" s="278"/>
      <c r="BW222" s="278"/>
      <c r="BX222" s="278"/>
      <c r="BY222" s="278"/>
      <c r="BZ222" s="278"/>
      <c r="CA222" s="278"/>
      <c r="CB222" s="278"/>
      <c r="CC222" s="278"/>
      <c r="CD222" s="278"/>
      <c r="CE222" s="278"/>
      <c r="CF222" s="278"/>
      <c r="CG222" s="278"/>
      <c r="CH222" s="278"/>
      <c r="CI222" s="278"/>
      <c r="CJ222" s="278"/>
      <c r="CK222" s="278"/>
      <c r="CL222" s="278"/>
      <c r="CM222" s="278"/>
      <c r="CN222" s="278"/>
      <c r="CO222" s="278"/>
      <c r="CP222" s="278"/>
      <c r="CQ222" s="278"/>
      <c r="CR222" s="278"/>
      <c r="CS222" s="278"/>
      <c r="CT222" s="278"/>
      <c r="CU222" s="278"/>
      <c r="CV222" s="278"/>
      <c r="CW222" s="278"/>
      <c r="CX222" s="278"/>
      <c r="CY222" s="278"/>
      <c r="CZ222" s="278"/>
      <c r="DA222" s="278"/>
      <c r="DB222" s="278"/>
      <c r="DC222" s="278"/>
      <c r="DD222" s="278"/>
      <c r="DE222" s="278"/>
      <c r="DF222" s="278"/>
      <c r="DG222" s="278"/>
      <c r="DH222" s="278"/>
      <c r="DI222" s="278"/>
      <c r="DJ222" s="278"/>
      <c r="DK222" s="278"/>
      <c r="DL222" s="278"/>
    </row>
    <row r="223" spans="1:116" ht="15.75" customHeight="1" x14ac:dyDescent="0.25">
      <c r="A223" s="466"/>
      <c r="B223" s="466"/>
      <c r="C223" s="467"/>
      <c r="D223" s="279"/>
      <c r="E223" s="280"/>
      <c r="F223" s="279"/>
      <c r="G223" s="279"/>
      <c r="H223" s="409"/>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c r="AF223" s="282"/>
      <c r="AG223" s="282"/>
      <c r="AH223" s="282"/>
      <c r="AI223" s="282"/>
      <c r="AJ223" s="282"/>
      <c r="AK223" s="282"/>
      <c r="AL223" s="282"/>
      <c r="AM223" s="282"/>
      <c r="AN223" s="282"/>
      <c r="AO223" s="282"/>
      <c r="AP223" s="282"/>
      <c r="AQ223" s="282"/>
      <c r="AR223" s="282"/>
      <c r="AS223" s="282"/>
      <c r="AT223" s="282"/>
      <c r="AU223" s="282"/>
      <c r="AV223" s="282"/>
      <c r="AW223" s="282"/>
      <c r="AX223" s="282"/>
      <c r="AY223" s="282"/>
      <c r="AZ223" s="282"/>
      <c r="BA223" s="282"/>
      <c r="BB223" s="282"/>
      <c r="BC223" s="282"/>
      <c r="BD223" s="282"/>
      <c r="BE223" s="282"/>
      <c r="BF223" s="282"/>
      <c r="BG223" s="282"/>
      <c r="BH223" s="282"/>
      <c r="BI223" s="282"/>
      <c r="BJ223" s="278"/>
      <c r="BK223" s="278"/>
      <c r="BL223" s="278"/>
      <c r="BM223" s="278"/>
      <c r="BN223" s="278"/>
      <c r="BO223" s="278"/>
      <c r="BP223" s="278"/>
      <c r="BQ223" s="278"/>
      <c r="BR223" s="278"/>
      <c r="BS223" s="278"/>
      <c r="BT223" s="278"/>
      <c r="BU223" s="278"/>
      <c r="BV223" s="278"/>
      <c r="BW223" s="278"/>
      <c r="BX223" s="278"/>
      <c r="BY223" s="278"/>
      <c r="BZ223" s="278"/>
      <c r="CA223" s="278"/>
      <c r="CB223" s="278"/>
      <c r="CC223" s="278"/>
      <c r="CD223" s="278"/>
      <c r="CE223" s="278"/>
      <c r="CF223" s="278"/>
      <c r="CG223" s="278"/>
      <c r="CH223" s="278"/>
      <c r="CI223" s="278"/>
      <c r="CJ223" s="278"/>
      <c r="CK223" s="278"/>
      <c r="CL223" s="278"/>
      <c r="CM223" s="278"/>
      <c r="CN223" s="278"/>
      <c r="CO223" s="278"/>
      <c r="CP223" s="278"/>
      <c r="CQ223" s="278"/>
      <c r="CR223" s="278"/>
      <c r="CS223" s="278"/>
      <c r="CT223" s="278"/>
      <c r="CU223" s="278"/>
      <c r="CV223" s="278"/>
      <c r="CW223" s="278"/>
      <c r="CX223" s="278"/>
      <c r="CY223" s="278"/>
      <c r="CZ223" s="278"/>
      <c r="DA223" s="278"/>
      <c r="DB223" s="278"/>
      <c r="DC223" s="278"/>
      <c r="DD223" s="278"/>
      <c r="DE223" s="278"/>
      <c r="DF223" s="278"/>
      <c r="DG223" s="278"/>
      <c r="DH223" s="278"/>
      <c r="DI223" s="278"/>
      <c r="DJ223" s="278"/>
      <c r="DK223" s="278"/>
      <c r="DL223" s="278"/>
    </row>
    <row r="224" spans="1:116" ht="15.75" customHeight="1" x14ac:dyDescent="0.25">
      <c r="A224" s="466"/>
      <c r="B224" s="466"/>
      <c r="C224" s="467"/>
      <c r="D224" s="279"/>
      <c r="E224" s="280"/>
      <c r="F224" s="279"/>
      <c r="G224" s="279"/>
      <c r="H224" s="409"/>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282"/>
      <c r="AF224" s="282"/>
      <c r="AG224" s="282"/>
      <c r="AH224" s="282"/>
      <c r="AI224" s="282"/>
      <c r="AJ224" s="282"/>
      <c r="AK224" s="282"/>
      <c r="AL224" s="282"/>
      <c r="AM224" s="282"/>
      <c r="AN224" s="282"/>
      <c r="AO224" s="282"/>
      <c r="AP224" s="282"/>
      <c r="AQ224" s="282"/>
      <c r="AR224" s="282"/>
      <c r="AS224" s="282"/>
      <c r="AT224" s="282"/>
      <c r="AU224" s="282"/>
      <c r="AV224" s="282"/>
      <c r="AW224" s="282"/>
      <c r="AX224" s="282"/>
      <c r="AY224" s="282"/>
      <c r="AZ224" s="282"/>
      <c r="BA224" s="282"/>
      <c r="BB224" s="282"/>
      <c r="BC224" s="282"/>
      <c r="BD224" s="282"/>
      <c r="BE224" s="282"/>
      <c r="BF224" s="282"/>
      <c r="BG224" s="282"/>
      <c r="BH224" s="282"/>
      <c r="BI224" s="282"/>
      <c r="BJ224" s="278"/>
      <c r="BK224" s="278"/>
      <c r="BL224" s="278"/>
      <c r="BM224" s="278"/>
      <c r="BN224" s="278"/>
      <c r="BO224" s="278"/>
      <c r="BP224" s="278"/>
      <c r="BQ224" s="278"/>
      <c r="BR224" s="278"/>
      <c r="BS224" s="278"/>
      <c r="BT224" s="278"/>
      <c r="BU224" s="278"/>
      <c r="BV224" s="278"/>
      <c r="BW224" s="278"/>
      <c r="BX224" s="278"/>
      <c r="BY224" s="278"/>
      <c r="BZ224" s="278"/>
      <c r="CA224" s="278"/>
      <c r="CB224" s="278"/>
      <c r="CC224" s="278"/>
      <c r="CD224" s="278"/>
      <c r="CE224" s="278"/>
      <c r="CF224" s="278"/>
      <c r="CG224" s="278"/>
      <c r="CH224" s="278"/>
      <c r="CI224" s="278"/>
      <c r="CJ224" s="278"/>
      <c r="CK224" s="278"/>
      <c r="CL224" s="278"/>
      <c r="CM224" s="278"/>
      <c r="CN224" s="278"/>
      <c r="CO224" s="278"/>
      <c r="CP224" s="278"/>
      <c r="CQ224" s="278"/>
      <c r="CR224" s="278"/>
      <c r="CS224" s="278"/>
      <c r="CT224" s="278"/>
      <c r="CU224" s="278"/>
      <c r="CV224" s="278"/>
      <c r="CW224" s="278"/>
      <c r="CX224" s="278"/>
      <c r="CY224" s="278"/>
      <c r="CZ224" s="278"/>
      <c r="DA224" s="278"/>
      <c r="DB224" s="278"/>
      <c r="DC224" s="278"/>
      <c r="DD224" s="278"/>
      <c r="DE224" s="278"/>
      <c r="DF224" s="278"/>
      <c r="DG224" s="278"/>
      <c r="DH224" s="278"/>
      <c r="DI224" s="278"/>
      <c r="DJ224" s="278"/>
      <c r="DK224" s="278"/>
      <c r="DL224" s="278"/>
    </row>
    <row r="225" spans="1:116" ht="15.75" customHeight="1" x14ac:dyDescent="0.25">
      <c r="A225" s="466"/>
      <c r="B225" s="466"/>
      <c r="C225" s="467"/>
      <c r="D225" s="279"/>
      <c r="E225" s="280"/>
      <c r="F225" s="279"/>
      <c r="G225" s="279"/>
      <c r="H225" s="409"/>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c r="AI225" s="282"/>
      <c r="AJ225" s="282"/>
      <c r="AK225" s="282"/>
      <c r="AL225" s="282"/>
      <c r="AM225" s="282"/>
      <c r="AN225" s="282"/>
      <c r="AO225" s="282"/>
      <c r="AP225" s="282"/>
      <c r="AQ225" s="282"/>
      <c r="AR225" s="282"/>
      <c r="AS225" s="282"/>
      <c r="AT225" s="282"/>
      <c r="AU225" s="282"/>
      <c r="AV225" s="282"/>
      <c r="AW225" s="282"/>
      <c r="AX225" s="282"/>
      <c r="AY225" s="282"/>
      <c r="AZ225" s="282"/>
      <c r="BA225" s="282"/>
      <c r="BB225" s="282"/>
      <c r="BC225" s="282"/>
      <c r="BD225" s="282"/>
      <c r="BE225" s="282"/>
      <c r="BF225" s="282"/>
      <c r="BG225" s="282"/>
      <c r="BH225" s="282"/>
      <c r="BI225" s="282"/>
      <c r="BJ225" s="278"/>
      <c r="BK225" s="278"/>
      <c r="BL225" s="278"/>
      <c r="BM225" s="278"/>
      <c r="BN225" s="278"/>
      <c r="BO225" s="278"/>
      <c r="BP225" s="278"/>
      <c r="BQ225" s="278"/>
      <c r="BR225" s="278"/>
      <c r="BS225" s="278"/>
      <c r="BT225" s="278"/>
      <c r="BU225" s="278"/>
      <c r="BV225" s="278"/>
      <c r="BW225" s="278"/>
      <c r="BX225" s="278"/>
      <c r="BY225" s="278"/>
      <c r="BZ225" s="278"/>
      <c r="CA225" s="278"/>
      <c r="CB225" s="278"/>
      <c r="CC225" s="278"/>
      <c r="CD225" s="278"/>
      <c r="CE225" s="278"/>
      <c r="CF225" s="278"/>
      <c r="CG225" s="278"/>
      <c r="CH225" s="278"/>
      <c r="CI225" s="278"/>
      <c r="CJ225" s="278"/>
      <c r="CK225" s="278"/>
      <c r="CL225" s="278"/>
      <c r="CM225" s="278"/>
      <c r="CN225" s="278"/>
      <c r="CO225" s="278"/>
      <c r="CP225" s="278"/>
      <c r="CQ225" s="278"/>
      <c r="CR225" s="278"/>
      <c r="CS225" s="278"/>
      <c r="CT225" s="278"/>
      <c r="CU225" s="278"/>
      <c r="CV225" s="278"/>
      <c r="CW225" s="278"/>
      <c r="CX225" s="278"/>
      <c r="CY225" s="278"/>
      <c r="CZ225" s="278"/>
      <c r="DA225" s="278"/>
      <c r="DB225" s="278"/>
      <c r="DC225" s="278"/>
      <c r="DD225" s="278"/>
      <c r="DE225" s="278"/>
      <c r="DF225" s="278"/>
      <c r="DG225" s="278"/>
      <c r="DH225" s="278"/>
      <c r="DI225" s="278"/>
      <c r="DJ225" s="278"/>
      <c r="DK225" s="278"/>
      <c r="DL225" s="278"/>
    </row>
    <row r="226" spans="1:116" ht="15.75" customHeight="1" x14ac:dyDescent="0.25">
      <c r="A226" s="466"/>
      <c r="B226" s="466"/>
      <c r="C226" s="467"/>
      <c r="D226" s="279"/>
      <c r="E226" s="280"/>
      <c r="F226" s="279"/>
      <c r="G226" s="279"/>
      <c r="H226" s="409"/>
      <c r="I226" s="282"/>
      <c r="J226" s="282"/>
      <c r="K226" s="282"/>
      <c r="L226" s="282"/>
      <c r="M226" s="282"/>
      <c r="N226" s="282"/>
      <c r="O226" s="282"/>
      <c r="P226" s="282"/>
      <c r="Q226" s="282"/>
      <c r="R226" s="282"/>
      <c r="S226" s="282"/>
      <c r="T226" s="282"/>
      <c r="U226" s="282"/>
      <c r="V226" s="282"/>
      <c r="W226" s="282"/>
      <c r="X226" s="282"/>
      <c r="Y226" s="282"/>
      <c r="Z226" s="282"/>
      <c r="AA226" s="282"/>
      <c r="AB226" s="282"/>
      <c r="AC226" s="282"/>
      <c r="AD226" s="282"/>
      <c r="AE226" s="282"/>
      <c r="AF226" s="282"/>
      <c r="AG226" s="282"/>
      <c r="AH226" s="282"/>
      <c r="AI226" s="282"/>
      <c r="AJ226" s="282"/>
      <c r="AK226" s="282"/>
      <c r="AL226" s="282"/>
      <c r="AM226" s="282"/>
      <c r="AN226" s="282"/>
      <c r="AO226" s="282"/>
      <c r="AP226" s="282"/>
      <c r="AQ226" s="282"/>
      <c r="AR226" s="282"/>
      <c r="AS226" s="282"/>
      <c r="AT226" s="282"/>
      <c r="AU226" s="282"/>
      <c r="AV226" s="282"/>
      <c r="AW226" s="282"/>
      <c r="AX226" s="282"/>
      <c r="AY226" s="282"/>
      <c r="AZ226" s="282"/>
      <c r="BA226" s="282"/>
      <c r="BB226" s="282"/>
      <c r="BC226" s="282"/>
      <c r="BD226" s="282"/>
      <c r="BE226" s="282"/>
      <c r="BF226" s="282"/>
      <c r="BG226" s="282"/>
      <c r="BH226" s="282"/>
      <c r="BI226" s="282"/>
      <c r="BJ226" s="278"/>
      <c r="BK226" s="278"/>
      <c r="BL226" s="278"/>
      <c r="BM226" s="278"/>
      <c r="BN226" s="278"/>
      <c r="BO226" s="278"/>
      <c r="BP226" s="278"/>
      <c r="BQ226" s="278"/>
      <c r="BR226" s="278"/>
      <c r="BS226" s="278"/>
      <c r="BT226" s="278"/>
      <c r="BU226" s="278"/>
      <c r="BV226" s="278"/>
      <c r="BW226" s="278"/>
      <c r="BX226" s="278"/>
      <c r="BY226" s="278"/>
      <c r="BZ226" s="278"/>
      <c r="CA226" s="278"/>
      <c r="CB226" s="278"/>
      <c r="CC226" s="278"/>
      <c r="CD226" s="278"/>
      <c r="CE226" s="278"/>
      <c r="CF226" s="278"/>
      <c r="CG226" s="278"/>
      <c r="CH226" s="278"/>
      <c r="CI226" s="278"/>
      <c r="CJ226" s="278"/>
      <c r="CK226" s="278"/>
      <c r="CL226" s="278"/>
      <c r="CM226" s="278"/>
      <c r="CN226" s="278"/>
      <c r="CO226" s="278"/>
      <c r="CP226" s="278"/>
      <c r="CQ226" s="278"/>
      <c r="CR226" s="278"/>
      <c r="CS226" s="278"/>
      <c r="CT226" s="278"/>
      <c r="CU226" s="278"/>
      <c r="CV226" s="278"/>
      <c r="CW226" s="278"/>
      <c r="CX226" s="278"/>
      <c r="CY226" s="278"/>
      <c r="CZ226" s="278"/>
      <c r="DA226" s="278"/>
      <c r="DB226" s="278"/>
      <c r="DC226" s="278"/>
      <c r="DD226" s="278"/>
      <c r="DE226" s="278"/>
      <c r="DF226" s="278"/>
      <c r="DG226" s="278"/>
      <c r="DH226" s="278"/>
      <c r="DI226" s="278"/>
      <c r="DJ226" s="278"/>
      <c r="DK226" s="278"/>
      <c r="DL226" s="278"/>
    </row>
    <row r="227" spans="1:116" ht="15.75" customHeight="1" x14ac:dyDescent="0.25">
      <c r="A227" s="466"/>
      <c r="B227" s="466"/>
      <c r="C227" s="467"/>
      <c r="D227" s="279"/>
      <c r="E227" s="280"/>
      <c r="F227" s="279"/>
      <c r="G227" s="279"/>
      <c r="H227" s="409"/>
      <c r="I227" s="282"/>
      <c r="J227" s="282"/>
      <c r="K227" s="282"/>
      <c r="L227" s="282"/>
      <c r="M227" s="282"/>
      <c r="N227" s="282"/>
      <c r="O227" s="282"/>
      <c r="P227" s="282"/>
      <c r="Q227" s="282"/>
      <c r="R227" s="282"/>
      <c r="S227" s="282"/>
      <c r="T227" s="282"/>
      <c r="U227" s="282"/>
      <c r="V227" s="282"/>
      <c r="W227" s="282"/>
      <c r="X227" s="282"/>
      <c r="Y227" s="282"/>
      <c r="Z227" s="282"/>
      <c r="AA227" s="282"/>
      <c r="AB227" s="282"/>
      <c r="AC227" s="282"/>
      <c r="AD227" s="282"/>
      <c r="AE227" s="282"/>
      <c r="AF227" s="282"/>
      <c r="AG227" s="282"/>
      <c r="AH227" s="282"/>
      <c r="AI227" s="282"/>
      <c r="AJ227" s="282"/>
      <c r="AK227" s="282"/>
      <c r="AL227" s="282"/>
      <c r="AM227" s="282"/>
      <c r="AN227" s="282"/>
      <c r="AO227" s="282"/>
      <c r="AP227" s="282"/>
      <c r="AQ227" s="282"/>
      <c r="AR227" s="282"/>
      <c r="AS227" s="282"/>
      <c r="AT227" s="282"/>
      <c r="AU227" s="282"/>
      <c r="AV227" s="282"/>
      <c r="AW227" s="282"/>
      <c r="AX227" s="282"/>
      <c r="AY227" s="282"/>
      <c r="AZ227" s="282"/>
      <c r="BA227" s="282"/>
      <c r="BB227" s="282"/>
      <c r="BC227" s="282"/>
      <c r="BD227" s="282"/>
      <c r="BE227" s="282"/>
      <c r="BF227" s="282"/>
      <c r="BG227" s="282"/>
      <c r="BH227" s="282"/>
      <c r="BI227" s="282"/>
      <c r="BJ227" s="278"/>
      <c r="BK227" s="278"/>
      <c r="BL227" s="278"/>
      <c r="BM227" s="278"/>
      <c r="BN227" s="278"/>
      <c r="BO227" s="278"/>
      <c r="BP227" s="278"/>
      <c r="BQ227" s="278"/>
      <c r="BR227" s="278"/>
      <c r="BS227" s="278"/>
      <c r="BT227" s="278"/>
      <c r="BU227" s="278"/>
      <c r="BV227" s="278"/>
      <c r="BW227" s="278"/>
      <c r="BX227" s="278"/>
      <c r="BY227" s="278"/>
      <c r="BZ227" s="278"/>
      <c r="CA227" s="278"/>
      <c r="CB227" s="278"/>
      <c r="CC227" s="278"/>
      <c r="CD227" s="278"/>
      <c r="CE227" s="278"/>
      <c r="CF227" s="278"/>
      <c r="CG227" s="278"/>
      <c r="CH227" s="278"/>
      <c r="CI227" s="278"/>
      <c r="CJ227" s="278"/>
      <c r="CK227" s="278"/>
      <c r="CL227" s="278"/>
      <c r="CM227" s="278"/>
      <c r="CN227" s="278"/>
      <c r="CO227" s="278"/>
      <c r="CP227" s="278"/>
      <c r="CQ227" s="278"/>
      <c r="CR227" s="278"/>
      <c r="CS227" s="278"/>
      <c r="CT227" s="278"/>
      <c r="CU227" s="278"/>
      <c r="CV227" s="278"/>
      <c r="CW227" s="278"/>
      <c r="CX227" s="278"/>
      <c r="CY227" s="278"/>
      <c r="CZ227" s="278"/>
      <c r="DA227" s="278"/>
      <c r="DB227" s="278"/>
      <c r="DC227" s="278"/>
      <c r="DD227" s="278"/>
      <c r="DE227" s="278"/>
      <c r="DF227" s="278"/>
      <c r="DG227" s="278"/>
      <c r="DH227" s="278"/>
      <c r="DI227" s="278"/>
      <c r="DJ227" s="278"/>
      <c r="DK227" s="278"/>
      <c r="DL227" s="278"/>
    </row>
    <row r="228" spans="1:116" ht="15.75" customHeight="1" x14ac:dyDescent="0.25">
      <c r="A228" s="466"/>
      <c r="B228" s="466"/>
      <c r="C228" s="467"/>
      <c r="D228" s="279"/>
      <c r="E228" s="280"/>
      <c r="F228" s="279"/>
      <c r="G228" s="279"/>
      <c r="H228" s="409"/>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c r="AF228" s="282"/>
      <c r="AG228" s="282"/>
      <c r="AH228" s="282"/>
      <c r="AI228" s="282"/>
      <c r="AJ228" s="282"/>
      <c r="AK228" s="282"/>
      <c r="AL228" s="282"/>
      <c r="AM228" s="282"/>
      <c r="AN228" s="282"/>
      <c r="AO228" s="282"/>
      <c r="AP228" s="282"/>
      <c r="AQ228" s="282"/>
      <c r="AR228" s="282"/>
      <c r="AS228" s="282"/>
      <c r="AT228" s="282"/>
      <c r="AU228" s="282"/>
      <c r="AV228" s="282"/>
      <c r="AW228" s="282"/>
      <c r="AX228" s="282"/>
      <c r="AY228" s="282"/>
      <c r="AZ228" s="282"/>
      <c r="BA228" s="282"/>
      <c r="BB228" s="282"/>
      <c r="BC228" s="282"/>
      <c r="BD228" s="282"/>
      <c r="BE228" s="282"/>
      <c r="BF228" s="282"/>
      <c r="BG228" s="282"/>
      <c r="BH228" s="282"/>
      <c r="BI228" s="282"/>
      <c r="BJ228" s="278"/>
      <c r="BK228" s="278"/>
      <c r="BL228" s="278"/>
      <c r="BM228" s="278"/>
      <c r="BN228" s="278"/>
      <c r="BO228" s="278"/>
      <c r="BP228" s="278"/>
      <c r="BQ228" s="278"/>
      <c r="BR228" s="278"/>
      <c r="BS228" s="278"/>
      <c r="BT228" s="278"/>
      <c r="BU228" s="278"/>
      <c r="BV228" s="278"/>
      <c r="BW228" s="278"/>
      <c r="BX228" s="278"/>
      <c r="BY228" s="278"/>
      <c r="BZ228" s="278"/>
      <c r="CA228" s="278"/>
      <c r="CB228" s="278"/>
      <c r="CC228" s="278"/>
      <c r="CD228" s="278"/>
      <c r="CE228" s="278"/>
      <c r="CF228" s="278"/>
      <c r="CG228" s="278"/>
      <c r="CH228" s="278"/>
      <c r="CI228" s="278"/>
      <c r="CJ228" s="278"/>
      <c r="CK228" s="278"/>
      <c r="CL228" s="278"/>
      <c r="CM228" s="278"/>
      <c r="CN228" s="278"/>
      <c r="CO228" s="278"/>
      <c r="CP228" s="278"/>
      <c r="CQ228" s="278"/>
      <c r="CR228" s="278"/>
      <c r="CS228" s="278"/>
      <c r="CT228" s="278"/>
      <c r="CU228" s="278"/>
      <c r="CV228" s="278"/>
      <c r="CW228" s="278"/>
      <c r="CX228" s="278"/>
      <c r="CY228" s="278"/>
      <c r="CZ228" s="278"/>
      <c r="DA228" s="278"/>
      <c r="DB228" s="278"/>
      <c r="DC228" s="278"/>
      <c r="DD228" s="278"/>
      <c r="DE228" s="278"/>
      <c r="DF228" s="278"/>
      <c r="DG228" s="278"/>
      <c r="DH228" s="278"/>
      <c r="DI228" s="278"/>
      <c r="DJ228" s="278"/>
      <c r="DK228" s="278"/>
      <c r="DL228" s="278"/>
    </row>
    <row r="229" spans="1:116" ht="15.75" customHeight="1" x14ac:dyDescent="0.25">
      <c r="A229" s="466"/>
      <c r="B229" s="466"/>
      <c r="C229" s="467"/>
      <c r="D229" s="279"/>
      <c r="E229" s="280"/>
      <c r="F229" s="279"/>
      <c r="G229" s="279"/>
      <c r="H229" s="409"/>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c r="AI229" s="282"/>
      <c r="AJ229" s="282"/>
      <c r="AK229" s="282"/>
      <c r="AL229" s="282"/>
      <c r="AM229" s="282"/>
      <c r="AN229" s="282"/>
      <c r="AO229" s="282"/>
      <c r="AP229" s="282"/>
      <c r="AQ229" s="282"/>
      <c r="AR229" s="282"/>
      <c r="AS229" s="282"/>
      <c r="AT229" s="282"/>
      <c r="AU229" s="282"/>
      <c r="AV229" s="282"/>
      <c r="AW229" s="282"/>
      <c r="AX229" s="282"/>
      <c r="AY229" s="282"/>
      <c r="AZ229" s="282"/>
      <c r="BA229" s="282"/>
      <c r="BB229" s="282"/>
      <c r="BC229" s="282"/>
      <c r="BD229" s="282"/>
      <c r="BE229" s="282"/>
      <c r="BF229" s="282"/>
      <c r="BG229" s="282"/>
      <c r="BH229" s="282"/>
      <c r="BI229" s="282"/>
      <c r="BJ229" s="278"/>
      <c r="BK229" s="278"/>
      <c r="BL229" s="278"/>
      <c r="BM229" s="278"/>
      <c r="BN229" s="278"/>
      <c r="BO229" s="278"/>
      <c r="BP229" s="278"/>
      <c r="BQ229" s="278"/>
      <c r="BR229" s="278"/>
      <c r="BS229" s="278"/>
      <c r="BT229" s="278"/>
      <c r="BU229" s="278"/>
      <c r="BV229" s="278"/>
      <c r="BW229" s="278"/>
      <c r="BX229" s="278"/>
      <c r="BY229" s="278"/>
      <c r="BZ229" s="278"/>
      <c r="CA229" s="278"/>
      <c r="CB229" s="278"/>
      <c r="CC229" s="278"/>
      <c r="CD229" s="278"/>
      <c r="CE229" s="278"/>
      <c r="CF229" s="278"/>
      <c r="CG229" s="278"/>
      <c r="CH229" s="278"/>
      <c r="CI229" s="278"/>
      <c r="CJ229" s="278"/>
      <c r="CK229" s="278"/>
      <c r="CL229" s="278"/>
      <c r="CM229" s="278"/>
      <c r="CN229" s="278"/>
      <c r="CO229" s="278"/>
      <c r="CP229" s="278"/>
      <c r="CQ229" s="278"/>
      <c r="CR229" s="278"/>
      <c r="CS229" s="278"/>
      <c r="CT229" s="278"/>
      <c r="CU229" s="278"/>
      <c r="CV229" s="278"/>
      <c r="CW229" s="278"/>
      <c r="CX229" s="278"/>
      <c r="CY229" s="278"/>
      <c r="CZ229" s="278"/>
      <c r="DA229" s="278"/>
      <c r="DB229" s="278"/>
      <c r="DC229" s="278"/>
      <c r="DD229" s="278"/>
      <c r="DE229" s="278"/>
      <c r="DF229" s="278"/>
      <c r="DG229" s="278"/>
      <c r="DH229" s="278"/>
      <c r="DI229" s="278"/>
      <c r="DJ229" s="278"/>
      <c r="DK229" s="278"/>
      <c r="DL229" s="278"/>
    </row>
    <row r="230" spans="1:116" ht="15.75" customHeight="1" x14ac:dyDescent="0.25">
      <c r="A230" s="466"/>
      <c r="B230" s="466"/>
      <c r="C230" s="467"/>
      <c r="D230" s="279"/>
      <c r="E230" s="280"/>
      <c r="F230" s="279"/>
      <c r="G230" s="279"/>
      <c r="H230" s="409"/>
      <c r="I230" s="282"/>
      <c r="J230" s="282"/>
      <c r="K230" s="282"/>
      <c r="L230" s="282"/>
      <c r="M230" s="282"/>
      <c r="N230" s="282"/>
      <c r="O230" s="282"/>
      <c r="P230" s="282"/>
      <c r="Q230" s="282"/>
      <c r="R230" s="282"/>
      <c r="S230" s="282"/>
      <c r="T230" s="282"/>
      <c r="U230" s="282"/>
      <c r="V230" s="282"/>
      <c r="W230" s="282"/>
      <c r="X230" s="282"/>
      <c r="Y230" s="282"/>
      <c r="Z230" s="282"/>
      <c r="AA230" s="282"/>
      <c r="AB230" s="282"/>
      <c r="AC230" s="282"/>
      <c r="AD230" s="282"/>
      <c r="AE230" s="282"/>
      <c r="AF230" s="282"/>
      <c r="AG230" s="282"/>
      <c r="AH230" s="282"/>
      <c r="AI230" s="282"/>
      <c r="AJ230" s="282"/>
      <c r="AK230" s="282"/>
      <c r="AL230" s="282"/>
      <c r="AM230" s="282"/>
      <c r="AN230" s="282"/>
      <c r="AO230" s="282"/>
      <c r="AP230" s="282"/>
      <c r="AQ230" s="282"/>
      <c r="AR230" s="282"/>
      <c r="AS230" s="282"/>
      <c r="AT230" s="282"/>
      <c r="AU230" s="282"/>
      <c r="AV230" s="282"/>
      <c r="AW230" s="282"/>
      <c r="AX230" s="282"/>
      <c r="AY230" s="282"/>
      <c r="AZ230" s="282"/>
      <c r="BA230" s="282"/>
      <c r="BB230" s="282"/>
      <c r="BC230" s="282"/>
      <c r="BD230" s="282"/>
      <c r="BE230" s="282"/>
      <c r="BF230" s="282"/>
      <c r="BG230" s="282"/>
      <c r="BH230" s="282"/>
      <c r="BI230" s="282"/>
      <c r="BJ230" s="278"/>
      <c r="BK230" s="278"/>
      <c r="BL230" s="278"/>
      <c r="BM230" s="278"/>
      <c r="BN230" s="278"/>
      <c r="BO230" s="278"/>
      <c r="BP230" s="278"/>
      <c r="BQ230" s="278"/>
      <c r="BR230" s="278"/>
      <c r="BS230" s="278"/>
      <c r="BT230" s="278"/>
      <c r="BU230" s="278"/>
      <c r="BV230" s="278"/>
      <c r="BW230" s="278"/>
      <c r="BX230" s="278"/>
      <c r="BY230" s="278"/>
      <c r="BZ230" s="278"/>
      <c r="CA230" s="278"/>
      <c r="CB230" s="278"/>
      <c r="CC230" s="278"/>
      <c r="CD230" s="278"/>
      <c r="CE230" s="278"/>
      <c r="CF230" s="278"/>
      <c r="CG230" s="278"/>
      <c r="CH230" s="278"/>
      <c r="CI230" s="278"/>
      <c r="CJ230" s="278"/>
      <c r="CK230" s="278"/>
      <c r="CL230" s="278"/>
      <c r="CM230" s="278"/>
      <c r="CN230" s="278"/>
      <c r="CO230" s="278"/>
      <c r="CP230" s="278"/>
      <c r="CQ230" s="278"/>
      <c r="CR230" s="278"/>
      <c r="CS230" s="278"/>
      <c r="CT230" s="278"/>
      <c r="CU230" s="278"/>
      <c r="CV230" s="278"/>
      <c r="CW230" s="278"/>
      <c r="CX230" s="278"/>
      <c r="CY230" s="278"/>
      <c r="CZ230" s="278"/>
      <c r="DA230" s="278"/>
      <c r="DB230" s="278"/>
      <c r="DC230" s="278"/>
      <c r="DD230" s="278"/>
      <c r="DE230" s="278"/>
      <c r="DF230" s="278"/>
      <c r="DG230" s="278"/>
      <c r="DH230" s="278"/>
      <c r="DI230" s="278"/>
      <c r="DJ230" s="278"/>
      <c r="DK230" s="278"/>
      <c r="DL230" s="278"/>
    </row>
    <row r="231" spans="1:116" ht="15.75" customHeight="1" x14ac:dyDescent="0.25">
      <c r="A231" s="466"/>
      <c r="B231" s="466"/>
      <c r="C231" s="467"/>
      <c r="D231" s="279"/>
      <c r="E231" s="280"/>
      <c r="F231" s="279"/>
      <c r="G231" s="279"/>
      <c r="H231" s="409"/>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282"/>
      <c r="AE231" s="282"/>
      <c r="AF231" s="282"/>
      <c r="AG231" s="282"/>
      <c r="AH231" s="282"/>
      <c r="AI231" s="282"/>
      <c r="AJ231" s="282"/>
      <c r="AK231" s="282"/>
      <c r="AL231" s="282"/>
      <c r="AM231" s="282"/>
      <c r="AN231" s="282"/>
      <c r="AO231" s="282"/>
      <c r="AP231" s="282"/>
      <c r="AQ231" s="282"/>
      <c r="AR231" s="282"/>
      <c r="AS231" s="282"/>
      <c r="AT231" s="282"/>
      <c r="AU231" s="282"/>
      <c r="AV231" s="282"/>
      <c r="AW231" s="282"/>
      <c r="AX231" s="282"/>
      <c r="AY231" s="282"/>
      <c r="AZ231" s="282"/>
      <c r="BA231" s="282"/>
      <c r="BB231" s="282"/>
      <c r="BC231" s="282"/>
      <c r="BD231" s="282"/>
      <c r="BE231" s="282"/>
      <c r="BF231" s="282"/>
      <c r="BG231" s="282"/>
      <c r="BH231" s="282"/>
      <c r="BI231" s="282"/>
      <c r="BJ231" s="278"/>
      <c r="BK231" s="278"/>
      <c r="BL231" s="278"/>
      <c r="BM231" s="278"/>
      <c r="BN231" s="278"/>
      <c r="BO231" s="278"/>
      <c r="BP231" s="278"/>
      <c r="BQ231" s="278"/>
      <c r="BR231" s="278"/>
      <c r="BS231" s="278"/>
      <c r="BT231" s="278"/>
      <c r="BU231" s="278"/>
      <c r="BV231" s="278"/>
      <c r="BW231" s="278"/>
      <c r="BX231" s="278"/>
      <c r="BY231" s="278"/>
      <c r="BZ231" s="278"/>
      <c r="CA231" s="278"/>
      <c r="CB231" s="278"/>
      <c r="CC231" s="278"/>
      <c r="CD231" s="278"/>
      <c r="CE231" s="278"/>
      <c r="CF231" s="278"/>
      <c r="CG231" s="278"/>
      <c r="CH231" s="278"/>
      <c r="CI231" s="278"/>
      <c r="CJ231" s="278"/>
      <c r="CK231" s="278"/>
      <c r="CL231" s="278"/>
      <c r="CM231" s="278"/>
      <c r="CN231" s="278"/>
      <c r="CO231" s="278"/>
      <c r="CP231" s="278"/>
      <c r="CQ231" s="278"/>
      <c r="CR231" s="278"/>
      <c r="CS231" s="278"/>
      <c r="CT231" s="278"/>
      <c r="CU231" s="278"/>
      <c r="CV231" s="278"/>
      <c r="CW231" s="278"/>
      <c r="CX231" s="278"/>
      <c r="CY231" s="278"/>
      <c r="CZ231" s="278"/>
      <c r="DA231" s="278"/>
      <c r="DB231" s="278"/>
      <c r="DC231" s="278"/>
      <c r="DD231" s="278"/>
      <c r="DE231" s="278"/>
      <c r="DF231" s="278"/>
      <c r="DG231" s="278"/>
      <c r="DH231" s="278"/>
      <c r="DI231" s="278"/>
      <c r="DJ231" s="278"/>
      <c r="DK231" s="278"/>
      <c r="DL231" s="278"/>
    </row>
    <row r="232" spans="1:116" ht="15.75" customHeight="1" x14ac:dyDescent="0.25">
      <c r="A232" s="466"/>
      <c r="B232" s="466"/>
      <c r="C232" s="467"/>
      <c r="D232" s="279"/>
      <c r="E232" s="280"/>
      <c r="F232" s="279"/>
      <c r="G232" s="279"/>
      <c r="H232" s="409"/>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282"/>
      <c r="AE232" s="282"/>
      <c r="AF232" s="282"/>
      <c r="AG232" s="282"/>
      <c r="AH232" s="282"/>
      <c r="AI232" s="282"/>
      <c r="AJ232" s="282"/>
      <c r="AK232" s="282"/>
      <c r="AL232" s="282"/>
      <c r="AM232" s="282"/>
      <c r="AN232" s="282"/>
      <c r="AO232" s="282"/>
      <c r="AP232" s="282"/>
      <c r="AQ232" s="282"/>
      <c r="AR232" s="282"/>
      <c r="AS232" s="282"/>
      <c r="AT232" s="282"/>
      <c r="AU232" s="282"/>
      <c r="AV232" s="282"/>
      <c r="AW232" s="282"/>
      <c r="AX232" s="282"/>
      <c r="AY232" s="282"/>
      <c r="AZ232" s="282"/>
      <c r="BA232" s="282"/>
      <c r="BB232" s="282"/>
      <c r="BC232" s="282"/>
      <c r="BD232" s="282"/>
      <c r="BE232" s="282"/>
      <c r="BF232" s="282"/>
      <c r="BG232" s="282"/>
      <c r="BH232" s="282"/>
      <c r="BI232" s="282"/>
      <c r="BJ232" s="278"/>
      <c r="BK232" s="278"/>
      <c r="BL232" s="278"/>
      <c r="BM232" s="278"/>
      <c r="BN232" s="278"/>
      <c r="BO232" s="278"/>
      <c r="BP232" s="278"/>
      <c r="BQ232" s="278"/>
      <c r="BR232" s="278"/>
      <c r="BS232" s="278"/>
      <c r="BT232" s="278"/>
      <c r="BU232" s="278"/>
      <c r="BV232" s="278"/>
      <c r="BW232" s="278"/>
      <c r="BX232" s="278"/>
      <c r="BY232" s="278"/>
      <c r="BZ232" s="278"/>
      <c r="CA232" s="278"/>
      <c r="CB232" s="278"/>
      <c r="CC232" s="278"/>
      <c r="CD232" s="278"/>
      <c r="CE232" s="278"/>
      <c r="CF232" s="278"/>
      <c r="CG232" s="278"/>
      <c r="CH232" s="278"/>
      <c r="CI232" s="278"/>
      <c r="CJ232" s="278"/>
      <c r="CK232" s="278"/>
      <c r="CL232" s="278"/>
      <c r="CM232" s="278"/>
      <c r="CN232" s="278"/>
      <c r="CO232" s="278"/>
      <c r="CP232" s="278"/>
      <c r="CQ232" s="278"/>
      <c r="CR232" s="278"/>
      <c r="CS232" s="278"/>
      <c r="CT232" s="278"/>
      <c r="CU232" s="278"/>
      <c r="CV232" s="278"/>
      <c r="CW232" s="278"/>
      <c r="CX232" s="278"/>
      <c r="CY232" s="278"/>
      <c r="CZ232" s="278"/>
      <c r="DA232" s="278"/>
      <c r="DB232" s="278"/>
      <c r="DC232" s="278"/>
      <c r="DD232" s="278"/>
      <c r="DE232" s="278"/>
      <c r="DF232" s="278"/>
      <c r="DG232" s="278"/>
      <c r="DH232" s="278"/>
      <c r="DI232" s="278"/>
      <c r="DJ232" s="278"/>
      <c r="DK232" s="278"/>
      <c r="DL232" s="278"/>
    </row>
    <row r="233" spans="1:116" ht="15.75" customHeight="1" x14ac:dyDescent="0.25">
      <c r="A233" s="466"/>
      <c r="B233" s="466"/>
      <c r="C233" s="467"/>
      <c r="D233" s="279"/>
      <c r="E233" s="280"/>
      <c r="F233" s="279"/>
      <c r="G233" s="279"/>
      <c r="H233" s="409"/>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282"/>
      <c r="AF233" s="282"/>
      <c r="AG233" s="282"/>
      <c r="AH233" s="282"/>
      <c r="AI233" s="282"/>
      <c r="AJ233" s="282"/>
      <c r="AK233" s="282"/>
      <c r="AL233" s="282"/>
      <c r="AM233" s="282"/>
      <c r="AN233" s="282"/>
      <c r="AO233" s="282"/>
      <c r="AP233" s="282"/>
      <c r="AQ233" s="282"/>
      <c r="AR233" s="282"/>
      <c r="AS233" s="282"/>
      <c r="AT233" s="282"/>
      <c r="AU233" s="282"/>
      <c r="AV233" s="282"/>
      <c r="AW233" s="282"/>
      <c r="AX233" s="282"/>
      <c r="AY233" s="282"/>
      <c r="AZ233" s="282"/>
      <c r="BA233" s="282"/>
      <c r="BB233" s="282"/>
      <c r="BC233" s="282"/>
      <c r="BD233" s="282"/>
      <c r="BE233" s="282"/>
      <c r="BF233" s="282"/>
      <c r="BG233" s="282"/>
      <c r="BH233" s="282"/>
      <c r="BI233" s="282"/>
      <c r="BJ233" s="278"/>
      <c r="BK233" s="278"/>
      <c r="BL233" s="278"/>
      <c r="BM233" s="278"/>
      <c r="BN233" s="278"/>
      <c r="BO233" s="278"/>
      <c r="BP233" s="278"/>
      <c r="BQ233" s="278"/>
      <c r="BR233" s="278"/>
      <c r="BS233" s="278"/>
      <c r="BT233" s="278"/>
      <c r="BU233" s="278"/>
      <c r="BV233" s="278"/>
      <c r="BW233" s="278"/>
      <c r="BX233" s="278"/>
      <c r="BY233" s="278"/>
      <c r="BZ233" s="278"/>
      <c r="CA233" s="278"/>
      <c r="CB233" s="278"/>
      <c r="CC233" s="278"/>
      <c r="CD233" s="278"/>
      <c r="CE233" s="278"/>
      <c r="CF233" s="278"/>
      <c r="CG233" s="278"/>
      <c r="CH233" s="278"/>
      <c r="CI233" s="278"/>
      <c r="CJ233" s="278"/>
      <c r="CK233" s="278"/>
      <c r="CL233" s="278"/>
      <c r="CM233" s="278"/>
      <c r="CN233" s="278"/>
      <c r="CO233" s="278"/>
      <c r="CP233" s="278"/>
      <c r="CQ233" s="278"/>
      <c r="CR233" s="278"/>
      <c r="CS233" s="278"/>
      <c r="CT233" s="278"/>
      <c r="CU233" s="278"/>
      <c r="CV233" s="278"/>
      <c r="CW233" s="278"/>
      <c r="CX233" s="278"/>
      <c r="CY233" s="278"/>
      <c r="CZ233" s="278"/>
      <c r="DA233" s="278"/>
      <c r="DB233" s="278"/>
      <c r="DC233" s="278"/>
      <c r="DD233" s="278"/>
      <c r="DE233" s="278"/>
      <c r="DF233" s="278"/>
      <c r="DG233" s="278"/>
      <c r="DH233" s="278"/>
      <c r="DI233" s="278"/>
      <c r="DJ233" s="278"/>
      <c r="DK233" s="278"/>
      <c r="DL233" s="278"/>
    </row>
    <row r="234" spans="1:116" ht="15.75" customHeight="1" x14ac:dyDescent="0.25">
      <c r="A234" s="466"/>
      <c r="B234" s="466"/>
      <c r="C234" s="467"/>
      <c r="D234" s="279"/>
      <c r="E234" s="280"/>
      <c r="F234" s="279"/>
      <c r="G234" s="279"/>
      <c r="H234" s="409"/>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82"/>
      <c r="AE234" s="282"/>
      <c r="AF234" s="282"/>
      <c r="AG234" s="282"/>
      <c r="AH234" s="282"/>
      <c r="AI234" s="282"/>
      <c r="AJ234" s="282"/>
      <c r="AK234" s="282"/>
      <c r="AL234" s="282"/>
      <c r="AM234" s="282"/>
      <c r="AN234" s="282"/>
      <c r="AO234" s="282"/>
      <c r="AP234" s="282"/>
      <c r="AQ234" s="282"/>
      <c r="AR234" s="282"/>
      <c r="AS234" s="282"/>
      <c r="AT234" s="282"/>
      <c r="AU234" s="282"/>
      <c r="AV234" s="282"/>
      <c r="AW234" s="282"/>
      <c r="AX234" s="282"/>
      <c r="AY234" s="282"/>
      <c r="AZ234" s="282"/>
      <c r="BA234" s="282"/>
      <c r="BB234" s="282"/>
      <c r="BC234" s="282"/>
      <c r="BD234" s="282"/>
      <c r="BE234" s="282"/>
      <c r="BF234" s="282"/>
      <c r="BG234" s="282"/>
      <c r="BH234" s="282"/>
      <c r="BI234" s="282"/>
      <c r="BJ234" s="278"/>
      <c r="BK234" s="278"/>
      <c r="BL234" s="278"/>
      <c r="BM234" s="278"/>
      <c r="BN234" s="278"/>
      <c r="BO234" s="278"/>
      <c r="BP234" s="278"/>
      <c r="BQ234" s="278"/>
      <c r="BR234" s="278"/>
      <c r="BS234" s="278"/>
      <c r="BT234" s="278"/>
      <c r="BU234" s="278"/>
      <c r="BV234" s="278"/>
      <c r="BW234" s="278"/>
      <c r="BX234" s="278"/>
      <c r="BY234" s="278"/>
      <c r="BZ234" s="278"/>
      <c r="CA234" s="278"/>
      <c r="CB234" s="278"/>
      <c r="CC234" s="278"/>
      <c r="CD234" s="278"/>
      <c r="CE234" s="278"/>
      <c r="CF234" s="278"/>
      <c r="CG234" s="278"/>
      <c r="CH234" s="278"/>
      <c r="CI234" s="278"/>
      <c r="CJ234" s="278"/>
      <c r="CK234" s="278"/>
      <c r="CL234" s="278"/>
      <c r="CM234" s="278"/>
      <c r="CN234" s="278"/>
      <c r="CO234" s="278"/>
      <c r="CP234" s="278"/>
      <c r="CQ234" s="278"/>
      <c r="CR234" s="278"/>
      <c r="CS234" s="278"/>
      <c r="CT234" s="278"/>
      <c r="CU234" s="278"/>
      <c r="CV234" s="278"/>
      <c r="CW234" s="278"/>
      <c r="CX234" s="278"/>
      <c r="CY234" s="278"/>
      <c r="CZ234" s="278"/>
      <c r="DA234" s="278"/>
      <c r="DB234" s="278"/>
      <c r="DC234" s="278"/>
      <c r="DD234" s="278"/>
      <c r="DE234" s="278"/>
      <c r="DF234" s="278"/>
      <c r="DG234" s="278"/>
      <c r="DH234" s="278"/>
      <c r="DI234" s="278"/>
      <c r="DJ234" s="278"/>
      <c r="DK234" s="278"/>
      <c r="DL234" s="278"/>
    </row>
    <row r="235" spans="1:116" ht="15.75" customHeight="1" x14ac:dyDescent="0.25">
      <c r="A235" s="466"/>
      <c r="B235" s="466"/>
      <c r="C235" s="467"/>
      <c r="D235" s="279"/>
      <c r="E235" s="280"/>
      <c r="F235" s="279"/>
      <c r="G235" s="279"/>
      <c r="H235" s="409"/>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282"/>
      <c r="AE235" s="282"/>
      <c r="AF235" s="282"/>
      <c r="AG235" s="282"/>
      <c r="AH235" s="282"/>
      <c r="AI235" s="282"/>
      <c r="AJ235" s="282"/>
      <c r="AK235" s="282"/>
      <c r="AL235" s="282"/>
      <c r="AM235" s="282"/>
      <c r="AN235" s="282"/>
      <c r="AO235" s="282"/>
      <c r="AP235" s="282"/>
      <c r="AQ235" s="282"/>
      <c r="AR235" s="282"/>
      <c r="AS235" s="282"/>
      <c r="AT235" s="282"/>
      <c r="AU235" s="282"/>
      <c r="AV235" s="282"/>
      <c r="AW235" s="282"/>
      <c r="AX235" s="282"/>
      <c r="AY235" s="282"/>
      <c r="AZ235" s="282"/>
      <c r="BA235" s="282"/>
      <c r="BB235" s="282"/>
      <c r="BC235" s="282"/>
      <c r="BD235" s="282"/>
      <c r="BE235" s="282"/>
      <c r="BF235" s="282"/>
      <c r="BG235" s="282"/>
      <c r="BH235" s="282"/>
      <c r="BI235" s="282"/>
      <c r="BJ235" s="278"/>
      <c r="BK235" s="278"/>
      <c r="BL235" s="278"/>
      <c r="BM235" s="278"/>
      <c r="BN235" s="278"/>
      <c r="BO235" s="278"/>
      <c r="BP235" s="278"/>
      <c r="BQ235" s="278"/>
      <c r="BR235" s="278"/>
      <c r="BS235" s="278"/>
      <c r="BT235" s="278"/>
      <c r="BU235" s="278"/>
      <c r="BV235" s="278"/>
      <c r="BW235" s="278"/>
      <c r="BX235" s="278"/>
      <c r="BY235" s="278"/>
      <c r="BZ235" s="278"/>
      <c r="CA235" s="278"/>
      <c r="CB235" s="278"/>
      <c r="CC235" s="278"/>
      <c r="CD235" s="278"/>
      <c r="CE235" s="278"/>
      <c r="CF235" s="278"/>
      <c r="CG235" s="278"/>
      <c r="CH235" s="278"/>
      <c r="CI235" s="278"/>
      <c r="CJ235" s="278"/>
      <c r="CK235" s="278"/>
      <c r="CL235" s="278"/>
      <c r="CM235" s="278"/>
      <c r="CN235" s="278"/>
      <c r="CO235" s="278"/>
      <c r="CP235" s="278"/>
      <c r="CQ235" s="278"/>
      <c r="CR235" s="278"/>
      <c r="CS235" s="278"/>
      <c r="CT235" s="278"/>
      <c r="CU235" s="278"/>
      <c r="CV235" s="278"/>
      <c r="CW235" s="278"/>
      <c r="CX235" s="278"/>
      <c r="CY235" s="278"/>
      <c r="CZ235" s="278"/>
      <c r="DA235" s="278"/>
      <c r="DB235" s="278"/>
      <c r="DC235" s="278"/>
      <c r="DD235" s="278"/>
      <c r="DE235" s="278"/>
      <c r="DF235" s="278"/>
      <c r="DG235" s="278"/>
      <c r="DH235" s="278"/>
      <c r="DI235" s="278"/>
      <c r="DJ235" s="278"/>
      <c r="DK235" s="278"/>
      <c r="DL235" s="278"/>
    </row>
    <row r="236" spans="1:116" ht="15.75" customHeight="1" x14ac:dyDescent="0.25">
      <c r="A236" s="466"/>
      <c r="B236" s="466"/>
      <c r="C236" s="467"/>
      <c r="D236" s="279"/>
      <c r="E236" s="280"/>
      <c r="F236" s="279"/>
      <c r="G236" s="279"/>
      <c r="H236" s="409"/>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282"/>
      <c r="AE236" s="282"/>
      <c r="AF236" s="282"/>
      <c r="AG236" s="282"/>
      <c r="AH236" s="282"/>
      <c r="AI236" s="282"/>
      <c r="AJ236" s="282"/>
      <c r="AK236" s="282"/>
      <c r="AL236" s="282"/>
      <c r="AM236" s="282"/>
      <c r="AN236" s="282"/>
      <c r="AO236" s="282"/>
      <c r="AP236" s="282"/>
      <c r="AQ236" s="282"/>
      <c r="AR236" s="282"/>
      <c r="AS236" s="282"/>
      <c r="AT236" s="282"/>
      <c r="AU236" s="282"/>
      <c r="AV236" s="282"/>
      <c r="AW236" s="282"/>
      <c r="AX236" s="282"/>
      <c r="AY236" s="282"/>
      <c r="AZ236" s="282"/>
      <c r="BA236" s="282"/>
      <c r="BB236" s="282"/>
      <c r="BC236" s="282"/>
      <c r="BD236" s="282"/>
      <c r="BE236" s="282"/>
      <c r="BF236" s="282"/>
      <c r="BG236" s="282"/>
      <c r="BH236" s="282"/>
      <c r="BI236" s="282"/>
      <c r="BJ236" s="278"/>
      <c r="BK236" s="278"/>
      <c r="BL236" s="278"/>
      <c r="BM236" s="278"/>
      <c r="BN236" s="278"/>
      <c r="BO236" s="278"/>
      <c r="BP236" s="278"/>
      <c r="BQ236" s="278"/>
      <c r="BR236" s="278"/>
      <c r="BS236" s="278"/>
      <c r="BT236" s="278"/>
      <c r="BU236" s="278"/>
      <c r="BV236" s="278"/>
      <c r="BW236" s="278"/>
      <c r="BX236" s="278"/>
      <c r="BY236" s="278"/>
      <c r="BZ236" s="278"/>
      <c r="CA236" s="278"/>
      <c r="CB236" s="278"/>
      <c r="CC236" s="278"/>
      <c r="CD236" s="278"/>
      <c r="CE236" s="278"/>
      <c r="CF236" s="278"/>
      <c r="CG236" s="278"/>
      <c r="CH236" s="278"/>
      <c r="CI236" s="278"/>
      <c r="CJ236" s="278"/>
      <c r="CK236" s="278"/>
      <c r="CL236" s="278"/>
      <c r="CM236" s="278"/>
      <c r="CN236" s="278"/>
      <c r="CO236" s="278"/>
      <c r="CP236" s="278"/>
      <c r="CQ236" s="278"/>
      <c r="CR236" s="278"/>
      <c r="CS236" s="278"/>
      <c r="CT236" s="278"/>
      <c r="CU236" s="278"/>
      <c r="CV236" s="278"/>
      <c r="CW236" s="278"/>
      <c r="CX236" s="278"/>
      <c r="CY236" s="278"/>
      <c r="CZ236" s="278"/>
      <c r="DA236" s="278"/>
      <c r="DB236" s="278"/>
      <c r="DC236" s="278"/>
      <c r="DD236" s="278"/>
      <c r="DE236" s="278"/>
      <c r="DF236" s="278"/>
      <c r="DG236" s="278"/>
      <c r="DH236" s="278"/>
      <c r="DI236" s="278"/>
      <c r="DJ236" s="278"/>
      <c r="DK236" s="278"/>
      <c r="DL236" s="278"/>
    </row>
    <row r="237" spans="1:116" ht="15.75" customHeight="1" x14ac:dyDescent="0.25">
      <c r="A237" s="466"/>
      <c r="B237" s="466"/>
      <c r="C237" s="467"/>
      <c r="D237" s="279"/>
      <c r="E237" s="280"/>
      <c r="F237" s="279"/>
      <c r="G237" s="279"/>
      <c r="H237" s="409"/>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282"/>
      <c r="AE237" s="282"/>
      <c r="AF237" s="282"/>
      <c r="AG237" s="282"/>
      <c r="AH237" s="282"/>
      <c r="AI237" s="282"/>
      <c r="AJ237" s="282"/>
      <c r="AK237" s="282"/>
      <c r="AL237" s="282"/>
      <c r="AM237" s="282"/>
      <c r="AN237" s="282"/>
      <c r="AO237" s="282"/>
      <c r="AP237" s="282"/>
      <c r="AQ237" s="282"/>
      <c r="AR237" s="282"/>
      <c r="AS237" s="282"/>
      <c r="AT237" s="282"/>
      <c r="AU237" s="282"/>
      <c r="AV237" s="282"/>
      <c r="AW237" s="282"/>
      <c r="AX237" s="282"/>
      <c r="AY237" s="282"/>
      <c r="AZ237" s="282"/>
      <c r="BA237" s="282"/>
      <c r="BB237" s="282"/>
      <c r="BC237" s="282"/>
      <c r="BD237" s="282"/>
      <c r="BE237" s="282"/>
      <c r="BF237" s="282"/>
      <c r="BG237" s="282"/>
      <c r="BH237" s="282"/>
      <c r="BI237" s="282"/>
      <c r="BJ237" s="278"/>
      <c r="BK237" s="278"/>
      <c r="BL237" s="278"/>
      <c r="BM237" s="278"/>
      <c r="BN237" s="278"/>
      <c r="BO237" s="278"/>
      <c r="BP237" s="278"/>
      <c r="BQ237" s="278"/>
      <c r="BR237" s="278"/>
      <c r="BS237" s="278"/>
      <c r="BT237" s="278"/>
      <c r="BU237" s="278"/>
      <c r="BV237" s="278"/>
      <c r="BW237" s="278"/>
      <c r="BX237" s="278"/>
      <c r="BY237" s="278"/>
      <c r="BZ237" s="278"/>
      <c r="CA237" s="278"/>
      <c r="CB237" s="278"/>
      <c r="CC237" s="278"/>
      <c r="CD237" s="278"/>
      <c r="CE237" s="278"/>
      <c r="CF237" s="278"/>
      <c r="CG237" s="278"/>
      <c r="CH237" s="278"/>
      <c r="CI237" s="278"/>
      <c r="CJ237" s="278"/>
      <c r="CK237" s="278"/>
      <c r="CL237" s="278"/>
      <c r="CM237" s="278"/>
      <c r="CN237" s="278"/>
      <c r="CO237" s="278"/>
      <c r="CP237" s="278"/>
      <c r="CQ237" s="278"/>
      <c r="CR237" s="278"/>
      <c r="CS237" s="278"/>
      <c r="CT237" s="278"/>
      <c r="CU237" s="278"/>
      <c r="CV237" s="278"/>
      <c r="CW237" s="278"/>
      <c r="CX237" s="278"/>
      <c r="CY237" s="278"/>
      <c r="CZ237" s="278"/>
      <c r="DA237" s="278"/>
      <c r="DB237" s="278"/>
      <c r="DC237" s="278"/>
      <c r="DD237" s="278"/>
      <c r="DE237" s="278"/>
      <c r="DF237" s="278"/>
      <c r="DG237" s="278"/>
      <c r="DH237" s="278"/>
      <c r="DI237" s="278"/>
      <c r="DJ237" s="278"/>
      <c r="DK237" s="278"/>
      <c r="DL237" s="278"/>
    </row>
    <row r="238" spans="1:116" ht="15.75" customHeight="1" x14ac:dyDescent="0.25">
      <c r="A238" s="466"/>
      <c r="B238" s="466"/>
      <c r="C238" s="467"/>
      <c r="D238" s="279"/>
      <c r="E238" s="280"/>
      <c r="F238" s="279"/>
      <c r="G238" s="279"/>
      <c r="H238" s="409"/>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282"/>
      <c r="AE238" s="282"/>
      <c r="AF238" s="282"/>
      <c r="AG238" s="282"/>
      <c r="AH238" s="282"/>
      <c r="AI238" s="282"/>
      <c r="AJ238" s="282"/>
      <c r="AK238" s="282"/>
      <c r="AL238" s="282"/>
      <c r="AM238" s="282"/>
      <c r="AN238" s="282"/>
      <c r="AO238" s="282"/>
      <c r="AP238" s="282"/>
      <c r="AQ238" s="282"/>
      <c r="AR238" s="282"/>
      <c r="AS238" s="282"/>
      <c r="AT238" s="282"/>
      <c r="AU238" s="282"/>
      <c r="AV238" s="282"/>
      <c r="AW238" s="282"/>
      <c r="AX238" s="282"/>
      <c r="AY238" s="282"/>
      <c r="AZ238" s="282"/>
      <c r="BA238" s="282"/>
      <c r="BB238" s="282"/>
      <c r="BC238" s="282"/>
      <c r="BD238" s="282"/>
      <c r="BE238" s="282"/>
      <c r="BF238" s="282"/>
      <c r="BG238" s="282"/>
      <c r="BH238" s="282"/>
      <c r="BI238" s="282"/>
      <c r="BJ238" s="278"/>
      <c r="BK238" s="278"/>
      <c r="BL238" s="278"/>
      <c r="BM238" s="278"/>
      <c r="BN238" s="278"/>
      <c r="BO238" s="278"/>
      <c r="BP238" s="278"/>
      <c r="BQ238" s="278"/>
      <c r="BR238" s="278"/>
      <c r="BS238" s="278"/>
      <c r="BT238" s="278"/>
      <c r="BU238" s="278"/>
      <c r="BV238" s="278"/>
      <c r="BW238" s="278"/>
      <c r="BX238" s="278"/>
      <c r="BY238" s="278"/>
      <c r="BZ238" s="278"/>
      <c r="CA238" s="278"/>
      <c r="CB238" s="278"/>
      <c r="CC238" s="278"/>
      <c r="CD238" s="278"/>
      <c r="CE238" s="278"/>
      <c r="CF238" s="278"/>
      <c r="CG238" s="278"/>
      <c r="CH238" s="278"/>
      <c r="CI238" s="278"/>
      <c r="CJ238" s="278"/>
      <c r="CK238" s="278"/>
      <c r="CL238" s="278"/>
      <c r="CM238" s="278"/>
      <c r="CN238" s="278"/>
      <c r="CO238" s="278"/>
      <c r="CP238" s="278"/>
      <c r="CQ238" s="278"/>
      <c r="CR238" s="278"/>
      <c r="CS238" s="278"/>
      <c r="CT238" s="278"/>
      <c r="CU238" s="278"/>
      <c r="CV238" s="278"/>
      <c r="CW238" s="278"/>
      <c r="CX238" s="278"/>
      <c r="CY238" s="278"/>
      <c r="CZ238" s="278"/>
      <c r="DA238" s="278"/>
      <c r="DB238" s="278"/>
      <c r="DC238" s="278"/>
      <c r="DD238" s="278"/>
      <c r="DE238" s="278"/>
      <c r="DF238" s="278"/>
      <c r="DG238" s="278"/>
      <c r="DH238" s="278"/>
      <c r="DI238" s="278"/>
      <c r="DJ238" s="278"/>
      <c r="DK238" s="278"/>
      <c r="DL238" s="278"/>
    </row>
    <row r="239" spans="1:116" ht="15.75" customHeight="1" x14ac:dyDescent="0.25">
      <c r="A239" s="466"/>
      <c r="B239" s="466"/>
      <c r="C239" s="467"/>
      <c r="D239" s="279"/>
      <c r="E239" s="280"/>
      <c r="F239" s="279"/>
      <c r="G239" s="279"/>
      <c r="H239" s="409"/>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282"/>
      <c r="AE239" s="282"/>
      <c r="AF239" s="282"/>
      <c r="AG239" s="282"/>
      <c r="AH239" s="282"/>
      <c r="AI239" s="282"/>
      <c r="AJ239" s="282"/>
      <c r="AK239" s="282"/>
      <c r="AL239" s="282"/>
      <c r="AM239" s="282"/>
      <c r="AN239" s="282"/>
      <c r="AO239" s="282"/>
      <c r="AP239" s="282"/>
      <c r="AQ239" s="282"/>
      <c r="AR239" s="282"/>
      <c r="AS239" s="282"/>
      <c r="AT239" s="282"/>
      <c r="AU239" s="282"/>
      <c r="AV239" s="282"/>
      <c r="AW239" s="282"/>
      <c r="AX239" s="282"/>
      <c r="AY239" s="282"/>
      <c r="AZ239" s="282"/>
      <c r="BA239" s="282"/>
      <c r="BB239" s="282"/>
      <c r="BC239" s="282"/>
      <c r="BD239" s="282"/>
      <c r="BE239" s="282"/>
      <c r="BF239" s="282"/>
      <c r="BG239" s="282"/>
      <c r="BH239" s="282"/>
      <c r="BI239" s="282"/>
      <c r="BJ239" s="278"/>
      <c r="BK239" s="278"/>
      <c r="BL239" s="278"/>
      <c r="BM239" s="278"/>
      <c r="BN239" s="278"/>
      <c r="BO239" s="278"/>
      <c r="BP239" s="278"/>
      <c r="BQ239" s="278"/>
      <c r="BR239" s="278"/>
      <c r="BS239" s="278"/>
      <c r="BT239" s="278"/>
      <c r="BU239" s="278"/>
      <c r="BV239" s="278"/>
      <c r="BW239" s="278"/>
      <c r="BX239" s="278"/>
      <c r="BY239" s="278"/>
      <c r="BZ239" s="278"/>
      <c r="CA239" s="278"/>
      <c r="CB239" s="278"/>
      <c r="CC239" s="278"/>
      <c r="CD239" s="278"/>
      <c r="CE239" s="278"/>
      <c r="CF239" s="278"/>
      <c r="CG239" s="278"/>
      <c r="CH239" s="278"/>
      <c r="CI239" s="278"/>
      <c r="CJ239" s="278"/>
      <c r="CK239" s="278"/>
      <c r="CL239" s="278"/>
      <c r="CM239" s="278"/>
      <c r="CN239" s="278"/>
      <c r="CO239" s="278"/>
      <c r="CP239" s="278"/>
      <c r="CQ239" s="278"/>
      <c r="CR239" s="278"/>
      <c r="CS239" s="278"/>
      <c r="CT239" s="278"/>
      <c r="CU239" s="278"/>
      <c r="CV239" s="278"/>
      <c r="CW239" s="278"/>
      <c r="CX239" s="278"/>
      <c r="CY239" s="278"/>
      <c r="CZ239" s="278"/>
      <c r="DA239" s="278"/>
      <c r="DB239" s="278"/>
      <c r="DC239" s="278"/>
      <c r="DD239" s="278"/>
      <c r="DE239" s="278"/>
      <c r="DF239" s="278"/>
      <c r="DG239" s="278"/>
      <c r="DH239" s="278"/>
      <c r="DI239" s="278"/>
      <c r="DJ239" s="278"/>
      <c r="DK239" s="278"/>
      <c r="DL239" s="278"/>
    </row>
    <row r="240" spans="1:116" ht="15.75" customHeight="1" x14ac:dyDescent="0.25">
      <c r="A240" s="466"/>
      <c r="B240" s="466"/>
      <c r="C240" s="467"/>
      <c r="D240" s="279"/>
      <c r="E240" s="280"/>
      <c r="F240" s="279"/>
      <c r="G240" s="279"/>
      <c r="H240" s="409"/>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282"/>
      <c r="AE240" s="282"/>
      <c r="AF240" s="282"/>
      <c r="AG240" s="282"/>
      <c r="AH240" s="282"/>
      <c r="AI240" s="282"/>
      <c r="AJ240" s="282"/>
      <c r="AK240" s="282"/>
      <c r="AL240" s="282"/>
      <c r="AM240" s="282"/>
      <c r="AN240" s="282"/>
      <c r="AO240" s="282"/>
      <c r="AP240" s="282"/>
      <c r="AQ240" s="282"/>
      <c r="AR240" s="282"/>
      <c r="AS240" s="282"/>
      <c r="AT240" s="282"/>
      <c r="AU240" s="282"/>
      <c r="AV240" s="282"/>
      <c r="AW240" s="282"/>
      <c r="AX240" s="282"/>
      <c r="AY240" s="282"/>
      <c r="AZ240" s="282"/>
      <c r="BA240" s="282"/>
      <c r="BB240" s="282"/>
      <c r="BC240" s="282"/>
      <c r="BD240" s="282"/>
      <c r="BE240" s="282"/>
      <c r="BF240" s="282"/>
      <c r="BG240" s="282"/>
      <c r="BH240" s="282"/>
      <c r="BI240" s="282"/>
      <c r="BJ240" s="278"/>
      <c r="BK240" s="278"/>
      <c r="BL240" s="278"/>
      <c r="BM240" s="278"/>
      <c r="BN240" s="278"/>
      <c r="BO240" s="278"/>
      <c r="BP240" s="278"/>
      <c r="BQ240" s="278"/>
      <c r="BR240" s="278"/>
      <c r="BS240" s="278"/>
      <c r="BT240" s="278"/>
      <c r="BU240" s="278"/>
      <c r="BV240" s="278"/>
      <c r="BW240" s="278"/>
      <c r="BX240" s="278"/>
      <c r="BY240" s="278"/>
      <c r="BZ240" s="278"/>
      <c r="CA240" s="278"/>
      <c r="CB240" s="278"/>
      <c r="CC240" s="278"/>
      <c r="CD240" s="278"/>
      <c r="CE240" s="278"/>
      <c r="CF240" s="278"/>
      <c r="CG240" s="278"/>
      <c r="CH240" s="278"/>
      <c r="CI240" s="278"/>
      <c r="CJ240" s="278"/>
      <c r="CK240" s="278"/>
      <c r="CL240" s="278"/>
      <c r="CM240" s="278"/>
      <c r="CN240" s="278"/>
      <c r="CO240" s="278"/>
      <c r="CP240" s="278"/>
      <c r="CQ240" s="278"/>
      <c r="CR240" s="278"/>
      <c r="CS240" s="278"/>
      <c r="CT240" s="278"/>
      <c r="CU240" s="278"/>
      <c r="CV240" s="278"/>
      <c r="CW240" s="278"/>
      <c r="CX240" s="278"/>
      <c r="CY240" s="278"/>
      <c r="CZ240" s="278"/>
      <c r="DA240" s="278"/>
      <c r="DB240" s="278"/>
      <c r="DC240" s="278"/>
      <c r="DD240" s="278"/>
      <c r="DE240" s="278"/>
      <c r="DF240" s="278"/>
      <c r="DG240" s="278"/>
      <c r="DH240" s="278"/>
      <c r="DI240" s="278"/>
      <c r="DJ240" s="278"/>
      <c r="DK240" s="278"/>
      <c r="DL240" s="278"/>
    </row>
    <row r="241" spans="1:116" ht="15.75" customHeight="1" x14ac:dyDescent="0.25">
      <c r="A241" s="466"/>
      <c r="B241" s="466"/>
      <c r="C241" s="467"/>
      <c r="D241" s="279"/>
      <c r="E241" s="280"/>
      <c r="F241" s="279"/>
      <c r="G241" s="279"/>
      <c r="H241" s="409"/>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282"/>
      <c r="AE241" s="282"/>
      <c r="AF241" s="282"/>
      <c r="AG241" s="282"/>
      <c r="AH241" s="282"/>
      <c r="AI241" s="282"/>
      <c r="AJ241" s="282"/>
      <c r="AK241" s="282"/>
      <c r="AL241" s="282"/>
      <c r="AM241" s="282"/>
      <c r="AN241" s="282"/>
      <c r="AO241" s="282"/>
      <c r="AP241" s="282"/>
      <c r="AQ241" s="282"/>
      <c r="AR241" s="282"/>
      <c r="AS241" s="282"/>
      <c r="AT241" s="282"/>
      <c r="AU241" s="282"/>
      <c r="AV241" s="282"/>
      <c r="AW241" s="282"/>
      <c r="AX241" s="282"/>
      <c r="AY241" s="282"/>
      <c r="AZ241" s="282"/>
      <c r="BA241" s="282"/>
      <c r="BB241" s="282"/>
      <c r="BC241" s="282"/>
      <c r="BD241" s="282"/>
      <c r="BE241" s="282"/>
      <c r="BF241" s="282"/>
      <c r="BG241" s="282"/>
      <c r="BH241" s="282"/>
      <c r="BI241" s="282"/>
      <c r="BJ241" s="278"/>
      <c r="BK241" s="278"/>
      <c r="BL241" s="278"/>
      <c r="BM241" s="278"/>
      <c r="BN241" s="278"/>
      <c r="BO241" s="278"/>
      <c r="BP241" s="278"/>
      <c r="BQ241" s="278"/>
      <c r="BR241" s="278"/>
      <c r="BS241" s="278"/>
      <c r="BT241" s="278"/>
      <c r="BU241" s="278"/>
      <c r="BV241" s="278"/>
      <c r="BW241" s="278"/>
      <c r="BX241" s="278"/>
      <c r="BY241" s="278"/>
      <c r="BZ241" s="278"/>
      <c r="CA241" s="278"/>
      <c r="CB241" s="278"/>
      <c r="CC241" s="278"/>
      <c r="CD241" s="278"/>
      <c r="CE241" s="278"/>
      <c r="CF241" s="278"/>
      <c r="CG241" s="278"/>
      <c r="CH241" s="278"/>
      <c r="CI241" s="278"/>
      <c r="CJ241" s="278"/>
      <c r="CK241" s="278"/>
      <c r="CL241" s="278"/>
      <c r="CM241" s="278"/>
      <c r="CN241" s="278"/>
      <c r="CO241" s="278"/>
      <c r="CP241" s="278"/>
      <c r="CQ241" s="278"/>
      <c r="CR241" s="278"/>
      <c r="CS241" s="278"/>
      <c r="CT241" s="278"/>
      <c r="CU241" s="278"/>
      <c r="CV241" s="278"/>
      <c r="CW241" s="278"/>
      <c r="CX241" s="278"/>
      <c r="CY241" s="278"/>
      <c r="CZ241" s="278"/>
      <c r="DA241" s="278"/>
      <c r="DB241" s="278"/>
      <c r="DC241" s="278"/>
      <c r="DD241" s="278"/>
      <c r="DE241" s="278"/>
      <c r="DF241" s="278"/>
      <c r="DG241" s="278"/>
      <c r="DH241" s="278"/>
      <c r="DI241" s="278"/>
      <c r="DJ241" s="278"/>
      <c r="DK241" s="278"/>
      <c r="DL241" s="278"/>
    </row>
    <row r="242" spans="1:116" ht="15.75" customHeight="1" x14ac:dyDescent="0.25">
      <c r="A242" s="466"/>
      <c r="B242" s="466"/>
      <c r="C242" s="467"/>
      <c r="D242" s="279"/>
      <c r="E242" s="280"/>
      <c r="F242" s="279"/>
      <c r="G242" s="279"/>
      <c r="H242" s="409"/>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282"/>
      <c r="AF242" s="282"/>
      <c r="AG242" s="282"/>
      <c r="AH242" s="282"/>
      <c r="AI242" s="282"/>
      <c r="AJ242" s="282"/>
      <c r="AK242" s="282"/>
      <c r="AL242" s="282"/>
      <c r="AM242" s="282"/>
      <c r="AN242" s="282"/>
      <c r="AO242" s="282"/>
      <c r="AP242" s="282"/>
      <c r="AQ242" s="282"/>
      <c r="AR242" s="282"/>
      <c r="AS242" s="282"/>
      <c r="AT242" s="282"/>
      <c r="AU242" s="282"/>
      <c r="AV242" s="282"/>
      <c r="AW242" s="282"/>
      <c r="AX242" s="282"/>
      <c r="AY242" s="282"/>
      <c r="AZ242" s="282"/>
      <c r="BA242" s="282"/>
      <c r="BB242" s="282"/>
      <c r="BC242" s="282"/>
      <c r="BD242" s="282"/>
      <c r="BE242" s="282"/>
      <c r="BF242" s="282"/>
      <c r="BG242" s="282"/>
      <c r="BH242" s="282"/>
      <c r="BI242" s="282"/>
      <c r="BJ242" s="278"/>
      <c r="BK242" s="278"/>
      <c r="BL242" s="278"/>
      <c r="BM242" s="278"/>
      <c r="BN242" s="278"/>
      <c r="BO242" s="278"/>
      <c r="BP242" s="278"/>
      <c r="BQ242" s="278"/>
      <c r="BR242" s="278"/>
      <c r="BS242" s="278"/>
      <c r="BT242" s="278"/>
      <c r="BU242" s="278"/>
      <c r="BV242" s="278"/>
      <c r="BW242" s="278"/>
      <c r="BX242" s="278"/>
      <c r="BY242" s="278"/>
      <c r="BZ242" s="278"/>
      <c r="CA242" s="278"/>
      <c r="CB242" s="278"/>
      <c r="CC242" s="278"/>
      <c r="CD242" s="278"/>
      <c r="CE242" s="278"/>
      <c r="CF242" s="278"/>
      <c r="CG242" s="278"/>
      <c r="CH242" s="278"/>
      <c r="CI242" s="278"/>
      <c r="CJ242" s="278"/>
      <c r="CK242" s="278"/>
      <c r="CL242" s="278"/>
      <c r="CM242" s="278"/>
      <c r="CN242" s="278"/>
      <c r="CO242" s="278"/>
      <c r="CP242" s="278"/>
      <c r="CQ242" s="278"/>
      <c r="CR242" s="278"/>
      <c r="CS242" s="278"/>
      <c r="CT242" s="278"/>
      <c r="CU242" s="278"/>
      <c r="CV242" s="278"/>
      <c r="CW242" s="278"/>
      <c r="CX242" s="278"/>
      <c r="CY242" s="278"/>
      <c r="CZ242" s="278"/>
      <c r="DA242" s="278"/>
      <c r="DB242" s="278"/>
      <c r="DC242" s="278"/>
      <c r="DD242" s="278"/>
      <c r="DE242" s="278"/>
      <c r="DF242" s="278"/>
      <c r="DG242" s="278"/>
      <c r="DH242" s="278"/>
      <c r="DI242" s="278"/>
      <c r="DJ242" s="278"/>
      <c r="DK242" s="278"/>
      <c r="DL242" s="278"/>
    </row>
    <row r="243" spans="1:116" ht="15.75" customHeight="1" x14ac:dyDescent="0.25">
      <c r="A243" s="466"/>
      <c r="B243" s="466"/>
      <c r="C243" s="467"/>
      <c r="D243" s="279"/>
      <c r="E243" s="280"/>
      <c r="F243" s="279"/>
      <c r="G243" s="279"/>
      <c r="H243" s="409"/>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282"/>
      <c r="AF243" s="282"/>
      <c r="AG243" s="282"/>
      <c r="AH243" s="282"/>
      <c r="AI243" s="282"/>
      <c r="AJ243" s="282"/>
      <c r="AK243" s="282"/>
      <c r="AL243" s="282"/>
      <c r="AM243" s="282"/>
      <c r="AN243" s="282"/>
      <c r="AO243" s="282"/>
      <c r="AP243" s="282"/>
      <c r="AQ243" s="282"/>
      <c r="AR243" s="282"/>
      <c r="AS243" s="282"/>
      <c r="AT243" s="282"/>
      <c r="AU243" s="282"/>
      <c r="AV243" s="282"/>
      <c r="AW243" s="282"/>
      <c r="AX243" s="282"/>
      <c r="AY243" s="282"/>
      <c r="AZ243" s="282"/>
      <c r="BA243" s="282"/>
      <c r="BB243" s="282"/>
      <c r="BC243" s="282"/>
      <c r="BD243" s="282"/>
      <c r="BE243" s="282"/>
      <c r="BF243" s="282"/>
      <c r="BG243" s="282"/>
      <c r="BH243" s="282"/>
      <c r="BI243" s="282"/>
      <c r="BJ243" s="278"/>
      <c r="BK243" s="278"/>
      <c r="BL243" s="278"/>
      <c r="BM243" s="278"/>
      <c r="BN243" s="278"/>
      <c r="BO243" s="278"/>
      <c r="BP243" s="278"/>
      <c r="BQ243" s="278"/>
      <c r="BR243" s="278"/>
      <c r="BS243" s="278"/>
      <c r="BT243" s="278"/>
      <c r="BU243" s="278"/>
      <c r="BV243" s="278"/>
      <c r="BW243" s="278"/>
      <c r="BX243" s="278"/>
      <c r="BY243" s="278"/>
      <c r="BZ243" s="278"/>
      <c r="CA243" s="278"/>
      <c r="CB243" s="278"/>
      <c r="CC243" s="278"/>
      <c r="CD243" s="278"/>
      <c r="CE243" s="278"/>
      <c r="CF243" s="278"/>
      <c r="CG243" s="278"/>
      <c r="CH243" s="278"/>
      <c r="CI243" s="278"/>
      <c r="CJ243" s="278"/>
      <c r="CK243" s="278"/>
      <c r="CL243" s="278"/>
      <c r="CM243" s="278"/>
      <c r="CN243" s="278"/>
      <c r="CO243" s="278"/>
      <c r="CP243" s="278"/>
      <c r="CQ243" s="278"/>
      <c r="CR243" s="278"/>
      <c r="CS243" s="278"/>
      <c r="CT243" s="278"/>
      <c r="CU243" s="278"/>
      <c r="CV243" s="278"/>
      <c r="CW243" s="278"/>
      <c r="CX243" s="278"/>
      <c r="CY243" s="278"/>
      <c r="CZ243" s="278"/>
      <c r="DA243" s="278"/>
      <c r="DB243" s="278"/>
      <c r="DC243" s="278"/>
      <c r="DD243" s="278"/>
      <c r="DE243" s="278"/>
      <c r="DF243" s="278"/>
      <c r="DG243" s="278"/>
      <c r="DH243" s="278"/>
      <c r="DI243" s="278"/>
      <c r="DJ243" s="278"/>
      <c r="DK243" s="278"/>
      <c r="DL243" s="278"/>
    </row>
    <row r="244" spans="1:116" ht="15.75" customHeight="1" x14ac:dyDescent="0.25">
      <c r="A244" s="466"/>
      <c r="B244" s="466"/>
      <c r="C244" s="467"/>
      <c r="D244" s="279"/>
      <c r="E244" s="280"/>
      <c r="F244" s="279"/>
      <c r="G244" s="279"/>
      <c r="H244" s="409"/>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282"/>
      <c r="AF244" s="282"/>
      <c r="AG244" s="282"/>
      <c r="AH244" s="282"/>
      <c r="AI244" s="282"/>
      <c r="AJ244" s="282"/>
      <c r="AK244" s="282"/>
      <c r="AL244" s="282"/>
      <c r="AM244" s="282"/>
      <c r="AN244" s="282"/>
      <c r="AO244" s="282"/>
      <c r="AP244" s="282"/>
      <c r="AQ244" s="282"/>
      <c r="AR244" s="282"/>
      <c r="AS244" s="282"/>
      <c r="AT244" s="282"/>
      <c r="AU244" s="282"/>
      <c r="AV244" s="282"/>
      <c r="AW244" s="282"/>
      <c r="AX244" s="282"/>
      <c r="AY244" s="282"/>
      <c r="AZ244" s="282"/>
      <c r="BA244" s="282"/>
      <c r="BB244" s="282"/>
      <c r="BC244" s="282"/>
      <c r="BD244" s="282"/>
      <c r="BE244" s="282"/>
      <c r="BF244" s="282"/>
      <c r="BG244" s="282"/>
      <c r="BH244" s="282"/>
      <c r="BI244" s="282"/>
      <c r="BJ244" s="278"/>
      <c r="BK244" s="278"/>
      <c r="BL244" s="278"/>
      <c r="BM244" s="278"/>
      <c r="BN244" s="278"/>
      <c r="BO244" s="278"/>
      <c r="BP244" s="278"/>
      <c r="BQ244" s="278"/>
      <c r="BR244" s="278"/>
      <c r="BS244" s="278"/>
      <c r="BT244" s="278"/>
      <c r="BU244" s="278"/>
      <c r="BV244" s="278"/>
      <c r="BW244" s="278"/>
      <c r="BX244" s="278"/>
      <c r="BY244" s="278"/>
      <c r="BZ244" s="278"/>
      <c r="CA244" s="278"/>
      <c r="CB244" s="278"/>
      <c r="CC244" s="278"/>
      <c r="CD244" s="278"/>
      <c r="CE244" s="278"/>
      <c r="CF244" s="278"/>
      <c r="CG244" s="278"/>
      <c r="CH244" s="278"/>
      <c r="CI244" s="278"/>
      <c r="CJ244" s="278"/>
      <c r="CK244" s="278"/>
      <c r="CL244" s="278"/>
      <c r="CM244" s="278"/>
      <c r="CN244" s="278"/>
      <c r="CO244" s="278"/>
      <c r="CP244" s="278"/>
      <c r="CQ244" s="278"/>
      <c r="CR244" s="278"/>
      <c r="CS244" s="278"/>
      <c r="CT244" s="278"/>
      <c r="CU244" s="278"/>
      <c r="CV244" s="278"/>
      <c r="CW244" s="278"/>
      <c r="CX244" s="278"/>
      <c r="CY244" s="278"/>
      <c r="CZ244" s="278"/>
      <c r="DA244" s="278"/>
      <c r="DB244" s="278"/>
      <c r="DC244" s="278"/>
      <c r="DD244" s="278"/>
      <c r="DE244" s="278"/>
      <c r="DF244" s="278"/>
      <c r="DG244" s="278"/>
      <c r="DH244" s="278"/>
      <c r="DI244" s="278"/>
      <c r="DJ244" s="278"/>
      <c r="DK244" s="278"/>
      <c r="DL244" s="278"/>
    </row>
    <row r="245" spans="1:116" ht="15.75" customHeight="1" x14ac:dyDescent="0.25">
      <c r="A245" s="466"/>
      <c r="B245" s="466"/>
      <c r="C245" s="467"/>
      <c r="D245" s="279"/>
      <c r="E245" s="280"/>
      <c r="F245" s="279"/>
      <c r="G245" s="279"/>
      <c r="H245" s="409"/>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282"/>
      <c r="AE245" s="282"/>
      <c r="AF245" s="282"/>
      <c r="AG245" s="282"/>
      <c r="AH245" s="282"/>
      <c r="AI245" s="282"/>
      <c r="AJ245" s="282"/>
      <c r="AK245" s="282"/>
      <c r="AL245" s="282"/>
      <c r="AM245" s="282"/>
      <c r="AN245" s="282"/>
      <c r="AO245" s="282"/>
      <c r="AP245" s="282"/>
      <c r="AQ245" s="282"/>
      <c r="AR245" s="282"/>
      <c r="AS245" s="282"/>
      <c r="AT245" s="282"/>
      <c r="AU245" s="282"/>
      <c r="AV245" s="282"/>
      <c r="AW245" s="282"/>
      <c r="AX245" s="282"/>
      <c r="AY245" s="282"/>
      <c r="AZ245" s="282"/>
      <c r="BA245" s="282"/>
      <c r="BB245" s="282"/>
      <c r="BC245" s="282"/>
      <c r="BD245" s="282"/>
      <c r="BE245" s="282"/>
      <c r="BF245" s="282"/>
      <c r="BG245" s="282"/>
      <c r="BH245" s="282"/>
      <c r="BI245" s="282"/>
      <c r="BJ245" s="278"/>
      <c r="BK245" s="278"/>
      <c r="BL245" s="278"/>
      <c r="BM245" s="278"/>
      <c r="BN245" s="278"/>
      <c r="BO245" s="278"/>
      <c r="BP245" s="278"/>
      <c r="BQ245" s="278"/>
      <c r="BR245" s="278"/>
      <c r="BS245" s="278"/>
      <c r="BT245" s="278"/>
      <c r="BU245" s="278"/>
      <c r="BV245" s="278"/>
      <c r="BW245" s="278"/>
      <c r="BX245" s="278"/>
      <c r="BY245" s="278"/>
      <c r="BZ245" s="278"/>
      <c r="CA245" s="278"/>
      <c r="CB245" s="278"/>
      <c r="CC245" s="278"/>
      <c r="CD245" s="278"/>
      <c r="CE245" s="278"/>
      <c r="CF245" s="278"/>
      <c r="CG245" s="278"/>
      <c r="CH245" s="278"/>
      <c r="CI245" s="278"/>
      <c r="CJ245" s="278"/>
      <c r="CK245" s="278"/>
      <c r="CL245" s="278"/>
      <c r="CM245" s="278"/>
      <c r="CN245" s="278"/>
      <c r="CO245" s="278"/>
      <c r="CP245" s="278"/>
      <c r="CQ245" s="278"/>
      <c r="CR245" s="278"/>
      <c r="CS245" s="278"/>
      <c r="CT245" s="278"/>
      <c r="CU245" s="278"/>
      <c r="CV245" s="278"/>
      <c r="CW245" s="278"/>
      <c r="CX245" s="278"/>
      <c r="CY245" s="278"/>
      <c r="CZ245" s="278"/>
      <c r="DA245" s="278"/>
      <c r="DB245" s="278"/>
      <c r="DC245" s="278"/>
      <c r="DD245" s="278"/>
      <c r="DE245" s="278"/>
      <c r="DF245" s="278"/>
      <c r="DG245" s="278"/>
      <c r="DH245" s="278"/>
      <c r="DI245" s="278"/>
      <c r="DJ245" s="278"/>
      <c r="DK245" s="278"/>
      <c r="DL245" s="278"/>
    </row>
    <row r="246" spans="1:116" ht="15.75" customHeight="1" x14ac:dyDescent="0.25">
      <c r="A246" s="466"/>
      <c r="B246" s="466"/>
      <c r="C246" s="467"/>
      <c r="D246" s="279"/>
      <c r="E246" s="280"/>
      <c r="F246" s="279"/>
      <c r="G246" s="279"/>
      <c r="H246" s="409"/>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282"/>
      <c r="AE246" s="282"/>
      <c r="AF246" s="282"/>
      <c r="AG246" s="282"/>
      <c r="AH246" s="282"/>
      <c r="AI246" s="282"/>
      <c r="AJ246" s="282"/>
      <c r="AK246" s="282"/>
      <c r="AL246" s="282"/>
      <c r="AM246" s="282"/>
      <c r="AN246" s="282"/>
      <c r="AO246" s="282"/>
      <c r="AP246" s="282"/>
      <c r="AQ246" s="282"/>
      <c r="AR246" s="282"/>
      <c r="AS246" s="282"/>
      <c r="AT246" s="282"/>
      <c r="AU246" s="282"/>
      <c r="AV246" s="282"/>
      <c r="AW246" s="282"/>
      <c r="AX246" s="282"/>
      <c r="AY246" s="282"/>
      <c r="AZ246" s="282"/>
      <c r="BA246" s="282"/>
      <c r="BB246" s="282"/>
      <c r="BC246" s="282"/>
      <c r="BD246" s="282"/>
      <c r="BE246" s="282"/>
      <c r="BF246" s="282"/>
      <c r="BG246" s="282"/>
      <c r="BH246" s="282"/>
      <c r="BI246" s="282"/>
      <c r="BJ246" s="278"/>
      <c r="BK246" s="278"/>
      <c r="BL246" s="278"/>
      <c r="BM246" s="278"/>
      <c r="BN246" s="278"/>
      <c r="BO246" s="278"/>
      <c r="BP246" s="278"/>
      <c r="BQ246" s="278"/>
      <c r="BR246" s="278"/>
      <c r="BS246" s="278"/>
      <c r="BT246" s="278"/>
      <c r="BU246" s="278"/>
      <c r="BV246" s="278"/>
      <c r="BW246" s="278"/>
      <c r="BX246" s="278"/>
      <c r="BY246" s="278"/>
      <c r="BZ246" s="278"/>
      <c r="CA246" s="278"/>
      <c r="CB246" s="278"/>
      <c r="CC246" s="278"/>
      <c r="CD246" s="278"/>
      <c r="CE246" s="278"/>
      <c r="CF246" s="278"/>
      <c r="CG246" s="278"/>
      <c r="CH246" s="278"/>
      <c r="CI246" s="278"/>
      <c r="CJ246" s="278"/>
      <c r="CK246" s="278"/>
      <c r="CL246" s="278"/>
      <c r="CM246" s="278"/>
      <c r="CN246" s="278"/>
      <c r="CO246" s="278"/>
      <c r="CP246" s="278"/>
      <c r="CQ246" s="278"/>
      <c r="CR246" s="278"/>
      <c r="CS246" s="278"/>
      <c r="CT246" s="278"/>
      <c r="CU246" s="278"/>
      <c r="CV246" s="278"/>
      <c r="CW246" s="278"/>
      <c r="CX246" s="278"/>
      <c r="CY246" s="278"/>
      <c r="CZ246" s="278"/>
      <c r="DA246" s="278"/>
      <c r="DB246" s="278"/>
      <c r="DC246" s="278"/>
      <c r="DD246" s="278"/>
      <c r="DE246" s="278"/>
      <c r="DF246" s="278"/>
      <c r="DG246" s="278"/>
      <c r="DH246" s="278"/>
      <c r="DI246" s="278"/>
      <c r="DJ246" s="278"/>
      <c r="DK246" s="278"/>
      <c r="DL246" s="278"/>
    </row>
    <row r="247" spans="1:116" ht="15.75" customHeight="1" x14ac:dyDescent="0.25">
      <c r="A247" s="466"/>
      <c r="B247" s="466"/>
      <c r="C247" s="467"/>
      <c r="D247" s="279"/>
      <c r="E247" s="280"/>
      <c r="F247" s="279"/>
      <c r="G247" s="279"/>
      <c r="H247" s="409"/>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282"/>
      <c r="AE247" s="282"/>
      <c r="AF247" s="282"/>
      <c r="AG247" s="282"/>
      <c r="AH247" s="282"/>
      <c r="AI247" s="282"/>
      <c r="AJ247" s="282"/>
      <c r="AK247" s="282"/>
      <c r="AL247" s="282"/>
      <c r="AM247" s="282"/>
      <c r="AN247" s="282"/>
      <c r="AO247" s="282"/>
      <c r="AP247" s="282"/>
      <c r="AQ247" s="282"/>
      <c r="AR247" s="282"/>
      <c r="AS247" s="282"/>
      <c r="AT247" s="282"/>
      <c r="AU247" s="282"/>
      <c r="AV247" s="282"/>
      <c r="AW247" s="282"/>
      <c r="AX247" s="282"/>
      <c r="AY247" s="282"/>
      <c r="AZ247" s="282"/>
      <c r="BA247" s="282"/>
      <c r="BB247" s="282"/>
      <c r="BC247" s="282"/>
      <c r="BD247" s="282"/>
      <c r="BE247" s="282"/>
      <c r="BF247" s="282"/>
      <c r="BG247" s="282"/>
      <c r="BH247" s="282"/>
      <c r="BI247" s="282"/>
      <c r="BJ247" s="278"/>
      <c r="BK247" s="278"/>
      <c r="BL247" s="278"/>
      <c r="BM247" s="278"/>
      <c r="BN247" s="278"/>
      <c r="BO247" s="278"/>
      <c r="BP247" s="278"/>
      <c r="BQ247" s="278"/>
      <c r="BR247" s="278"/>
      <c r="BS247" s="278"/>
      <c r="BT247" s="278"/>
      <c r="BU247" s="278"/>
      <c r="BV247" s="278"/>
      <c r="BW247" s="278"/>
      <c r="BX247" s="278"/>
      <c r="BY247" s="278"/>
      <c r="BZ247" s="278"/>
      <c r="CA247" s="278"/>
      <c r="CB247" s="278"/>
      <c r="CC247" s="278"/>
      <c r="CD247" s="278"/>
      <c r="CE247" s="278"/>
      <c r="CF247" s="278"/>
      <c r="CG247" s="278"/>
      <c r="CH247" s="278"/>
      <c r="CI247" s="278"/>
      <c r="CJ247" s="278"/>
      <c r="CK247" s="278"/>
      <c r="CL247" s="278"/>
      <c r="CM247" s="278"/>
      <c r="CN247" s="278"/>
      <c r="CO247" s="278"/>
      <c r="CP247" s="278"/>
      <c r="CQ247" s="278"/>
      <c r="CR247" s="278"/>
      <c r="CS247" s="278"/>
      <c r="CT247" s="278"/>
      <c r="CU247" s="278"/>
      <c r="CV247" s="278"/>
      <c r="CW247" s="278"/>
      <c r="CX247" s="278"/>
      <c r="CY247" s="278"/>
      <c r="CZ247" s="278"/>
      <c r="DA247" s="278"/>
      <c r="DB247" s="278"/>
      <c r="DC247" s="278"/>
      <c r="DD247" s="278"/>
      <c r="DE247" s="278"/>
      <c r="DF247" s="278"/>
      <c r="DG247" s="278"/>
      <c r="DH247" s="278"/>
      <c r="DI247" s="278"/>
      <c r="DJ247" s="278"/>
      <c r="DK247" s="278"/>
      <c r="DL247" s="278"/>
    </row>
    <row r="248" spans="1:116" ht="15.75" customHeight="1" x14ac:dyDescent="0.25">
      <c r="A248" s="466"/>
      <c r="B248" s="466"/>
      <c r="C248" s="467"/>
      <c r="D248" s="279"/>
      <c r="E248" s="280"/>
      <c r="F248" s="279"/>
      <c r="G248" s="279"/>
      <c r="H248" s="409"/>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c r="AF248" s="282"/>
      <c r="AG248" s="282"/>
      <c r="AH248" s="282"/>
      <c r="AI248" s="282"/>
      <c r="AJ248" s="282"/>
      <c r="AK248" s="282"/>
      <c r="AL248" s="282"/>
      <c r="AM248" s="282"/>
      <c r="AN248" s="282"/>
      <c r="AO248" s="282"/>
      <c r="AP248" s="282"/>
      <c r="AQ248" s="282"/>
      <c r="AR248" s="282"/>
      <c r="AS248" s="282"/>
      <c r="AT248" s="282"/>
      <c r="AU248" s="282"/>
      <c r="AV248" s="282"/>
      <c r="AW248" s="282"/>
      <c r="AX248" s="282"/>
      <c r="AY248" s="282"/>
      <c r="AZ248" s="282"/>
      <c r="BA248" s="282"/>
      <c r="BB248" s="282"/>
      <c r="BC248" s="282"/>
      <c r="BD248" s="282"/>
      <c r="BE248" s="282"/>
      <c r="BF248" s="282"/>
      <c r="BG248" s="282"/>
      <c r="BH248" s="282"/>
      <c r="BI248" s="282"/>
      <c r="BJ248" s="278"/>
      <c r="BK248" s="278"/>
      <c r="BL248" s="278"/>
      <c r="BM248" s="278"/>
      <c r="BN248" s="278"/>
      <c r="BO248" s="278"/>
      <c r="BP248" s="278"/>
      <c r="BQ248" s="278"/>
      <c r="BR248" s="278"/>
      <c r="BS248" s="278"/>
      <c r="BT248" s="278"/>
      <c r="BU248" s="278"/>
      <c r="BV248" s="278"/>
      <c r="BW248" s="278"/>
      <c r="BX248" s="278"/>
      <c r="BY248" s="278"/>
      <c r="BZ248" s="278"/>
      <c r="CA248" s="278"/>
      <c r="CB248" s="278"/>
      <c r="CC248" s="278"/>
      <c r="CD248" s="278"/>
      <c r="CE248" s="278"/>
      <c r="CF248" s="278"/>
      <c r="CG248" s="278"/>
      <c r="CH248" s="278"/>
      <c r="CI248" s="278"/>
      <c r="CJ248" s="278"/>
      <c r="CK248" s="278"/>
      <c r="CL248" s="278"/>
      <c r="CM248" s="278"/>
      <c r="CN248" s="278"/>
      <c r="CO248" s="278"/>
      <c r="CP248" s="278"/>
      <c r="CQ248" s="278"/>
      <c r="CR248" s="278"/>
      <c r="CS248" s="278"/>
      <c r="CT248" s="278"/>
      <c r="CU248" s="278"/>
      <c r="CV248" s="278"/>
      <c r="CW248" s="278"/>
      <c r="CX248" s="278"/>
      <c r="CY248" s="278"/>
      <c r="CZ248" s="278"/>
      <c r="DA248" s="278"/>
      <c r="DB248" s="278"/>
      <c r="DC248" s="278"/>
      <c r="DD248" s="278"/>
      <c r="DE248" s="278"/>
      <c r="DF248" s="278"/>
      <c r="DG248" s="278"/>
      <c r="DH248" s="278"/>
      <c r="DI248" s="278"/>
      <c r="DJ248" s="278"/>
      <c r="DK248" s="278"/>
      <c r="DL248" s="278"/>
    </row>
    <row r="249" spans="1:116" ht="15.75" customHeight="1" x14ac:dyDescent="0.25">
      <c r="A249" s="466"/>
      <c r="B249" s="466"/>
      <c r="C249" s="467"/>
      <c r="D249" s="279"/>
      <c r="E249" s="280"/>
      <c r="F249" s="279"/>
      <c r="G249" s="279"/>
      <c r="H249" s="409"/>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282"/>
      <c r="AF249" s="282"/>
      <c r="AG249" s="282"/>
      <c r="AH249" s="282"/>
      <c r="AI249" s="282"/>
      <c r="AJ249" s="282"/>
      <c r="AK249" s="282"/>
      <c r="AL249" s="282"/>
      <c r="AM249" s="282"/>
      <c r="AN249" s="282"/>
      <c r="AO249" s="282"/>
      <c r="AP249" s="282"/>
      <c r="AQ249" s="282"/>
      <c r="AR249" s="282"/>
      <c r="AS249" s="282"/>
      <c r="AT249" s="282"/>
      <c r="AU249" s="282"/>
      <c r="AV249" s="282"/>
      <c r="AW249" s="282"/>
      <c r="AX249" s="282"/>
      <c r="AY249" s="282"/>
      <c r="AZ249" s="282"/>
      <c r="BA249" s="282"/>
      <c r="BB249" s="282"/>
      <c r="BC249" s="282"/>
      <c r="BD249" s="282"/>
      <c r="BE249" s="282"/>
      <c r="BF249" s="282"/>
      <c r="BG249" s="282"/>
      <c r="BH249" s="282"/>
      <c r="BI249" s="282"/>
      <c r="BJ249" s="278"/>
      <c r="BK249" s="278"/>
      <c r="BL249" s="278"/>
      <c r="BM249" s="278"/>
      <c r="BN249" s="278"/>
      <c r="BO249" s="278"/>
      <c r="BP249" s="278"/>
      <c r="BQ249" s="278"/>
      <c r="BR249" s="278"/>
      <c r="BS249" s="278"/>
      <c r="BT249" s="278"/>
      <c r="BU249" s="278"/>
      <c r="BV249" s="278"/>
      <c r="BW249" s="278"/>
      <c r="BX249" s="278"/>
      <c r="BY249" s="278"/>
      <c r="BZ249" s="278"/>
      <c r="CA249" s="278"/>
      <c r="CB249" s="278"/>
      <c r="CC249" s="278"/>
      <c r="CD249" s="278"/>
      <c r="CE249" s="278"/>
      <c r="CF249" s="278"/>
      <c r="CG249" s="278"/>
      <c r="CH249" s="278"/>
      <c r="CI249" s="278"/>
      <c r="CJ249" s="278"/>
      <c r="CK249" s="278"/>
      <c r="CL249" s="278"/>
      <c r="CM249" s="278"/>
      <c r="CN249" s="278"/>
      <c r="CO249" s="278"/>
      <c r="CP249" s="278"/>
      <c r="CQ249" s="278"/>
      <c r="CR249" s="278"/>
      <c r="CS249" s="278"/>
      <c r="CT249" s="278"/>
      <c r="CU249" s="278"/>
      <c r="CV249" s="278"/>
      <c r="CW249" s="278"/>
      <c r="CX249" s="278"/>
      <c r="CY249" s="278"/>
      <c r="CZ249" s="278"/>
      <c r="DA249" s="278"/>
      <c r="DB249" s="278"/>
      <c r="DC249" s="278"/>
      <c r="DD249" s="278"/>
      <c r="DE249" s="278"/>
      <c r="DF249" s="278"/>
      <c r="DG249" s="278"/>
      <c r="DH249" s="278"/>
      <c r="DI249" s="278"/>
      <c r="DJ249" s="278"/>
      <c r="DK249" s="278"/>
      <c r="DL249" s="278"/>
    </row>
    <row r="250" spans="1:116" ht="15.75" customHeight="1" x14ac:dyDescent="0.25">
      <c r="A250" s="466"/>
      <c r="B250" s="466"/>
      <c r="C250" s="467"/>
      <c r="D250" s="279"/>
      <c r="E250" s="280"/>
      <c r="F250" s="279"/>
      <c r="G250" s="279"/>
      <c r="H250" s="409"/>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282"/>
      <c r="AF250" s="282"/>
      <c r="AG250" s="282"/>
      <c r="AH250" s="282"/>
      <c r="AI250" s="282"/>
      <c r="AJ250" s="282"/>
      <c r="AK250" s="282"/>
      <c r="AL250" s="282"/>
      <c r="AM250" s="282"/>
      <c r="AN250" s="282"/>
      <c r="AO250" s="282"/>
      <c r="AP250" s="282"/>
      <c r="AQ250" s="282"/>
      <c r="AR250" s="282"/>
      <c r="AS250" s="282"/>
      <c r="AT250" s="282"/>
      <c r="AU250" s="282"/>
      <c r="AV250" s="282"/>
      <c r="AW250" s="282"/>
      <c r="AX250" s="282"/>
      <c r="AY250" s="282"/>
      <c r="AZ250" s="282"/>
      <c r="BA250" s="282"/>
      <c r="BB250" s="282"/>
      <c r="BC250" s="282"/>
      <c r="BD250" s="282"/>
      <c r="BE250" s="282"/>
      <c r="BF250" s="282"/>
      <c r="BG250" s="282"/>
      <c r="BH250" s="282"/>
      <c r="BI250" s="282"/>
      <c r="BJ250" s="278"/>
      <c r="BK250" s="278"/>
      <c r="BL250" s="278"/>
      <c r="BM250" s="278"/>
      <c r="BN250" s="278"/>
      <c r="BO250" s="278"/>
      <c r="BP250" s="278"/>
      <c r="BQ250" s="278"/>
      <c r="BR250" s="278"/>
      <c r="BS250" s="278"/>
      <c r="BT250" s="278"/>
      <c r="BU250" s="278"/>
      <c r="BV250" s="278"/>
      <c r="BW250" s="278"/>
      <c r="BX250" s="278"/>
      <c r="BY250" s="278"/>
      <c r="BZ250" s="278"/>
      <c r="CA250" s="278"/>
      <c r="CB250" s="278"/>
      <c r="CC250" s="278"/>
      <c r="CD250" s="278"/>
      <c r="CE250" s="278"/>
      <c r="CF250" s="278"/>
      <c r="CG250" s="278"/>
      <c r="CH250" s="278"/>
      <c r="CI250" s="278"/>
      <c r="CJ250" s="278"/>
      <c r="CK250" s="278"/>
      <c r="CL250" s="278"/>
      <c r="CM250" s="278"/>
      <c r="CN250" s="278"/>
      <c r="CO250" s="278"/>
      <c r="CP250" s="278"/>
      <c r="CQ250" s="278"/>
      <c r="CR250" s="278"/>
      <c r="CS250" s="278"/>
      <c r="CT250" s="278"/>
      <c r="CU250" s="278"/>
      <c r="CV250" s="278"/>
      <c r="CW250" s="278"/>
      <c r="CX250" s="278"/>
      <c r="CY250" s="278"/>
      <c r="CZ250" s="278"/>
      <c r="DA250" s="278"/>
      <c r="DB250" s="278"/>
      <c r="DC250" s="278"/>
      <c r="DD250" s="278"/>
      <c r="DE250" s="278"/>
      <c r="DF250" s="278"/>
      <c r="DG250" s="278"/>
      <c r="DH250" s="278"/>
      <c r="DI250" s="278"/>
      <c r="DJ250" s="278"/>
      <c r="DK250" s="278"/>
      <c r="DL250" s="278"/>
    </row>
    <row r="251" spans="1:116" ht="15.75" customHeight="1" x14ac:dyDescent="0.25">
      <c r="A251" s="466"/>
      <c r="B251" s="466"/>
      <c r="C251" s="467"/>
      <c r="D251" s="279"/>
      <c r="E251" s="280"/>
      <c r="F251" s="279"/>
      <c r="G251" s="279"/>
      <c r="H251" s="409"/>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282"/>
      <c r="AE251" s="282"/>
      <c r="AF251" s="282"/>
      <c r="AG251" s="282"/>
      <c r="AH251" s="282"/>
      <c r="AI251" s="282"/>
      <c r="AJ251" s="282"/>
      <c r="AK251" s="282"/>
      <c r="AL251" s="282"/>
      <c r="AM251" s="282"/>
      <c r="AN251" s="282"/>
      <c r="AO251" s="282"/>
      <c r="AP251" s="282"/>
      <c r="AQ251" s="282"/>
      <c r="AR251" s="282"/>
      <c r="AS251" s="282"/>
      <c r="AT251" s="282"/>
      <c r="AU251" s="282"/>
      <c r="AV251" s="282"/>
      <c r="AW251" s="282"/>
      <c r="AX251" s="282"/>
      <c r="AY251" s="282"/>
      <c r="AZ251" s="282"/>
      <c r="BA251" s="282"/>
      <c r="BB251" s="282"/>
      <c r="BC251" s="282"/>
      <c r="BD251" s="282"/>
      <c r="BE251" s="282"/>
      <c r="BF251" s="282"/>
      <c r="BG251" s="282"/>
      <c r="BH251" s="282"/>
      <c r="BI251" s="282"/>
      <c r="BJ251" s="278"/>
      <c r="BK251" s="278"/>
      <c r="BL251" s="278"/>
      <c r="BM251" s="278"/>
      <c r="BN251" s="278"/>
      <c r="BO251" s="278"/>
      <c r="BP251" s="278"/>
      <c r="BQ251" s="278"/>
      <c r="BR251" s="278"/>
      <c r="BS251" s="278"/>
      <c r="BT251" s="278"/>
      <c r="BU251" s="278"/>
      <c r="BV251" s="278"/>
      <c r="BW251" s="278"/>
      <c r="BX251" s="278"/>
      <c r="BY251" s="278"/>
      <c r="BZ251" s="278"/>
      <c r="CA251" s="278"/>
      <c r="CB251" s="278"/>
      <c r="CC251" s="278"/>
      <c r="CD251" s="278"/>
      <c r="CE251" s="278"/>
      <c r="CF251" s="278"/>
      <c r="CG251" s="278"/>
      <c r="CH251" s="278"/>
      <c r="CI251" s="278"/>
      <c r="CJ251" s="278"/>
      <c r="CK251" s="278"/>
      <c r="CL251" s="278"/>
      <c r="CM251" s="278"/>
      <c r="CN251" s="278"/>
      <c r="CO251" s="278"/>
      <c r="CP251" s="278"/>
      <c r="CQ251" s="278"/>
      <c r="CR251" s="278"/>
      <c r="CS251" s="278"/>
      <c r="CT251" s="278"/>
      <c r="CU251" s="278"/>
      <c r="CV251" s="278"/>
      <c r="CW251" s="278"/>
      <c r="CX251" s="278"/>
      <c r="CY251" s="278"/>
      <c r="CZ251" s="278"/>
      <c r="DA251" s="278"/>
      <c r="DB251" s="278"/>
      <c r="DC251" s="278"/>
      <c r="DD251" s="278"/>
      <c r="DE251" s="278"/>
      <c r="DF251" s="278"/>
      <c r="DG251" s="278"/>
      <c r="DH251" s="278"/>
      <c r="DI251" s="278"/>
      <c r="DJ251" s="278"/>
      <c r="DK251" s="278"/>
      <c r="DL251" s="278"/>
    </row>
    <row r="252" spans="1:116" ht="15.75" customHeight="1" x14ac:dyDescent="0.25">
      <c r="A252" s="466"/>
      <c r="B252" s="466"/>
      <c r="C252" s="467"/>
      <c r="D252" s="279"/>
      <c r="E252" s="280"/>
      <c r="F252" s="279"/>
      <c r="G252" s="279"/>
      <c r="H252" s="409"/>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282"/>
      <c r="AF252" s="282"/>
      <c r="AG252" s="282"/>
      <c r="AH252" s="282"/>
      <c r="AI252" s="282"/>
      <c r="AJ252" s="282"/>
      <c r="AK252" s="282"/>
      <c r="AL252" s="282"/>
      <c r="AM252" s="282"/>
      <c r="AN252" s="282"/>
      <c r="AO252" s="282"/>
      <c r="AP252" s="282"/>
      <c r="AQ252" s="282"/>
      <c r="AR252" s="282"/>
      <c r="AS252" s="282"/>
      <c r="AT252" s="282"/>
      <c r="AU252" s="282"/>
      <c r="AV252" s="282"/>
      <c r="AW252" s="282"/>
      <c r="AX252" s="282"/>
      <c r="AY252" s="282"/>
      <c r="AZ252" s="282"/>
      <c r="BA252" s="282"/>
      <c r="BB252" s="282"/>
      <c r="BC252" s="282"/>
      <c r="BD252" s="282"/>
      <c r="BE252" s="282"/>
      <c r="BF252" s="282"/>
      <c r="BG252" s="282"/>
      <c r="BH252" s="282"/>
      <c r="BI252" s="282"/>
      <c r="BJ252" s="278"/>
      <c r="BK252" s="278"/>
      <c r="BL252" s="278"/>
      <c r="BM252" s="278"/>
      <c r="BN252" s="278"/>
      <c r="BO252" s="278"/>
      <c r="BP252" s="278"/>
      <c r="BQ252" s="278"/>
      <c r="BR252" s="278"/>
      <c r="BS252" s="278"/>
      <c r="BT252" s="278"/>
      <c r="BU252" s="278"/>
      <c r="BV252" s="278"/>
      <c r="BW252" s="278"/>
      <c r="BX252" s="278"/>
      <c r="BY252" s="278"/>
      <c r="BZ252" s="278"/>
      <c r="CA252" s="278"/>
      <c r="CB252" s="278"/>
      <c r="CC252" s="278"/>
      <c r="CD252" s="278"/>
      <c r="CE252" s="278"/>
      <c r="CF252" s="278"/>
      <c r="CG252" s="278"/>
      <c r="CH252" s="278"/>
      <c r="CI252" s="278"/>
      <c r="CJ252" s="278"/>
      <c r="CK252" s="278"/>
      <c r="CL252" s="278"/>
      <c r="CM252" s="278"/>
      <c r="CN252" s="278"/>
      <c r="CO252" s="278"/>
      <c r="CP252" s="278"/>
      <c r="CQ252" s="278"/>
      <c r="CR252" s="278"/>
      <c r="CS252" s="278"/>
      <c r="CT252" s="278"/>
      <c r="CU252" s="278"/>
      <c r="CV252" s="278"/>
      <c r="CW252" s="278"/>
      <c r="CX252" s="278"/>
      <c r="CY252" s="278"/>
      <c r="CZ252" s="278"/>
      <c r="DA252" s="278"/>
      <c r="DB252" s="278"/>
      <c r="DC252" s="278"/>
      <c r="DD252" s="278"/>
      <c r="DE252" s="278"/>
      <c r="DF252" s="278"/>
      <c r="DG252" s="278"/>
      <c r="DH252" s="278"/>
      <c r="DI252" s="278"/>
      <c r="DJ252" s="278"/>
      <c r="DK252" s="278"/>
      <c r="DL252" s="278"/>
    </row>
    <row r="253" spans="1:116" ht="15.75" customHeight="1" x14ac:dyDescent="0.25">
      <c r="A253" s="466"/>
      <c r="B253" s="466"/>
      <c r="C253" s="467"/>
      <c r="D253" s="279"/>
      <c r="E253" s="280"/>
      <c r="F253" s="279"/>
      <c r="G253" s="279"/>
      <c r="H253" s="409"/>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282"/>
      <c r="AF253" s="282"/>
      <c r="AG253" s="282"/>
      <c r="AH253" s="282"/>
      <c r="AI253" s="282"/>
      <c r="AJ253" s="282"/>
      <c r="AK253" s="282"/>
      <c r="AL253" s="282"/>
      <c r="AM253" s="282"/>
      <c r="AN253" s="282"/>
      <c r="AO253" s="282"/>
      <c r="AP253" s="282"/>
      <c r="AQ253" s="282"/>
      <c r="AR253" s="282"/>
      <c r="AS253" s="282"/>
      <c r="AT253" s="282"/>
      <c r="AU253" s="282"/>
      <c r="AV253" s="282"/>
      <c r="AW253" s="282"/>
      <c r="AX253" s="282"/>
      <c r="AY253" s="282"/>
      <c r="AZ253" s="282"/>
      <c r="BA253" s="282"/>
      <c r="BB253" s="282"/>
      <c r="BC253" s="282"/>
      <c r="BD253" s="282"/>
      <c r="BE253" s="282"/>
      <c r="BF253" s="282"/>
      <c r="BG253" s="282"/>
      <c r="BH253" s="282"/>
      <c r="BI253" s="282"/>
      <c r="BJ253" s="278"/>
      <c r="BK253" s="278"/>
      <c r="BL253" s="278"/>
      <c r="BM253" s="278"/>
      <c r="BN253" s="278"/>
      <c r="BO253" s="278"/>
      <c r="BP253" s="278"/>
      <c r="BQ253" s="278"/>
      <c r="BR253" s="278"/>
      <c r="BS253" s="278"/>
      <c r="BT253" s="278"/>
      <c r="BU253" s="278"/>
      <c r="BV253" s="278"/>
      <c r="BW253" s="278"/>
      <c r="BX253" s="278"/>
      <c r="BY253" s="278"/>
      <c r="BZ253" s="278"/>
      <c r="CA253" s="278"/>
      <c r="CB253" s="278"/>
      <c r="CC253" s="278"/>
      <c r="CD253" s="278"/>
      <c r="CE253" s="278"/>
      <c r="CF253" s="278"/>
      <c r="CG253" s="278"/>
      <c r="CH253" s="278"/>
      <c r="CI253" s="278"/>
      <c r="CJ253" s="278"/>
      <c r="CK253" s="278"/>
      <c r="CL253" s="278"/>
      <c r="CM253" s="278"/>
      <c r="CN253" s="278"/>
      <c r="CO253" s="278"/>
      <c r="CP253" s="278"/>
      <c r="CQ253" s="278"/>
      <c r="CR253" s="278"/>
      <c r="CS253" s="278"/>
      <c r="CT253" s="278"/>
      <c r="CU253" s="278"/>
      <c r="CV253" s="278"/>
      <c r="CW253" s="278"/>
      <c r="CX253" s="278"/>
      <c r="CY253" s="278"/>
      <c r="CZ253" s="278"/>
      <c r="DA253" s="278"/>
      <c r="DB253" s="278"/>
      <c r="DC253" s="278"/>
      <c r="DD253" s="278"/>
      <c r="DE253" s="278"/>
      <c r="DF253" s="278"/>
      <c r="DG253" s="278"/>
      <c r="DH253" s="278"/>
      <c r="DI253" s="278"/>
      <c r="DJ253" s="278"/>
      <c r="DK253" s="278"/>
      <c r="DL253" s="278"/>
    </row>
    <row r="254" spans="1:116" ht="15.75" customHeight="1" x14ac:dyDescent="0.25">
      <c r="A254" s="466"/>
      <c r="B254" s="466"/>
      <c r="C254" s="467"/>
      <c r="D254" s="279"/>
      <c r="E254" s="280"/>
      <c r="F254" s="279"/>
      <c r="G254" s="279"/>
      <c r="H254" s="409"/>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2"/>
      <c r="AL254" s="282"/>
      <c r="AM254" s="282"/>
      <c r="AN254" s="282"/>
      <c r="AO254" s="282"/>
      <c r="AP254" s="282"/>
      <c r="AQ254" s="282"/>
      <c r="AR254" s="282"/>
      <c r="AS254" s="282"/>
      <c r="AT254" s="282"/>
      <c r="AU254" s="282"/>
      <c r="AV254" s="282"/>
      <c r="AW254" s="282"/>
      <c r="AX254" s="282"/>
      <c r="AY254" s="282"/>
      <c r="AZ254" s="282"/>
      <c r="BA254" s="282"/>
      <c r="BB254" s="282"/>
      <c r="BC254" s="282"/>
      <c r="BD254" s="282"/>
      <c r="BE254" s="282"/>
      <c r="BF254" s="282"/>
      <c r="BG254" s="282"/>
      <c r="BH254" s="282"/>
      <c r="BI254" s="282"/>
      <c r="BJ254" s="278"/>
      <c r="BK254" s="278"/>
      <c r="BL254" s="278"/>
      <c r="BM254" s="278"/>
      <c r="BN254" s="278"/>
      <c r="BO254" s="278"/>
      <c r="BP254" s="278"/>
      <c r="BQ254" s="278"/>
      <c r="BR254" s="278"/>
      <c r="BS254" s="278"/>
      <c r="BT254" s="278"/>
      <c r="BU254" s="278"/>
      <c r="BV254" s="278"/>
      <c r="BW254" s="278"/>
      <c r="BX254" s="278"/>
      <c r="BY254" s="278"/>
      <c r="BZ254" s="278"/>
      <c r="CA254" s="278"/>
      <c r="CB254" s="278"/>
      <c r="CC254" s="278"/>
      <c r="CD254" s="278"/>
      <c r="CE254" s="278"/>
      <c r="CF254" s="278"/>
      <c r="CG254" s="278"/>
      <c r="CH254" s="278"/>
      <c r="CI254" s="278"/>
      <c r="CJ254" s="278"/>
      <c r="CK254" s="278"/>
      <c r="CL254" s="278"/>
      <c r="CM254" s="278"/>
      <c r="CN254" s="278"/>
      <c r="CO254" s="278"/>
      <c r="CP254" s="278"/>
      <c r="CQ254" s="278"/>
      <c r="CR254" s="278"/>
      <c r="CS254" s="278"/>
      <c r="CT254" s="278"/>
      <c r="CU254" s="278"/>
      <c r="CV254" s="278"/>
      <c r="CW254" s="278"/>
      <c r="CX254" s="278"/>
      <c r="CY254" s="278"/>
      <c r="CZ254" s="278"/>
      <c r="DA254" s="278"/>
      <c r="DB254" s="278"/>
      <c r="DC254" s="278"/>
      <c r="DD254" s="278"/>
      <c r="DE254" s="278"/>
      <c r="DF254" s="278"/>
      <c r="DG254" s="278"/>
      <c r="DH254" s="278"/>
      <c r="DI254" s="278"/>
      <c r="DJ254" s="278"/>
      <c r="DK254" s="278"/>
      <c r="DL254" s="278"/>
    </row>
    <row r="255" spans="1:116" ht="15.75" customHeight="1" x14ac:dyDescent="0.25">
      <c r="A255" s="466"/>
      <c r="B255" s="466"/>
      <c r="C255" s="467"/>
      <c r="D255" s="279"/>
      <c r="E255" s="280"/>
      <c r="F255" s="279"/>
      <c r="G255" s="279"/>
      <c r="H255" s="409"/>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282"/>
      <c r="AE255" s="282"/>
      <c r="AF255" s="282"/>
      <c r="AG255" s="282"/>
      <c r="AH255" s="282"/>
      <c r="AI255" s="282"/>
      <c r="AJ255" s="282"/>
      <c r="AK255" s="282"/>
      <c r="AL255" s="282"/>
      <c r="AM255" s="282"/>
      <c r="AN255" s="282"/>
      <c r="AO255" s="282"/>
      <c r="AP255" s="282"/>
      <c r="AQ255" s="282"/>
      <c r="AR255" s="282"/>
      <c r="AS255" s="282"/>
      <c r="AT255" s="282"/>
      <c r="AU255" s="282"/>
      <c r="AV255" s="282"/>
      <c r="AW255" s="282"/>
      <c r="AX255" s="282"/>
      <c r="AY255" s="282"/>
      <c r="AZ255" s="282"/>
      <c r="BA255" s="282"/>
      <c r="BB255" s="282"/>
      <c r="BC255" s="282"/>
      <c r="BD255" s="282"/>
      <c r="BE255" s="282"/>
      <c r="BF255" s="282"/>
      <c r="BG255" s="282"/>
      <c r="BH255" s="282"/>
      <c r="BI255" s="282"/>
      <c r="BJ255" s="278"/>
      <c r="BK255" s="278"/>
      <c r="BL255" s="278"/>
      <c r="BM255" s="278"/>
      <c r="BN255" s="278"/>
      <c r="BO255" s="278"/>
      <c r="BP255" s="278"/>
      <c r="BQ255" s="278"/>
      <c r="BR255" s="278"/>
      <c r="BS255" s="278"/>
      <c r="BT255" s="278"/>
      <c r="BU255" s="278"/>
      <c r="BV255" s="278"/>
      <c r="BW255" s="278"/>
      <c r="BX255" s="278"/>
      <c r="BY255" s="278"/>
      <c r="BZ255" s="278"/>
      <c r="CA255" s="278"/>
      <c r="CB255" s="278"/>
      <c r="CC255" s="278"/>
      <c r="CD255" s="278"/>
      <c r="CE255" s="278"/>
      <c r="CF255" s="278"/>
      <c r="CG255" s="278"/>
      <c r="CH255" s="278"/>
      <c r="CI255" s="278"/>
      <c r="CJ255" s="278"/>
      <c r="CK255" s="278"/>
      <c r="CL255" s="278"/>
      <c r="CM255" s="278"/>
      <c r="CN255" s="278"/>
      <c r="CO255" s="278"/>
      <c r="CP255" s="278"/>
      <c r="CQ255" s="278"/>
      <c r="CR255" s="278"/>
      <c r="CS255" s="278"/>
      <c r="CT255" s="278"/>
      <c r="CU255" s="278"/>
      <c r="CV255" s="278"/>
      <c r="CW255" s="278"/>
      <c r="CX255" s="278"/>
      <c r="CY255" s="278"/>
      <c r="CZ255" s="278"/>
      <c r="DA255" s="278"/>
      <c r="DB255" s="278"/>
      <c r="DC255" s="278"/>
      <c r="DD255" s="278"/>
      <c r="DE255" s="278"/>
      <c r="DF255" s="278"/>
      <c r="DG255" s="278"/>
      <c r="DH255" s="278"/>
      <c r="DI255" s="278"/>
      <c r="DJ255" s="278"/>
      <c r="DK255" s="278"/>
      <c r="DL255" s="278"/>
    </row>
    <row r="256" spans="1:116" ht="15.75" customHeight="1" x14ac:dyDescent="0.25">
      <c r="A256" s="466"/>
      <c r="B256" s="466"/>
      <c r="C256" s="467"/>
      <c r="D256" s="279"/>
      <c r="E256" s="280"/>
      <c r="F256" s="279"/>
      <c r="G256" s="279"/>
      <c r="H256" s="409"/>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c r="AF256" s="282"/>
      <c r="AG256" s="282"/>
      <c r="AH256" s="282"/>
      <c r="AI256" s="282"/>
      <c r="AJ256" s="282"/>
      <c r="AK256" s="282"/>
      <c r="AL256" s="282"/>
      <c r="AM256" s="282"/>
      <c r="AN256" s="282"/>
      <c r="AO256" s="282"/>
      <c r="AP256" s="282"/>
      <c r="AQ256" s="282"/>
      <c r="AR256" s="282"/>
      <c r="AS256" s="282"/>
      <c r="AT256" s="282"/>
      <c r="AU256" s="282"/>
      <c r="AV256" s="282"/>
      <c r="AW256" s="282"/>
      <c r="AX256" s="282"/>
      <c r="AY256" s="282"/>
      <c r="AZ256" s="282"/>
      <c r="BA256" s="282"/>
      <c r="BB256" s="282"/>
      <c r="BC256" s="282"/>
      <c r="BD256" s="282"/>
      <c r="BE256" s="282"/>
      <c r="BF256" s="282"/>
      <c r="BG256" s="282"/>
      <c r="BH256" s="282"/>
      <c r="BI256" s="282"/>
      <c r="BJ256" s="278"/>
      <c r="BK256" s="278"/>
      <c r="BL256" s="278"/>
      <c r="BM256" s="278"/>
      <c r="BN256" s="278"/>
      <c r="BO256" s="278"/>
      <c r="BP256" s="278"/>
      <c r="BQ256" s="278"/>
      <c r="BR256" s="278"/>
      <c r="BS256" s="278"/>
      <c r="BT256" s="278"/>
      <c r="BU256" s="278"/>
      <c r="BV256" s="278"/>
      <c r="BW256" s="278"/>
      <c r="BX256" s="278"/>
      <c r="BY256" s="278"/>
      <c r="BZ256" s="278"/>
      <c r="CA256" s="278"/>
      <c r="CB256" s="278"/>
      <c r="CC256" s="278"/>
      <c r="CD256" s="278"/>
      <c r="CE256" s="278"/>
      <c r="CF256" s="278"/>
      <c r="CG256" s="278"/>
      <c r="CH256" s="278"/>
      <c r="CI256" s="278"/>
      <c r="CJ256" s="278"/>
      <c r="CK256" s="278"/>
      <c r="CL256" s="278"/>
      <c r="CM256" s="278"/>
      <c r="CN256" s="278"/>
      <c r="CO256" s="278"/>
      <c r="CP256" s="278"/>
      <c r="CQ256" s="278"/>
      <c r="CR256" s="278"/>
      <c r="CS256" s="278"/>
      <c r="CT256" s="278"/>
      <c r="CU256" s="278"/>
      <c r="CV256" s="278"/>
      <c r="CW256" s="278"/>
      <c r="CX256" s="278"/>
      <c r="CY256" s="278"/>
      <c r="CZ256" s="278"/>
      <c r="DA256" s="278"/>
      <c r="DB256" s="278"/>
      <c r="DC256" s="278"/>
      <c r="DD256" s="278"/>
      <c r="DE256" s="278"/>
      <c r="DF256" s="278"/>
      <c r="DG256" s="278"/>
      <c r="DH256" s="278"/>
      <c r="DI256" s="278"/>
      <c r="DJ256" s="278"/>
      <c r="DK256" s="278"/>
      <c r="DL256" s="278"/>
    </row>
    <row r="257" spans="1:116" ht="15.75" customHeight="1" x14ac:dyDescent="0.25">
      <c r="A257" s="466"/>
      <c r="B257" s="466"/>
      <c r="C257" s="467"/>
      <c r="D257" s="279"/>
      <c r="E257" s="280"/>
      <c r="F257" s="279"/>
      <c r="G257" s="279"/>
      <c r="H257" s="409"/>
      <c r="I257" s="282"/>
      <c r="J257" s="282"/>
      <c r="K257" s="282"/>
      <c r="L257" s="282"/>
      <c r="M257" s="282"/>
      <c r="N257" s="282"/>
      <c r="O257" s="282"/>
      <c r="P257" s="282"/>
      <c r="Q257" s="282"/>
      <c r="R257" s="282"/>
      <c r="S257" s="282"/>
      <c r="T257" s="282"/>
      <c r="U257" s="282"/>
      <c r="V257" s="282"/>
      <c r="W257" s="282"/>
      <c r="X257" s="282"/>
      <c r="Y257" s="282"/>
      <c r="Z257" s="282"/>
      <c r="AA257" s="282"/>
      <c r="AB257" s="282"/>
      <c r="AC257" s="282"/>
      <c r="AD257" s="282"/>
      <c r="AE257" s="282"/>
      <c r="AF257" s="282"/>
      <c r="AG257" s="282"/>
      <c r="AH257" s="282"/>
      <c r="AI257" s="282"/>
      <c r="AJ257" s="282"/>
      <c r="AK257" s="282"/>
      <c r="AL257" s="282"/>
      <c r="AM257" s="282"/>
      <c r="AN257" s="282"/>
      <c r="AO257" s="282"/>
      <c r="AP257" s="282"/>
      <c r="AQ257" s="282"/>
      <c r="AR257" s="282"/>
      <c r="AS257" s="282"/>
      <c r="AT257" s="282"/>
      <c r="AU257" s="282"/>
      <c r="AV257" s="282"/>
      <c r="AW257" s="282"/>
      <c r="AX257" s="282"/>
      <c r="AY257" s="282"/>
      <c r="AZ257" s="282"/>
      <c r="BA257" s="282"/>
      <c r="BB257" s="282"/>
      <c r="BC257" s="282"/>
      <c r="BD257" s="282"/>
      <c r="BE257" s="282"/>
      <c r="BF257" s="282"/>
      <c r="BG257" s="282"/>
      <c r="BH257" s="282"/>
      <c r="BI257" s="282"/>
      <c r="BJ257" s="278"/>
      <c r="BK257" s="278"/>
      <c r="BL257" s="278"/>
      <c r="BM257" s="278"/>
      <c r="BN257" s="278"/>
      <c r="BO257" s="278"/>
      <c r="BP257" s="278"/>
      <c r="BQ257" s="278"/>
      <c r="BR257" s="278"/>
      <c r="BS257" s="278"/>
      <c r="BT257" s="278"/>
      <c r="BU257" s="278"/>
      <c r="BV257" s="278"/>
      <c r="BW257" s="278"/>
      <c r="BX257" s="278"/>
      <c r="BY257" s="278"/>
      <c r="BZ257" s="278"/>
      <c r="CA257" s="278"/>
      <c r="CB257" s="278"/>
      <c r="CC257" s="278"/>
      <c r="CD257" s="278"/>
      <c r="CE257" s="278"/>
      <c r="CF257" s="278"/>
      <c r="CG257" s="278"/>
      <c r="CH257" s="278"/>
      <c r="CI257" s="278"/>
      <c r="CJ257" s="278"/>
      <c r="CK257" s="278"/>
      <c r="CL257" s="278"/>
      <c r="CM257" s="278"/>
      <c r="CN257" s="278"/>
      <c r="CO257" s="278"/>
      <c r="CP257" s="278"/>
      <c r="CQ257" s="278"/>
      <c r="CR257" s="278"/>
      <c r="CS257" s="278"/>
      <c r="CT257" s="278"/>
      <c r="CU257" s="278"/>
      <c r="CV257" s="278"/>
      <c r="CW257" s="278"/>
      <c r="CX257" s="278"/>
      <c r="CY257" s="278"/>
      <c r="CZ257" s="278"/>
      <c r="DA257" s="278"/>
      <c r="DB257" s="278"/>
      <c r="DC257" s="278"/>
      <c r="DD257" s="278"/>
      <c r="DE257" s="278"/>
      <c r="DF257" s="278"/>
      <c r="DG257" s="278"/>
      <c r="DH257" s="278"/>
      <c r="DI257" s="278"/>
      <c r="DJ257" s="278"/>
      <c r="DK257" s="278"/>
      <c r="DL257" s="278"/>
    </row>
    <row r="258" spans="1:116" ht="15.75" customHeight="1" x14ac:dyDescent="0.25">
      <c r="A258" s="466"/>
      <c r="B258" s="466"/>
      <c r="C258" s="467"/>
      <c r="D258" s="279"/>
      <c r="E258" s="280"/>
      <c r="F258" s="279"/>
      <c r="G258" s="279"/>
      <c r="H258" s="409"/>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c r="AZ258" s="282"/>
      <c r="BA258" s="282"/>
      <c r="BB258" s="282"/>
      <c r="BC258" s="282"/>
      <c r="BD258" s="282"/>
      <c r="BE258" s="282"/>
      <c r="BF258" s="282"/>
      <c r="BG258" s="282"/>
      <c r="BH258" s="282"/>
      <c r="BI258" s="282"/>
      <c r="BJ258" s="278"/>
      <c r="BK258" s="278"/>
      <c r="BL258" s="278"/>
      <c r="BM258" s="278"/>
      <c r="BN258" s="278"/>
      <c r="BO258" s="278"/>
      <c r="BP258" s="278"/>
      <c r="BQ258" s="278"/>
      <c r="BR258" s="278"/>
      <c r="BS258" s="278"/>
      <c r="BT258" s="278"/>
      <c r="BU258" s="278"/>
      <c r="BV258" s="278"/>
      <c r="BW258" s="278"/>
      <c r="BX258" s="278"/>
      <c r="BY258" s="278"/>
      <c r="BZ258" s="278"/>
      <c r="CA258" s="278"/>
      <c r="CB258" s="278"/>
      <c r="CC258" s="278"/>
      <c r="CD258" s="278"/>
      <c r="CE258" s="278"/>
      <c r="CF258" s="278"/>
      <c r="CG258" s="278"/>
      <c r="CH258" s="278"/>
      <c r="CI258" s="278"/>
      <c r="CJ258" s="278"/>
      <c r="CK258" s="278"/>
      <c r="CL258" s="278"/>
      <c r="CM258" s="278"/>
      <c r="CN258" s="278"/>
      <c r="CO258" s="278"/>
      <c r="CP258" s="278"/>
      <c r="CQ258" s="278"/>
      <c r="CR258" s="278"/>
      <c r="CS258" s="278"/>
      <c r="CT258" s="278"/>
      <c r="CU258" s="278"/>
      <c r="CV258" s="278"/>
      <c r="CW258" s="278"/>
      <c r="CX258" s="278"/>
      <c r="CY258" s="278"/>
      <c r="CZ258" s="278"/>
      <c r="DA258" s="278"/>
      <c r="DB258" s="278"/>
      <c r="DC258" s="278"/>
      <c r="DD258" s="278"/>
      <c r="DE258" s="278"/>
      <c r="DF258" s="278"/>
      <c r="DG258" s="278"/>
      <c r="DH258" s="278"/>
      <c r="DI258" s="278"/>
      <c r="DJ258" s="278"/>
      <c r="DK258" s="278"/>
      <c r="DL258" s="278"/>
    </row>
    <row r="259" spans="1:116" ht="15.75" customHeight="1" x14ac:dyDescent="0.25">
      <c r="A259" s="466"/>
      <c r="B259" s="466"/>
      <c r="C259" s="467"/>
      <c r="D259" s="279"/>
      <c r="E259" s="280"/>
      <c r="F259" s="279"/>
      <c r="G259" s="279"/>
      <c r="H259" s="409"/>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282"/>
      <c r="AF259" s="282"/>
      <c r="AG259" s="282"/>
      <c r="AH259" s="282"/>
      <c r="AI259" s="282"/>
      <c r="AJ259" s="282"/>
      <c r="AK259" s="282"/>
      <c r="AL259" s="282"/>
      <c r="AM259" s="282"/>
      <c r="AN259" s="282"/>
      <c r="AO259" s="282"/>
      <c r="AP259" s="282"/>
      <c r="AQ259" s="282"/>
      <c r="AR259" s="282"/>
      <c r="AS259" s="282"/>
      <c r="AT259" s="282"/>
      <c r="AU259" s="282"/>
      <c r="AV259" s="282"/>
      <c r="AW259" s="282"/>
      <c r="AX259" s="282"/>
      <c r="AY259" s="282"/>
      <c r="AZ259" s="282"/>
      <c r="BA259" s="282"/>
      <c r="BB259" s="282"/>
      <c r="BC259" s="282"/>
      <c r="BD259" s="282"/>
      <c r="BE259" s="282"/>
      <c r="BF259" s="282"/>
      <c r="BG259" s="282"/>
      <c r="BH259" s="282"/>
      <c r="BI259" s="282"/>
      <c r="BJ259" s="278"/>
      <c r="BK259" s="278"/>
      <c r="BL259" s="278"/>
      <c r="BM259" s="278"/>
      <c r="BN259" s="278"/>
      <c r="BO259" s="278"/>
      <c r="BP259" s="278"/>
      <c r="BQ259" s="278"/>
      <c r="BR259" s="278"/>
      <c r="BS259" s="278"/>
      <c r="BT259" s="278"/>
      <c r="BU259" s="278"/>
      <c r="BV259" s="278"/>
      <c r="BW259" s="278"/>
      <c r="BX259" s="278"/>
      <c r="BY259" s="278"/>
      <c r="BZ259" s="278"/>
      <c r="CA259" s="278"/>
      <c r="CB259" s="278"/>
      <c r="CC259" s="278"/>
      <c r="CD259" s="278"/>
      <c r="CE259" s="278"/>
      <c r="CF259" s="278"/>
      <c r="CG259" s="278"/>
      <c r="CH259" s="278"/>
      <c r="CI259" s="278"/>
      <c r="CJ259" s="278"/>
      <c r="CK259" s="278"/>
      <c r="CL259" s="278"/>
      <c r="CM259" s="278"/>
      <c r="CN259" s="278"/>
      <c r="CO259" s="278"/>
      <c r="CP259" s="278"/>
      <c r="CQ259" s="278"/>
      <c r="CR259" s="278"/>
      <c r="CS259" s="278"/>
      <c r="CT259" s="278"/>
      <c r="CU259" s="278"/>
      <c r="CV259" s="278"/>
      <c r="CW259" s="278"/>
      <c r="CX259" s="278"/>
      <c r="CY259" s="278"/>
      <c r="CZ259" s="278"/>
      <c r="DA259" s="278"/>
      <c r="DB259" s="278"/>
      <c r="DC259" s="278"/>
      <c r="DD259" s="278"/>
      <c r="DE259" s="278"/>
      <c r="DF259" s="278"/>
      <c r="DG259" s="278"/>
      <c r="DH259" s="278"/>
      <c r="DI259" s="278"/>
      <c r="DJ259" s="278"/>
      <c r="DK259" s="278"/>
      <c r="DL259" s="278"/>
    </row>
    <row r="260" spans="1:116" ht="15.75" customHeight="1" x14ac:dyDescent="0.25">
      <c r="A260" s="466"/>
      <c r="B260" s="466"/>
      <c r="C260" s="467"/>
      <c r="D260" s="279"/>
      <c r="E260" s="280"/>
      <c r="F260" s="279"/>
      <c r="G260" s="279"/>
      <c r="H260" s="409"/>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282"/>
      <c r="AE260" s="282"/>
      <c r="AF260" s="282"/>
      <c r="AG260" s="282"/>
      <c r="AH260" s="282"/>
      <c r="AI260" s="282"/>
      <c r="AJ260" s="282"/>
      <c r="AK260" s="282"/>
      <c r="AL260" s="282"/>
      <c r="AM260" s="282"/>
      <c r="AN260" s="282"/>
      <c r="AO260" s="282"/>
      <c r="AP260" s="282"/>
      <c r="AQ260" s="282"/>
      <c r="AR260" s="282"/>
      <c r="AS260" s="282"/>
      <c r="AT260" s="282"/>
      <c r="AU260" s="282"/>
      <c r="AV260" s="282"/>
      <c r="AW260" s="282"/>
      <c r="AX260" s="282"/>
      <c r="AY260" s="282"/>
      <c r="AZ260" s="282"/>
      <c r="BA260" s="282"/>
      <c r="BB260" s="282"/>
      <c r="BC260" s="282"/>
      <c r="BD260" s="282"/>
      <c r="BE260" s="282"/>
      <c r="BF260" s="282"/>
      <c r="BG260" s="282"/>
      <c r="BH260" s="282"/>
      <c r="BI260" s="282"/>
      <c r="BJ260" s="278"/>
      <c r="BK260" s="278"/>
      <c r="BL260" s="278"/>
      <c r="BM260" s="278"/>
      <c r="BN260" s="278"/>
      <c r="BO260" s="278"/>
      <c r="BP260" s="278"/>
      <c r="BQ260" s="278"/>
      <c r="BR260" s="278"/>
      <c r="BS260" s="278"/>
      <c r="BT260" s="278"/>
      <c r="BU260" s="278"/>
      <c r="BV260" s="278"/>
      <c r="BW260" s="278"/>
      <c r="BX260" s="278"/>
      <c r="BY260" s="278"/>
      <c r="BZ260" s="278"/>
      <c r="CA260" s="278"/>
      <c r="CB260" s="278"/>
      <c r="CC260" s="278"/>
      <c r="CD260" s="278"/>
      <c r="CE260" s="278"/>
      <c r="CF260" s="278"/>
      <c r="CG260" s="278"/>
      <c r="CH260" s="278"/>
      <c r="CI260" s="278"/>
      <c r="CJ260" s="278"/>
      <c r="CK260" s="278"/>
      <c r="CL260" s="278"/>
      <c r="CM260" s="278"/>
      <c r="CN260" s="278"/>
      <c r="CO260" s="278"/>
      <c r="CP260" s="278"/>
      <c r="CQ260" s="278"/>
      <c r="CR260" s="278"/>
      <c r="CS260" s="278"/>
      <c r="CT260" s="278"/>
      <c r="CU260" s="278"/>
      <c r="CV260" s="278"/>
      <c r="CW260" s="278"/>
      <c r="CX260" s="278"/>
      <c r="CY260" s="278"/>
      <c r="CZ260" s="278"/>
      <c r="DA260" s="278"/>
      <c r="DB260" s="278"/>
      <c r="DC260" s="278"/>
      <c r="DD260" s="278"/>
      <c r="DE260" s="278"/>
      <c r="DF260" s="278"/>
      <c r="DG260" s="278"/>
      <c r="DH260" s="278"/>
      <c r="DI260" s="278"/>
      <c r="DJ260" s="278"/>
      <c r="DK260" s="278"/>
      <c r="DL260" s="278"/>
    </row>
    <row r="261" spans="1:116" ht="15.75" customHeight="1" x14ac:dyDescent="0.25">
      <c r="A261" s="466"/>
      <c r="B261" s="466"/>
      <c r="C261" s="467"/>
      <c r="D261" s="279"/>
      <c r="E261" s="280"/>
      <c r="F261" s="279"/>
      <c r="G261" s="279"/>
      <c r="H261" s="409"/>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282"/>
      <c r="AE261" s="282"/>
      <c r="AF261" s="282"/>
      <c r="AG261" s="282"/>
      <c r="AH261" s="282"/>
      <c r="AI261" s="282"/>
      <c r="AJ261" s="282"/>
      <c r="AK261" s="282"/>
      <c r="AL261" s="282"/>
      <c r="AM261" s="282"/>
      <c r="AN261" s="282"/>
      <c r="AO261" s="282"/>
      <c r="AP261" s="282"/>
      <c r="AQ261" s="282"/>
      <c r="AR261" s="282"/>
      <c r="AS261" s="282"/>
      <c r="AT261" s="282"/>
      <c r="AU261" s="282"/>
      <c r="AV261" s="282"/>
      <c r="AW261" s="282"/>
      <c r="AX261" s="282"/>
      <c r="AY261" s="282"/>
      <c r="AZ261" s="282"/>
      <c r="BA261" s="282"/>
      <c r="BB261" s="282"/>
      <c r="BC261" s="282"/>
      <c r="BD261" s="282"/>
      <c r="BE261" s="282"/>
      <c r="BF261" s="282"/>
      <c r="BG261" s="282"/>
      <c r="BH261" s="282"/>
      <c r="BI261" s="282"/>
      <c r="BJ261" s="278"/>
      <c r="BK261" s="278"/>
      <c r="BL261" s="278"/>
      <c r="BM261" s="278"/>
      <c r="BN261" s="278"/>
      <c r="BO261" s="278"/>
      <c r="BP261" s="278"/>
      <c r="BQ261" s="278"/>
      <c r="BR261" s="278"/>
      <c r="BS261" s="278"/>
      <c r="BT261" s="278"/>
      <c r="BU261" s="278"/>
      <c r="BV261" s="278"/>
      <c r="BW261" s="278"/>
      <c r="BX261" s="278"/>
      <c r="BY261" s="278"/>
      <c r="BZ261" s="278"/>
      <c r="CA261" s="278"/>
      <c r="CB261" s="278"/>
      <c r="CC261" s="278"/>
      <c r="CD261" s="278"/>
      <c r="CE261" s="278"/>
      <c r="CF261" s="278"/>
      <c r="CG261" s="278"/>
      <c r="CH261" s="278"/>
      <c r="CI261" s="278"/>
      <c r="CJ261" s="278"/>
      <c r="CK261" s="278"/>
      <c r="CL261" s="278"/>
      <c r="CM261" s="278"/>
      <c r="CN261" s="278"/>
      <c r="CO261" s="278"/>
      <c r="CP261" s="278"/>
      <c r="CQ261" s="278"/>
      <c r="CR261" s="278"/>
      <c r="CS261" s="278"/>
      <c r="CT261" s="278"/>
      <c r="CU261" s="278"/>
      <c r="CV261" s="278"/>
      <c r="CW261" s="278"/>
      <c r="CX261" s="278"/>
      <c r="CY261" s="278"/>
      <c r="CZ261" s="278"/>
      <c r="DA261" s="278"/>
      <c r="DB261" s="278"/>
      <c r="DC261" s="278"/>
      <c r="DD261" s="278"/>
      <c r="DE261" s="278"/>
      <c r="DF261" s="278"/>
      <c r="DG261" s="278"/>
      <c r="DH261" s="278"/>
      <c r="DI261" s="278"/>
      <c r="DJ261" s="278"/>
      <c r="DK261" s="278"/>
      <c r="DL261" s="278"/>
    </row>
    <row r="262" spans="1:116" ht="15.75" customHeight="1" x14ac:dyDescent="0.25">
      <c r="A262" s="466"/>
      <c r="B262" s="466"/>
      <c r="C262" s="467"/>
      <c r="D262" s="279"/>
      <c r="E262" s="280"/>
      <c r="F262" s="279"/>
      <c r="G262" s="279"/>
      <c r="H262" s="409"/>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F262" s="282"/>
      <c r="AG262" s="282"/>
      <c r="AH262" s="282"/>
      <c r="AI262" s="282"/>
      <c r="AJ262" s="282"/>
      <c r="AK262" s="282"/>
      <c r="AL262" s="282"/>
      <c r="AM262" s="282"/>
      <c r="AN262" s="282"/>
      <c r="AO262" s="282"/>
      <c r="AP262" s="282"/>
      <c r="AQ262" s="282"/>
      <c r="AR262" s="282"/>
      <c r="AS262" s="282"/>
      <c r="AT262" s="282"/>
      <c r="AU262" s="282"/>
      <c r="AV262" s="282"/>
      <c r="AW262" s="282"/>
      <c r="AX262" s="282"/>
      <c r="AY262" s="282"/>
      <c r="AZ262" s="282"/>
      <c r="BA262" s="282"/>
      <c r="BB262" s="282"/>
      <c r="BC262" s="282"/>
      <c r="BD262" s="282"/>
      <c r="BE262" s="282"/>
      <c r="BF262" s="282"/>
      <c r="BG262" s="282"/>
      <c r="BH262" s="282"/>
      <c r="BI262" s="282"/>
      <c r="BJ262" s="278"/>
      <c r="BK262" s="278"/>
      <c r="BL262" s="278"/>
      <c r="BM262" s="278"/>
      <c r="BN262" s="278"/>
      <c r="BO262" s="278"/>
      <c r="BP262" s="278"/>
      <c r="BQ262" s="278"/>
      <c r="BR262" s="278"/>
      <c r="BS262" s="278"/>
      <c r="BT262" s="278"/>
      <c r="BU262" s="278"/>
      <c r="BV262" s="278"/>
      <c r="BW262" s="278"/>
      <c r="BX262" s="278"/>
      <c r="BY262" s="278"/>
      <c r="BZ262" s="278"/>
      <c r="CA262" s="278"/>
      <c r="CB262" s="278"/>
      <c r="CC262" s="278"/>
      <c r="CD262" s="278"/>
      <c r="CE262" s="278"/>
      <c r="CF262" s="278"/>
      <c r="CG262" s="278"/>
      <c r="CH262" s="278"/>
      <c r="CI262" s="278"/>
      <c r="CJ262" s="278"/>
      <c r="CK262" s="278"/>
      <c r="CL262" s="278"/>
      <c r="CM262" s="278"/>
      <c r="CN262" s="278"/>
      <c r="CO262" s="278"/>
      <c r="CP262" s="278"/>
      <c r="CQ262" s="278"/>
      <c r="CR262" s="278"/>
      <c r="CS262" s="278"/>
      <c r="CT262" s="278"/>
      <c r="CU262" s="278"/>
      <c r="CV262" s="278"/>
      <c r="CW262" s="278"/>
      <c r="CX262" s="278"/>
      <c r="CY262" s="278"/>
      <c r="CZ262" s="278"/>
      <c r="DA262" s="278"/>
      <c r="DB262" s="278"/>
      <c r="DC262" s="278"/>
      <c r="DD262" s="278"/>
      <c r="DE262" s="278"/>
      <c r="DF262" s="278"/>
      <c r="DG262" s="278"/>
      <c r="DH262" s="278"/>
      <c r="DI262" s="278"/>
      <c r="DJ262" s="278"/>
      <c r="DK262" s="278"/>
      <c r="DL262" s="278"/>
    </row>
    <row r="263" spans="1:116" ht="15.75" customHeight="1" x14ac:dyDescent="0.25">
      <c r="A263" s="466"/>
      <c r="B263" s="466"/>
      <c r="C263" s="467"/>
      <c r="D263" s="279"/>
      <c r="E263" s="280"/>
      <c r="F263" s="279"/>
      <c r="G263" s="279"/>
      <c r="H263" s="409"/>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282"/>
      <c r="AE263" s="282"/>
      <c r="AF263" s="282"/>
      <c r="AG263" s="282"/>
      <c r="AH263" s="282"/>
      <c r="AI263" s="282"/>
      <c r="AJ263" s="282"/>
      <c r="AK263" s="282"/>
      <c r="AL263" s="282"/>
      <c r="AM263" s="282"/>
      <c r="AN263" s="282"/>
      <c r="AO263" s="282"/>
      <c r="AP263" s="282"/>
      <c r="AQ263" s="282"/>
      <c r="AR263" s="282"/>
      <c r="AS263" s="282"/>
      <c r="AT263" s="282"/>
      <c r="AU263" s="282"/>
      <c r="AV263" s="282"/>
      <c r="AW263" s="282"/>
      <c r="AX263" s="282"/>
      <c r="AY263" s="282"/>
      <c r="AZ263" s="282"/>
      <c r="BA263" s="282"/>
      <c r="BB263" s="282"/>
      <c r="BC263" s="282"/>
      <c r="BD263" s="282"/>
      <c r="BE263" s="282"/>
      <c r="BF263" s="282"/>
      <c r="BG263" s="282"/>
      <c r="BH263" s="282"/>
      <c r="BI263" s="282"/>
      <c r="BJ263" s="278"/>
      <c r="BK263" s="278"/>
      <c r="BL263" s="278"/>
      <c r="BM263" s="278"/>
      <c r="BN263" s="278"/>
      <c r="BO263" s="278"/>
      <c r="BP263" s="278"/>
      <c r="BQ263" s="278"/>
      <c r="BR263" s="278"/>
      <c r="BS263" s="278"/>
      <c r="BT263" s="278"/>
      <c r="BU263" s="278"/>
      <c r="BV263" s="278"/>
      <c r="BW263" s="278"/>
      <c r="BX263" s="278"/>
      <c r="BY263" s="278"/>
      <c r="BZ263" s="278"/>
      <c r="CA263" s="278"/>
      <c r="CB263" s="278"/>
      <c r="CC263" s="278"/>
      <c r="CD263" s="278"/>
      <c r="CE263" s="278"/>
      <c r="CF263" s="278"/>
      <c r="CG263" s="278"/>
      <c r="CH263" s="278"/>
      <c r="CI263" s="278"/>
      <c r="CJ263" s="278"/>
      <c r="CK263" s="278"/>
      <c r="CL263" s="278"/>
      <c r="CM263" s="278"/>
      <c r="CN263" s="278"/>
      <c r="CO263" s="278"/>
      <c r="CP263" s="278"/>
      <c r="CQ263" s="278"/>
      <c r="CR263" s="278"/>
      <c r="CS263" s="278"/>
      <c r="CT263" s="278"/>
      <c r="CU263" s="278"/>
      <c r="CV263" s="278"/>
      <c r="CW263" s="278"/>
      <c r="CX263" s="278"/>
      <c r="CY263" s="278"/>
      <c r="CZ263" s="278"/>
      <c r="DA263" s="278"/>
      <c r="DB263" s="278"/>
      <c r="DC263" s="278"/>
      <c r="DD263" s="278"/>
      <c r="DE263" s="278"/>
      <c r="DF263" s="278"/>
      <c r="DG263" s="278"/>
      <c r="DH263" s="278"/>
      <c r="DI263" s="278"/>
      <c r="DJ263" s="278"/>
      <c r="DK263" s="278"/>
      <c r="DL263" s="278"/>
    </row>
    <row r="264" spans="1:116" ht="15.75" customHeight="1" x14ac:dyDescent="0.25">
      <c r="A264" s="466"/>
      <c r="B264" s="466"/>
      <c r="C264" s="467"/>
      <c r="D264" s="279"/>
      <c r="E264" s="280"/>
      <c r="F264" s="279"/>
      <c r="G264" s="279"/>
      <c r="H264" s="409"/>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282"/>
      <c r="AI264" s="282"/>
      <c r="AJ264" s="282"/>
      <c r="AK264" s="282"/>
      <c r="AL264" s="282"/>
      <c r="AM264" s="282"/>
      <c r="AN264" s="282"/>
      <c r="AO264" s="282"/>
      <c r="AP264" s="282"/>
      <c r="AQ264" s="282"/>
      <c r="AR264" s="282"/>
      <c r="AS264" s="282"/>
      <c r="AT264" s="282"/>
      <c r="AU264" s="282"/>
      <c r="AV264" s="282"/>
      <c r="AW264" s="282"/>
      <c r="AX264" s="282"/>
      <c r="AY264" s="282"/>
      <c r="AZ264" s="282"/>
      <c r="BA264" s="282"/>
      <c r="BB264" s="282"/>
      <c r="BC264" s="282"/>
      <c r="BD264" s="282"/>
      <c r="BE264" s="282"/>
      <c r="BF264" s="282"/>
      <c r="BG264" s="282"/>
      <c r="BH264" s="282"/>
      <c r="BI264" s="282"/>
      <c r="BJ264" s="278"/>
      <c r="BK264" s="278"/>
      <c r="BL264" s="278"/>
      <c r="BM264" s="278"/>
      <c r="BN264" s="278"/>
      <c r="BO264" s="278"/>
      <c r="BP264" s="278"/>
      <c r="BQ264" s="278"/>
      <c r="BR264" s="278"/>
      <c r="BS264" s="278"/>
      <c r="BT264" s="278"/>
      <c r="BU264" s="278"/>
      <c r="BV264" s="278"/>
      <c r="BW264" s="278"/>
      <c r="BX264" s="278"/>
      <c r="BY264" s="278"/>
      <c r="BZ264" s="278"/>
      <c r="CA264" s="278"/>
      <c r="CB264" s="278"/>
      <c r="CC264" s="278"/>
      <c r="CD264" s="278"/>
      <c r="CE264" s="278"/>
      <c r="CF264" s="278"/>
      <c r="CG264" s="278"/>
      <c r="CH264" s="278"/>
      <c r="CI264" s="278"/>
      <c r="CJ264" s="278"/>
      <c r="CK264" s="278"/>
      <c r="CL264" s="278"/>
      <c r="CM264" s="278"/>
      <c r="CN264" s="278"/>
      <c r="CO264" s="278"/>
      <c r="CP264" s="278"/>
      <c r="CQ264" s="278"/>
      <c r="CR264" s="278"/>
      <c r="CS264" s="278"/>
      <c r="CT264" s="278"/>
      <c r="CU264" s="278"/>
      <c r="CV264" s="278"/>
      <c r="CW264" s="278"/>
      <c r="CX264" s="278"/>
      <c r="CY264" s="278"/>
      <c r="CZ264" s="278"/>
      <c r="DA264" s="278"/>
      <c r="DB264" s="278"/>
      <c r="DC264" s="278"/>
      <c r="DD264" s="278"/>
      <c r="DE264" s="278"/>
      <c r="DF264" s="278"/>
      <c r="DG264" s="278"/>
      <c r="DH264" s="278"/>
      <c r="DI264" s="278"/>
      <c r="DJ264" s="278"/>
      <c r="DK264" s="278"/>
      <c r="DL264" s="278"/>
    </row>
    <row r="265" spans="1:116" ht="15.75" customHeight="1" x14ac:dyDescent="0.25">
      <c r="A265" s="466"/>
      <c r="B265" s="466"/>
      <c r="C265" s="467"/>
      <c r="D265" s="279"/>
      <c r="E265" s="280"/>
      <c r="F265" s="279"/>
      <c r="G265" s="279"/>
      <c r="H265" s="409"/>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82"/>
      <c r="AE265" s="282"/>
      <c r="AF265" s="282"/>
      <c r="AG265" s="282"/>
      <c r="AH265" s="282"/>
      <c r="AI265" s="282"/>
      <c r="AJ265" s="282"/>
      <c r="AK265" s="282"/>
      <c r="AL265" s="282"/>
      <c r="AM265" s="282"/>
      <c r="AN265" s="282"/>
      <c r="AO265" s="282"/>
      <c r="AP265" s="282"/>
      <c r="AQ265" s="282"/>
      <c r="AR265" s="282"/>
      <c r="AS265" s="282"/>
      <c r="AT265" s="282"/>
      <c r="AU265" s="282"/>
      <c r="AV265" s="282"/>
      <c r="AW265" s="282"/>
      <c r="AX265" s="282"/>
      <c r="AY265" s="282"/>
      <c r="AZ265" s="282"/>
      <c r="BA265" s="282"/>
      <c r="BB265" s="282"/>
      <c r="BC265" s="282"/>
      <c r="BD265" s="282"/>
      <c r="BE265" s="282"/>
      <c r="BF265" s="282"/>
      <c r="BG265" s="282"/>
      <c r="BH265" s="282"/>
      <c r="BI265" s="282"/>
      <c r="BJ265" s="278"/>
      <c r="BK265" s="278"/>
      <c r="BL265" s="278"/>
      <c r="BM265" s="278"/>
      <c r="BN265" s="278"/>
      <c r="BO265" s="278"/>
      <c r="BP265" s="278"/>
      <c r="BQ265" s="278"/>
      <c r="BR265" s="278"/>
      <c r="BS265" s="278"/>
      <c r="BT265" s="278"/>
      <c r="BU265" s="278"/>
      <c r="BV265" s="278"/>
      <c r="BW265" s="278"/>
      <c r="BX265" s="278"/>
      <c r="BY265" s="278"/>
      <c r="BZ265" s="278"/>
      <c r="CA265" s="278"/>
      <c r="CB265" s="278"/>
      <c r="CC265" s="278"/>
      <c r="CD265" s="278"/>
      <c r="CE265" s="278"/>
      <c r="CF265" s="278"/>
      <c r="CG265" s="278"/>
      <c r="CH265" s="278"/>
      <c r="CI265" s="278"/>
      <c r="CJ265" s="278"/>
      <c r="CK265" s="278"/>
      <c r="CL265" s="278"/>
      <c r="CM265" s="278"/>
      <c r="CN265" s="278"/>
      <c r="CO265" s="278"/>
      <c r="CP265" s="278"/>
      <c r="CQ265" s="278"/>
      <c r="CR265" s="278"/>
      <c r="CS265" s="278"/>
      <c r="CT265" s="278"/>
      <c r="CU265" s="278"/>
      <c r="CV265" s="278"/>
      <c r="CW265" s="278"/>
      <c r="CX265" s="278"/>
      <c r="CY265" s="278"/>
      <c r="CZ265" s="278"/>
      <c r="DA265" s="278"/>
      <c r="DB265" s="278"/>
      <c r="DC265" s="278"/>
      <c r="DD265" s="278"/>
      <c r="DE265" s="278"/>
      <c r="DF265" s="278"/>
      <c r="DG265" s="278"/>
      <c r="DH265" s="278"/>
      <c r="DI265" s="278"/>
      <c r="DJ265" s="278"/>
      <c r="DK265" s="278"/>
      <c r="DL265" s="278"/>
    </row>
    <row r="266" spans="1:116" ht="15.75" customHeight="1" x14ac:dyDescent="0.25">
      <c r="A266" s="466"/>
      <c r="B266" s="466"/>
      <c r="C266" s="467"/>
      <c r="D266" s="279"/>
      <c r="E266" s="280"/>
      <c r="F266" s="279"/>
      <c r="G266" s="279"/>
      <c r="H266" s="409"/>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282"/>
      <c r="AF266" s="282"/>
      <c r="AG266" s="282"/>
      <c r="AH266" s="282"/>
      <c r="AI266" s="282"/>
      <c r="AJ266" s="282"/>
      <c r="AK266" s="282"/>
      <c r="AL266" s="282"/>
      <c r="AM266" s="282"/>
      <c r="AN266" s="282"/>
      <c r="AO266" s="282"/>
      <c r="AP266" s="282"/>
      <c r="AQ266" s="282"/>
      <c r="AR266" s="282"/>
      <c r="AS266" s="282"/>
      <c r="AT266" s="282"/>
      <c r="AU266" s="282"/>
      <c r="AV266" s="282"/>
      <c r="AW266" s="282"/>
      <c r="AX266" s="282"/>
      <c r="AY266" s="282"/>
      <c r="AZ266" s="282"/>
      <c r="BA266" s="282"/>
      <c r="BB266" s="282"/>
      <c r="BC266" s="282"/>
      <c r="BD266" s="282"/>
      <c r="BE266" s="282"/>
      <c r="BF266" s="282"/>
      <c r="BG266" s="282"/>
      <c r="BH266" s="282"/>
      <c r="BI266" s="282"/>
      <c r="BJ266" s="278"/>
      <c r="BK266" s="278"/>
      <c r="BL266" s="278"/>
      <c r="BM266" s="278"/>
      <c r="BN266" s="278"/>
      <c r="BO266" s="278"/>
      <c r="BP266" s="278"/>
      <c r="BQ266" s="278"/>
      <c r="BR266" s="278"/>
      <c r="BS266" s="278"/>
      <c r="BT266" s="278"/>
      <c r="BU266" s="278"/>
      <c r="BV266" s="278"/>
      <c r="BW266" s="278"/>
      <c r="BX266" s="278"/>
      <c r="BY266" s="278"/>
      <c r="BZ266" s="278"/>
      <c r="CA266" s="278"/>
      <c r="CB266" s="278"/>
      <c r="CC266" s="278"/>
      <c r="CD266" s="278"/>
      <c r="CE266" s="278"/>
      <c r="CF266" s="278"/>
      <c r="CG266" s="278"/>
      <c r="CH266" s="278"/>
      <c r="CI266" s="278"/>
      <c r="CJ266" s="278"/>
      <c r="CK266" s="278"/>
      <c r="CL266" s="278"/>
      <c r="CM266" s="278"/>
      <c r="CN266" s="278"/>
      <c r="CO266" s="278"/>
      <c r="CP266" s="278"/>
      <c r="CQ266" s="278"/>
      <c r="CR266" s="278"/>
      <c r="CS266" s="278"/>
      <c r="CT266" s="278"/>
      <c r="CU266" s="278"/>
      <c r="CV266" s="278"/>
      <c r="CW266" s="278"/>
      <c r="CX266" s="278"/>
      <c r="CY266" s="278"/>
      <c r="CZ266" s="278"/>
      <c r="DA266" s="278"/>
      <c r="DB266" s="278"/>
      <c r="DC266" s="278"/>
      <c r="DD266" s="278"/>
      <c r="DE266" s="278"/>
      <c r="DF266" s="278"/>
      <c r="DG266" s="278"/>
      <c r="DH266" s="278"/>
      <c r="DI266" s="278"/>
      <c r="DJ266" s="278"/>
      <c r="DK266" s="278"/>
      <c r="DL266" s="278"/>
    </row>
    <row r="267" spans="1:116" ht="15.75" customHeight="1" x14ac:dyDescent="0.25">
      <c r="A267" s="466"/>
      <c r="B267" s="466"/>
      <c r="C267" s="467"/>
      <c r="D267" s="279"/>
      <c r="E267" s="280"/>
      <c r="F267" s="279"/>
      <c r="G267" s="279"/>
      <c r="H267" s="409"/>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82"/>
      <c r="AE267" s="282"/>
      <c r="AF267" s="282"/>
      <c r="AG267" s="282"/>
      <c r="AH267" s="282"/>
      <c r="AI267" s="282"/>
      <c r="AJ267" s="282"/>
      <c r="AK267" s="282"/>
      <c r="AL267" s="282"/>
      <c r="AM267" s="282"/>
      <c r="AN267" s="282"/>
      <c r="AO267" s="282"/>
      <c r="AP267" s="282"/>
      <c r="AQ267" s="282"/>
      <c r="AR267" s="282"/>
      <c r="AS267" s="282"/>
      <c r="AT267" s="282"/>
      <c r="AU267" s="282"/>
      <c r="AV267" s="282"/>
      <c r="AW267" s="282"/>
      <c r="AX267" s="282"/>
      <c r="AY267" s="282"/>
      <c r="AZ267" s="282"/>
      <c r="BA267" s="282"/>
      <c r="BB267" s="282"/>
      <c r="BC267" s="282"/>
      <c r="BD267" s="282"/>
      <c r="BE267" s="282"/>
      <c r="BF267" s="282"/>
      <c r="BG267" s="282"/>
      <c r="BH267" s="282"/>
      <c r="BI267" s="282"/>
      <c r="BJ267" s="278"/>
      <c r="BK267" s="278"/>
      <c r="BL267" s="278"/>
      <c r="BM267" s="278"/>
      <c r="BN267" s="278"/>
      <c r="BO267" s="278"/>
      <c r="BP267" s="278"/>
      <c r="BQ267" s="278"/>
      <c r="BR267" s="278"/>
      <c r="BS267" s="278"/>
      <c r="BT267" s="278"/>
      <c r="BU267" s="278"/>
      <c r="BV267" s="278"/>
      <c r="BW267" s="278"/>
      <c r="BX267" s="278"/>
      <c r="BY267" s="278"/>
      <c r="BZ267" s="278"/>
      <c r="CA267" s="278"/>
      <c r="CB267" s="278"/>
      <c r="CC267" s="278"/>
      <c r="CD267" s="278"/>
      <c r="CE267" s="278"/>
      <c r="CF267" s="278"/>
      <c r="CG267" s="278"/>
      <c r="CH267" s="278"/>
      <c r="CI267" s="278"/>
      <c r="CJ267" s="278"/>
      <c r="CK267" s="278"/>
      <c r="CL267" s="278"/>
      <c r="CM267" s="278"/>
      <c r="CN267" s="278"/>
      <c r="CO267" s="278"/>
      <c r="CP267" s="278"/>
      <c r="CQ267" s="278"/>
      <c r="CR267" s="278"/>
      <c r="CS267" s="278"/>
      <c r="CT267" s="278"/>
      <c r="CU267" s="278"/>
      <c r="CV267" s="278"/>
      <c r="CW267" s="278"/>
      <c r="CX267" s="278"/>
      <c r="CY267" s="278"/>
      <c r="CZ267" s="278"/>
      <c r="DA267" s="278"/>
      <c r="DB267" s="278"/>
      <c r="DC267" s="278"/>
      <c r="DD267" s="278"/>
      <c r="DE267" s="278"/>
      <c r="DF267" s="278"/>
      <c r="DG267" s="278"/>
      <c r="DH267" s="278"/>
      <c r="DI267" s="278"/>
      <c r="DJ267" s="278"/>
      <c r="DK267" s="278"/>
      <c r="DL267" s="278"/>
    </row>
    <row r="268" spans="1:116" ht="15.75" customHeight="1" x14ac:dyDescent="0.25">
      <c r="A268" s="466"/>
      <c r="B268" s="466"/>
      <c r="C268" s="467"/>
      <c r="D268" s="279"/>
      <c r="E268" s="280"/>
      <c r="F268" s="279"/>
      <c r="G268" s="279"/>
      <c r="H268" s="409"/>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82"/>
      <c r="AE268" s="282"/>
      <c r="AF268" s="282"/>
      <c r="AG268" s="282"/>
      <c r="AH268" s="282"/>
      <c r="AI268" s="282"/>
      <c r="AJ268" s="282"/>
      <c r="AK268" s="282"/>
      <c r="AL268" s="282"/>
      <c r="AM268" s="282"/>
      <c r="AN268" s="282"/>
      <c r="AO268" s="282"/>
      <c r="AP268" s="282"/>
      <c r="AQ268" s="282"/>
      <c r="AR268" s="282"/>
      <c r="AS268" s="282"/>
      <c r="AT268" s="282"/>
      <c r="AU268" s="282"/>
      <c r="AV268" s="282"/>
      <c r="AW268" s="282"/>
      <c r="AX268" s="282"/>
      <c r="AY268" s="282"/>
      <c r="AZ268" s="282"/>
      <c r="BA268" s="282"/>
      <c r="BB268" s="282"/>
      <c r="BC268" s="282"/>
      <c r="BD268" s="282"/>
      <c r="BE268" s="282"/>
      <c r="BF268" s="282"/>
      <c r="BG268" s="282"/>
      <c r="BH268" s="282"/>
      <c r="BI268" s="282"/>
      <c r="BJ268" s="278"/>
      <c r="BK268" s="278"/>
      <c r="BL268" s="278"/>
      <c r="BM268" s="278"/>
      <c r="BN268" s="278"/>
      <c r="BO268" s="278"/>
      <c r="BP268" s="278"/>
      <c r="BQ268" s="278"/>
      <c r="BR268" s="278"/>
      <c r="BS268" s="278"/>
      <c r="BT268" s="278"/>
      <c r="BU268" s="278"/>
      <c r="BV268" s="278"/>
      <c r="BW268" s="278"/>
      <c r="BX268" s="278"/>
      <c r="BY268" s="278"/>
      <c r="BZ268" s="278"/>
      <c r="CA268" s="278"/>
      <c r="CB268" s="278"/>
      <c r="CC268" s="278"/>
      <c r="CD268" s="278"/>
      <c r="CE268" s="278"/>
      <c r="CF268" s="278"/>
      <c r="CG268" s="278"/>
      <c r="CH268" s="278"/>
      <c r="CI268" s="278"/>
      <c r="CJ268" s="278"/>
      <c r="CK268" s="278"/>
      <c r="CL268" s="278"/>
      <c r="CM268" s="278"/>
      <c r="CN268" s="278"/>
      <c r="CO268" s="278"/>
      <c r="CP268" s="278"/>
      <c r="CQ268" s="278"/>
      <c r="CR268" s="278"/>
      <c r="CS268" s="278"/>
      <c r="CT268" s="278"/>
      <c r="CU268" s="278"/>
      <c r="CV268" s="278"/>
      <c r="CW268" s="278"/>
      <c r="CX268" s="278"/>
      <c r="CY268" s="278"/>
      <c r="CZ268" s="278"/>
      <c r="DA268" s="278"/>
      <c r="DB268" s="278"/>
      <c r="DC268" s="278"/>
      <c r="DD268" s="278"/>
      <c r="DE268" s="278"/>
      <c r="DF268" s="278"/>
      <c r="DG268" s="278"/>
      <c r="DH268" s="278"/>
      <c r="DI268" s="278"/>
      <c r="DJ268" s="278"/>
      <c r="DK268" s="278"/>
      <c r="DL268" s="278"/>
    </row>
    <row r="269" spans="1:116" ht="15.75" customHeight="1" x14ac:dyDescent="0.25">
      <c r="A269" s="466"/>
      <c r="B269" s="466"/>
      <c r="C269" s="467"/>
      <c r="D269" s="279"/>
      <c r="E269" s="280"/>
      <c r="F269" s="279"/>
      <c r="G269" s="279"/>
      <c r="H269" s="409"/>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82"/>
      <c r="AE269" s="282"/>
      <c r="AF269" s="282"/>
      <c r="AG269" s="282"/>
      <c r="AH269" s="282"/>
      <c r="AI269" s="282"/>
      <c r="AJ269" s="282"/>
      <c r="AK269" s="282"/>
      <c r="AL269" s="282"/>
      <c r="AM269" s="282"/>
      <c r="AN269" s="282"/>
      <c r="AO269" s="282"/>
      <c r="AP269" s="282"/>
      <c r="AQ269" s="282"/>
      <c r="AR269" s="282"/>
      <c r="AS269" s="282"/>
      <c r="AT269" s="282"/>
      <c r="AU269" s="282"/>
      <c r="AV269" s="282"/>
      <c r="AW269" s="282"/>
      <c r="AX269" s="282"/>
      <c r="AY269" s="282"/>
      <c r="AZ269" s="282"/>
      <c r="BA269" s="282"/>
      <c r="BB269" s="282"/>
      <c r="BC269" s="282"/>
      <c r="BD269" s="282"/>
      <c r="BE269" s="282"/>
      <c r="BF269" s="282"/>
      <c r="BG269" s="282"/>
      <c r="BH269" s="282"/>
      <c r="BI269" s="282"/>
      <c r="BJ269" s="278"/>
      <c r="BK269" s="278"/>
      <c r="BL269" s="278"/>
      <c r="BM269" s="278"/>
      <c r="BN269" s="278"/>
      <c r="BO269" s="278"/>
      <c r="BP269" s="278"/>
      <c r="BQ269" s="278"/>
      <c r="BR269" s="278"/>
      <c r="BS269" s="278"/>
      <c r="BT269" s="278"/>
      <c r="BU269" s="278"/>
      <c r="BV269" s="278"/>
      <c r="BW269" s="278"/>
      <c r="BX269" s="278"/>
      <c r="BY269" s="278"/>
      <c r="BZ269" s="278"/>
      <c r="CA269" s="278"/>
      <c r="CB269" s="278"/>
      <c r="CC269" s="278"/>
      <c r="CD269" s="278"/>
      <c r="CE269" s="278"/>
      <c r="CF269" s="278"/>
      <c r="CG269" s="278"/>
      <c r="CH269" s="278"/>
      <c r="CI269" s="278"/>
      <c r="CJ269" s="278"/>
      <c r="CK269" s="278"/>
      <c r="CL269" s="278"/>
      <c r="CM269" s="278"/>
      <c r="CN269" s="278"/>
      <c r="CO269" s="278"/>
      <c r="CP269" s="278"/>
      <c r="CQ269" s="278"/>
      <c r="CR269" s="278"/>
      <c r="CS269" s="278"/>
      <c r="CT269" s="278"/>
      <c r="CU269" s="278"/>
      <c r="CV269" s="278"/>
      <c r="CW269" s="278"/>
      <c r="CX269" s="278"/>
      <c r="CY269" s="278"/>
      <c r="CZ269" s="278"/>
      <c r="DA269" s="278"/>
      <c r="DB269" s="278"/>
      <c r="DC269" s="278"/>
      <c r="DD269" s="278"/>
      <c r="DE269" s="278"/>
      <c r="DF269" s="278"/>
      <c r="DG269" s="278"/>
      <c r="DH269" s="278"/>
      <c r="DI269" s="278"/>
      <c r="DJ269" s="278"/>
      <c r="DK269" s="278"/>
      <c r="DL269" s="278"/>
    </row>
    <row r="270" spans="1:116" ht="15.75" customHeight="1" x14ac:dyDescent="0.25">
      <c r="A270" s="466"/>
      <c r="B270" s="466"/>
      <c r="C270" s="467"/>
      <c r="D270" s="279"/>
      <c r="E270" s="280"/>
      <c r="F270" s="279"/>
      <c r="G270" s="279"/>
      <c r="H270" s="409"/>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282"/>
      <c r="AE270" s="282"/>
      <c r="AF270" s="282"/>
      <c r="AG270" s="282"/>
      <c r="AH270" s="282"/>
      <c r="AI270" s="282"/>
      <c r="AJ270" s="282"/>
      <c r="AK270" s="282"/>
      <c r="AL270" s="282"/>
      <c r="AM270" s="282"/>
      <c r="AN270" s="282"/>
      <c r="AO270" s="282"/>
      <c r="AP270" s="282"/>
      <c r="AQ270" s="282"/>
      <c r="AR270" s="282"/>
      <c r="AS270" s="282"/>
      <c r="AT270" s="282"/>
      <c r="AU270" s="282"/>
      <c r="AV270" s="282"/>
      <c r="AW270" s="282"/>
      <c r="AX270" s="282"/>
      <c r="AY270" s="282"/>
      <c r="AZ270" s="282"/>
      <c r="BA270" s="282"/>
      <c r="BB270" s="282"/>
      <c r="BC270" s="282"/>
      <c r="BD270" s="282"/>
      <c r="BE270" s="282"/>
      <c r="BF270" s="282"/>
      <c r="BG270" s="282"/>
      <c r="BH270" s="282"/>
      <c r="BI270" s="282"/>
      <c r="BJ270" s="278"/>
      <c r="BK270" s="278"/>
      <c r="BL270" s="278"/>
      <c r="BM270" s="278"/>
      <c r="BN270" s="278"/>
      <c r="BO270" s="278"/>
      <c r="BP270" s="278"/>
      <c r="BQ270" s="278"/>
      <c r="BR270" s="278"/>
      <c r="BS270" s="278"/>
      <c r="BT270" s="278"/>
      <c r="BU270" s="278"/>
      <c r="BV270" s="278"/>
      <c r="BW270" s="278"/>
      <c r="BX270" s="278"/>
      <c r="BY270" s="278"/>
      <c r="BZ270" s="278"/>
      <c r="CA270" s="278"/>
      <c r="CB270" s="278"/>
      <c r="CC270" s="278"/>
      <c r="CD270" s="278"/>
      <c r="CE270" s="278"/>
      <c r="CF270" s="278"/>
      <c r="CG270" s="278"/>
      <c r="CH270" s="278"/>
      <c r="CI270" s="278"/>
      <c r="CJ270" s="278"/>
      <c r="CK270" s="278"/>
      <c r="CL270" s="278"/>
      <c r="CM270" s="278"/>
      <c r="CN270" s="278"/>
      <c r="CO270" s="278"/>
      <c r="CP270" s="278"/>
      <c r="CQ270" s="278"/>
      <c r="CR270" s="278"/>
      <c r="CS270" s="278"/>
      <c r="CT270" s="278"/>
      <c r="CU270" s="278"/>
      <c r="CV270" s="278"/>
      <c r="CW270" s="278"/>
      <c r="CX270" s="278"/>
      <c r="CY270" s="278"/>
      <c r="CZ270" s="278"/>
      <c r="DA270" s="278"/>
      <c r="DB270" s="278"/>
      <c r="DC270" s="278"/>
      <c r="DD270" s="278"/>
      <c r="DE270" s="278"/>
      <c r="DF270" s="278"/>
      <c r="DG270" s="278"/>
      <c r="DH270" s="278"/>
      <c r="DI270" s="278"/>
      <c r="DJ270" s="278"/>
      <c r="DK270" s="278"/>
      <c r="DL270" s="278"/>
    </row>
    <row r="271" spans="1:116" ht="15.75" customHeight="1" x14ac:dyDescent="0.25">
      <c r="A271" s="466"/>
      <c r="B271" s="466"/>
      <c r="C271" s="467"/>
      <c r="D271" s="279"/>
      <c r="E271" s="280"/>
      <c r="F271" s="279"/>
      <c r="G271" s="279"/>
      <c r="H271" s="409"/>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282"/>
      <c r="AE271" s="282"/>
      <c r="AF271" s="282"/>
      <c r="AG271" s="282"/>
      <c r="AH271" s="282"/>
      <c r="AI271" s="282"/>
      <c r="AJ271" s="282"/>
      <c r="AK271" s="282"/>
      <c r="AL271" s="282"/>
      <c r="AM271" s="282"/>
      <c r="AN271" s="282"/>
      <c r="AO271" s="282"/>
      <c r="AP271" s="282"/>
      <c r="AQ271" s="282"/>
      <c r="AR271" s="282"/>
      <c r="AS271" s="282"/>
      <c r="AT271" s="282"/>
      <c r="AU271" s="282"/>
      <c r="AV271" s="282"/>
      <c r="AW271" s="282"/>
      <c r="AX271" s="282"/>
      <c r="AY271" s="282"/>
      <c r="AZ271" s="282"/>
      <c r="BA271" s="282"/>
      <c r="BB271" s="282"/>
      <c r="BC271" s="282"/>
      <c r="BD271" s="282"/>
      <c r="BE271" s="282"/>
      <c r="BF271" s="282"/>
      <c r="BG271" s="282"/>
      <c r="BH271" s="282"/>
      <c r="BI271" s="282"/>
      <c r="BJ271" s="278"/>
      <c r="BK271" s="278"/>
      <c r="BL271" s="278"/>
      <c r="BM271" s="278"/>
      <c r="BN271" s="278"/>
      <c r="BO271" s="278"/>
      <c r="BP271" s="278"/>
      <c r="BQ271" s="278"/>
      <c r="BR271" s="278"/>
      <c r="BS271" s="278"/>
      <c r="BT271" s="278"/>
      <c r="BU271" s="278"/>
      <c r="BV271" s="278"/>
      <c r="BW271" s="278"/>
      <c r="BX271" s="278"/>
      <c r="BY271" s="278"/>
      <c r="BZ271" s="278"/>
      <c r="CA271" s="278"/>
      <c r="CB271" s="278"/>
      <c r="CC271" s="278"/>
      <c r="CD271" s="278"/>
      <c r="CE271" s="278"/>
      <c r="CF271" s="278"/>
      <c r="CG271" s="278"/>
      <c r="CH271" s="278"/>
      <c r="CI271" s="278"/>
      <c r="CJ271" s="278"/>
      <c r="CK271" s="278"/>
      <c r="CL271" s="278"/>
      <c r="CM271" s="278"/>
      <c r="CN271" s="278"/>
      <c r="CO271" s="278"/>
      <c r="CP271" s="278"/>
      <c r="CQ271" s="278"/>
      <c r="CR271" s="278"/>
      <c r="CS271" s="278"/>
      <c r="CT271" s="278"/>
      <c r="CU271" s="278"/>
      <c r="CV271" s="278"/>
      <c r="CW271" s="278"/>
      <c r="CX271" s="278"/>
      <c r="CY271" s="278"/>
      <c r="CZ271" s="278"/>
      <c r="DA271" s="278"/>
      <c r="DB271" s="278"/>
      <c r="DC271" s="278"/>
      <c r="DD271" s="278"/>
      <c r="DE271" s="278"/>
      <c r="DF271" s="278"/>
      <c r="DG271" s="278"/>
      <c r="DH271" s="278"/>
      <c r="DI271" s="278"/>
      <c r="DJ271" s="278"/>
      <c r="DK271" s="278"/>
      <c r="DL271" s="278"/>
    </row>
    <row r="272" spans="1:116" ht="15.75" customHeight="1" x14ac:dyDescent="0.25">
      <c r="A272" s="466"/>
      <c r="B272" s="466"/>
      <c r="C272" s="467"/>
      <c r="D272" s="279"/>
      <c r="E272" s="280"/>
      <c r="F272" s="279"/>
      <c r="G272" s="279"/>
      <c r="H272" s="409"/>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282"/>
      <c r="AE272" s="282"/>
      <c r="AF272" s="282"/>
      <c r="AG272" s="282"/>
      <c r="AH272" s="282"/>
      <c r="AI272" s="282"/>
      <c r="AJ272" s="282"/>
      <c r="AK272" s="282"/>
      <c r="AL272" s="282"/>
      <c r="AM272" s="282"/>
      <c r="AN272" s="282"/>
      <c r="AO272" s="282"/>
      <c r="AP272" s="282"/>
      <c r="AQ272" s="282"/>
      <c r="AR272" s="282"/>
      <c r="AS272" s="282"/>
      <c r="AT272" s="282"/>
      <c r="AU272" s="282"/>
      <c r="AV272" s="282"/>
      <c r="AW272" s="282"/>
      <c r="AX272" s="282"/>
      <c r="AY272" s="282"/>
      <c r="AZ272" s="282"/>
      <c r="BA272" s="282"/>
      <c r="BB272" s="282"/>
      <c r="BC272" s="282"/>
      <c r="BD272" s="282"/>
      <c r="BE272" s="282"/>
      <c r="BF272" s="282"/>
      <c r="BG272" s="282"/>
      <c r="BH272" s="282"/>
      <c r="BI272" s="282"/>
      <c r="BJ272" s="278"/>
      <c r="BK272" s="278"/>
      <c r="BL272" s="278"/>
      <c r="BM272" s="278"/>
      <c r="BN272" s="278"/>
      <c r="BO272" s="278"/>
      <c r="BP272" s="278"/>
      <c r="BQ272" s="278"/>
      <c r="BR272" s="278"/>
      <c r="BS272" s="278"/>
      <c r="BT272" s="278"/>
      <c r="BU272" s="278"/>
      <c r="BV272" s="278"/>
      <c r="BW272" s="278"/>
      <c r="BX272" s="278"/>
      <c r="BY272" s="278"/>
      <c r="BZ272" s="278"/>
      <c r="CA272" s="278"/>
      <c r="CB272" s="278"/>
      <c r="CC272" s="278"/>
      <c r="CD272" s="278"/>
      <c r="CE272" s="278"/>
      <c r="CF272" s="278"/>
      <c r="CG272" s="278"/>
      <c r="CH272" s="278"/>
      <c r="CI272" s="278"/>
      <c r="CJ272" s="278"/>
      <c r="CK272" s="278"/>
      <c r="CL272" s="278"/>
      <c r="CM272" s="278"/>
      <c r="CN272" s="278"/>
      <c r="CO272" s="278"/>
      <c r="CP272" s="278"/>
      <c r="CQ272" s="278"/>
      <c r="CR272" s="278"/>
      <c r="CS272" s="278"/>
      <c r="CT272" s="278"/>
      <c r="CU272" s="278"/>
      <c r="CV272" s="278"/>
      <c r="CW272" s="278"/>
      <c r="CX272" s="278"/>
      <c r="CY272" s="278"/>
      <c r="CZ272" s="278"/>
      <c r="DA272" s="278"/>
      <c r="DB272" s="278"/>
      <c r="DC272" s="278"/>
      <c r="DD272" s="278"/>
      <c r="DE272" s="278"/>
      <c r="DF272" s="278"/>
      <c r="DG272" s="278"/>
      <c r="DH272" s="278"/>
      <c r="DI272" s="278"/>
      <c r="DJ272" s="278"/>
      <c r="DK272" s="278"/>
      <c r="DL272" s="278"/>
    </row>
    <row r="273" spans="1:116" ht="15.75" customHeight="1" x14ac:dyDescent="0.25">
      <c r="A273" s="466"/>
      <c r="B273" s="466"/>
      <c r="C273" s="467"/>
      <c r="D273" s="279"/>
      <c r="E273" s="280"/>
      <c r="F273" s="279"/>
      <c r="G273" s="279"/>
      <c r="H273" s="409"/>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282"/>
      <c r="AE273" s="282"/>
      <c r="AF273" s="282"/>
      <c r="AG273" s="282"/>
      <c r="AH273" s="282"/>
      <c r="AI273" s="282"/>
      <c r="AJ273" s="282"/>
      <c r="AK273" s="282"/>
      <c r="AL273" s="282"/>
      <c r="AM273" s="282"/>
      <c r="AN273" s="282"/>
      <c r="AO273" s="282"/>
      <c r="AP273" s="282"/>
      <c r="AQ273" s="282"/>
      <c r="AR273" s="282"/>
      <c r="AS273" s="282"/>
      <c r="AT273" s="282"/>
      <c r="AU273" s="282"/>
      <c r="AV273" s="282"/>
      <c r="AW273" s="282"/>
      <c r="AX273" s="282"/>
      <c r="AY273" s="282"/>
      <c r="AZ273" s="282"/>
      <c r="BA273" s="282"/>
      <c r="BB273" s="282"/>
      <c r="BC273" s="282"/>
      <c r="BD273" s="282"/>
      <c r="BE273" s="282"/>
      <c r="BF273" s="282"/>
      <c r="BG273" s="282"/>
      <c r="BH273" s="282"/>
      <c r="BI273" s="282"/>
      <c r="BJ273" s="278"/>
      <c r="BK273" s="278"/>
      <c r="BL273" s="278"/>
      <c r="BM273" s="278"/>
      <c r="BN273" s="278"/>
      <c r="BO273" s="278"/>
      <c r="BP273" s="278"/>
      <c r="BQ273" s="278"/>
      <c r="BR273" s="278"/>
      <c r="BS273" s="278"/>
      <c r="BT273" s="278"/>
      <c r="BU273" s="278"/>
      <c r="BV273" s="278"/>
      <c r="BW273" s="278"/>
      <c r="BX273" s="278"/>
      <c r="BY273" s="278"/>
      <c r="BZ273" s="278"/>
      <c r="CA273" s="278"/>
      <c r="CB273" s="278"/>
      <c r="CC273" s="278"/>
      <c r="CD273" s="278"/>
      <c r="CE273" s="278"/>
      <c r="CF273" s="278"/>
      <c r="CG273" s="278"/>
      <c r="CH273" s="278"/>
      <c r="CI273" s="278"/>
      <c r="CJ273" s="278"/>
      <c r="CK273" s="278"/>
      <c r="CL273" s="278"/>
      <c r="CM273" s="278"/>
      <c r="CN273" s="278"/>
      <c r="CO273" s="278"/>
      <c r="CP273" s="278"/>
      <c r="CQ273" s="278"/>
      <c r="CR273" s="278"/>
      <c r="CS273" s="278"/>
      <c r="CT273" s="278"/>
      <c r="CU273" s="278"/>
      <c r="CV273" s="278"/>
      <c r="CW273" s="278"/>
      <c r="CX273" s="278"/>
      <c r="CY273" s="278"/>
      <c r="CZ273" s="278"/>
      <c r="DA273" s="278"/>
      <c r="DB273" s="278"/>
      <c r="DC273" s="278"/>
      <c r="DD273" s="278"/>
      <c r="DE273" s="278"/>
      <c r="DF273" s="278"/>
      <c r="DG273" s="278"/>
      <c r="DH273" s="278"/>
      <c r="DI273" s="278"/>
      <c r="DJ273" s="278"/>
      <c r="DK273" s="278"/>
      <c r="DL273" s="278"/>
    </row>
    <row r="274" spans="1:116" ht="15.75" customHeight="1" x14ac:dyDescent="0.25">
      <c r="A274" s="466"/>
      <c r="B274" s="466"/>
      <c r="C274" s="467"/>
      <c r="D274" s="279"/>
      <c r="E274" s="280"/>
      <c r="F274" s="279"/>
      <c r="G274" s="279"/>
      <c r="H274" s="409"/>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82"/>
      <c r="AE274" s="282"/>
      <c r="AF274" s="282"/>
      <c r="AG274" s="282"/>
      <c r="AH274" s="282"/>
      <c r="AI274" s="282"/>
      <c r="AJ274" s="282"/>
      <c r="AK274" s="282"/>
      <c r="AL274" s="282"/>
      <c r="AM274" s="282"/>
      <c r="AN274" s="282"/>
      <c r="AO274" s="282"/>
      <c r="AP274" s="282"/>
      <c r="AQ274" s="282"/>
      <c r="AR274" s="282"/>
      <c r="AS274" s="282"/>
      <c r="AT274" s="282"/>
      <c r="AU274" s="282"/>
      <c r="AV274" s="282"/>
      <c r="AW274" s="282"/>
      <c r="AX274" s="282"/>
      <c r="AY274" s="282"/>
      <c r="AZ274" s="282"/>
      <c r="BA274" s="282"/>
      <c r="BB274" s="282"/>
      <c r="BC274" s="282"/>
      <c r="BD274" s="282"/>
      <c r="BE274" s="282"/>
      <c r="BF274" s="282"/>
      <c r="BG274" s="282"/>
      <c r="BH274" s="282"/>
      <c r="BI274" s="282"/>
      <c r="BJ274" s="278"/>
      <c r="BK274" s="278"/>
      <c r="BL274" s="278"/>
      <c r="BM274" s="278"/>
      <c r="BN274" s="278"/>
      <c r="BO274" s="278"/>
      <c r="BP274" s="278"/>
      <c r="BQ274" s="278"/>
      <c r="BR274" s="278"/>
      <c r="BS274" s="278"/>
      <c r="BT274" s="278"/>
      <c r="BU274" s="278"/>
      <c r="BV274" s="278"/>
      <c r="BW274" s="278"/>
      <c r="BX274" s="278"/>
      <c r="BY274" s="278"/>
      <c r="BZ274" s="278"/>
      <c r="CA274" s="278"/>
      <c r="CB274" s="278"/>
      <c r="CC274" s="278"/>
      <c r="CD274" s="278"/>
      <c r="CE274" s="278"/>
      <c r="CF274" s="278"/>
      <c r="CG274" s="278"/>
      <c r="CH274" s="278"/>
      <c r="CI274" s="278"/>
      <c r="CJ274" s="278"/>
      <c r="CK274" s="278"/>
      <c r="CL274" s="278"/>
      <c r="CM274" s="278"/>
      <c r="CN274" s="278"/>
      <c r="CO274" s="278"/>
      <c r="CP274" s="278"/>
      <c r="CQ274" s="278"/>
      <c r="CR274" s="278"/>
      <c r="CS274" s="278"/>
      <c r="CT274" s="278"/>
      <c r="CU274" s="278"/>
      <c r="CV274" s="278"/>
      <c r="CW274" s="278"/>
      <c r="CX274" s="278"/>
      <c r="CY274" s="278"/>
      <c r="CZ274" s="278"/>
      <c r="DA274" s="278"/>
      <c r="DB274" s="278"/>
      <c r="DC274" s="278"/>
      <c r="DD274" s="278"/>
      <c r="DE274" s="278"/>
      <c r="DF274" s="278"/>
      <c r="DG274" s="278"/>
      <c r="DH274" s="278"/>
      <c r="DI274" s="278"/>
      <c r="DJ274" s="278"/>
      <c r="DK274" s="278"/>
      <c r="DL274" s="278"/>
    </row>
    <row r="275" spans="1:116" ht="15.75" customHeight="1" x14ac:dyDescent="0.25">
      <c r="A275" s="466"/>
      <c r="B275" s="466"/>
      <c r="C275" s="467"/>
      <c r="D275" s="279"/>
      <c r="E275" s="280"/>
      <c r="F275" s="279"/>
      <c r="G275" s="279"/>
      <c r="H275" s="409"/>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282"/>
      <c r="AF275" s="282"/>
      <c r="AG275" s="282"/>
      <c r="AH275" s="282"/>
      <c r="AI275" s="282"/>
      <c r="AJ275" s="282"/>
      <c r="AK275" s="282"/>
      <c r="AL275" s="282"/>
      <c r="AM275" s="282"/>
      <c r="AN275" s="282"/>
      <c r="AO275" s="282"/>
      <c r="AP275" s="282"/>
      <c r="AQ275" s="282"/>
      <c r="AR275" s="282"/>
      <c r="AS275" s="282"/>
      <c r="AT275" s="282"/>
      <c r="AU275" s="282"/>
      <c r="AV275" s="282"/>
      <c r="AW275" s="282"/>
      <c r="AX275" s="282"/>
      <c r="AY275" s="282"/>
      <c r="AZ275" s="282"/>
      <c r="BA275" s="282"/>
      <c r="BB275" s="282"/>
      <c r="BC275" s="282"/>
      <c r="BD275" s="282"/>
      <c r="BE275" s="282"/>
      <c r="BF275" s="282"/>
      <c r="BG275" s="282"/>
      <c r="BH275" s="282"/>
      <c r="BI275" s="282"/>
      <c r="BJ275" s="278"/>
      <c r="BK275" s="278"/>
      <c r="BL275" s="278"/>
      <c r="BM275" s="278"/>
      <c r="BN275" s="278"/>
      <c r="BO275" s="278"/>
      <c r="BP275" s="278"/>
      <c r="BQ275" s="278"/>
      <c r="BR275" s="278"/>
      <c r="BS275" s="278"/>
      <c r="BT275" s="278"/>
      <c r="BU275" s="278"/>
      <c r="BV275" s="278"/>
      <c r="BW275" s="278"/>
      <c r="BX275" s="278"/>
      <c r="BY275" s="278"/>
      <c r="BZ275" s="278"/>
      <c r="CA275" s="278"/>
      <c r="CB275" s="278"/>
      <c r="CC275" s="278"/>
      <c r="CD275" s="278"/>
      <c r="CE275" s="278"/>
      <c r="CF275" s="278"/>
      <c r="CG275" s="278"/>
      <c r="CH275" s="278"/>
      <c r="CI275" s="278"/>
      <c r="CJ275" s="278"/>
      <c r="CK275" s="278"/>
      <c r="CL275" s="278"/>
      <c r="CM275" s="278"/>
      <c r="CN275" s="278"/>
      <c r="CO275" s="278"/>
      <c r="CP275" s="278"/>
      <c r="CQ275" s="278"/>
      <c r="CR275" s="278"/>
      <c r="CS275" s="278"/>
      <c r="CT275" s="278"/>
      <c r="CU275" s="278"/>
      <c r="CV275" s="278"/>
      <c r="CW275" s="278"/>
      <c r="CX275" s="278"/>
      <c r="CY275" s="278"/>
      <c r="CZ275" s="278"/>
      <c r="DA275" s="278"/>
      <c r="DB275" s="278"/>
      <c r="DC275" s="278"/>
      <c r="DD275" s="278"/>
      <c r="DE275" s="278"/>
      <c r="DF275" s="278"/>
      <c r="DG275" s="278"/>
      <c r="DH275" s="278"/>
      <c r="DI275" s="278"/>
      <c r="DJ275" s="278"/>
      <c r="DK275" s="278"/>
      <c r="DL275" s="278"/>
    </row>
    <row r="276" spans="1:116" ht="15.75" customHeight="1" x14ac:dyDescent="0.25">
      <c r="A276" s="466"/>
      <c r="B276" s="466"/>
      <c r="C276" s="467"/>
      <c r="D276" s="279"/>
      <c r="E276" s="280"/>
      <c r="F276" s="279"/>
      <c r="G276" s="279"/>
      <c r="H276" s="409"/>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282"/>
      <c r="AE276" s="282"/>
      <c r="AF276" s="282"/>
      <c r="AG276" s="282"/>
      <c r="AH276" s="282"/>
      <c r="AI276" s="282"/>
      <c r="AJ276" s="282"/>
      <c r="AK276" s="282"/>
      <c r="AL276" s="282"/>
      <c r="AM276" s="282"/>
      <c r="AN276" s="282"/>
      <c r="AO276" s="282"/>
      <c r="AP276" s="282"/>
      <c r="AQ276" s="282"/>
      <c r="AR276" s="282"/>
      <c r="AS276" s="282"/>
      <c r="AT276" s="282"/>
      <c r="AU276" s="282"/>
      <c r="AV276" s="282"/>
      <c r="AW276" s="282"/>
      <c r="AX276" s="282"/>
      <c r="AY276" s="282"/>
      <c r="AZ276" s="282"/>
      <c r="BA276" s="282"/>
      <c r="BB276" s="282"/>
      <c r="BC276" s="282"/>
      <c r="BD276" s="282"/>
      <c r="BE276" s="282"/>
      <c r="BF276" s="282"/>
      <c r="BG276" s="282"/>
      <c r="BH276" s="282"/>
      <c r="BI276" s="282"/>
      <c r="BJ276" s="278"/>
      <c r="BK276" s="278"/>
      <c r="BL276" s="278"/>
      <c r="BM276" s="278"/>
      <c r="BN276" s="278"/>
      <c r="BO276" s="278"/>
      <c r="BP276" s="278"/>
      <c r="BQ276" s="278"/>
      <c r="BR276" s="278"/>
      <c r="BS276" s="278"/>
      <c r="BT276" s="278"/>
      <c r="BU276" s="278"/>
      <c r="BV276" s="278"/>
      <c r="BW276" s="278"/>
      <c r="BX276" s="278"/>
      <c r="BY276" s="278"/>
      <c r="BZ276" s="278"/>
      <c r="CA276" s="278"/>
      <c r="CB276" s="278"/>
      <c r="CC276" s="278"/>
      <c r="CD276" s="278"/>
      <c r="CE276" s="278"/>
      <c r="CF276" s="278"/>
      <c r="CG276" s="278"/>
      <c r="CH276" s="278"/>
      <c r="CI276" s="278"/>
      <c r="CJ276" s="278"/>
      <c r="CK276" s="278"/>
      <c r="CL276" s="278"/>
      <c r="CM276" s="278"/>
      <c r="CN276" s="278"/>
      <c r="CO276" s="278"/>
      <c r="CP276" s="278"/>
      <c r="CQ276" s="278"/>
      <c r="CR276" s="278"/>
      <c r="CS276" s="278"/>
      <c r="CT276" s="278"/>
      <c r="CU276" s="278"/>
      <c r="CV276" s="278"/>
      <c r="CW276" s="278"/>
      <c r="CX276" s="278"/>
      <c r="CY276" s="278"/>
      <c r="CZ276" s="278"/>
      <c r="DA276" s="278"/>
      <c r="DB276" s="278"/>
      <c r="DC276" s="278"/>
      <c r="DD276" s="278"/>
      <c r="DE276" s="278"/>
      <c r="DF276" s="278"/>
      <c r="DG276" s="278"/>
      <c r="DH276" s="278"/>
      <c r="DI276" s="278"/>
      <c r="DJ276" s="278"/>
      <c r="DK276" s="278"/>
      <c r="DL276" s="278"/>
    </row>
    <row r="277" spans="1:116" ht="15.75" customHeight="1" x14ac:dyDescent="0.25">
      <c r="A277" s="466"/>
      <c r="B277" s="466"/>
      <c r="C277" s="467"/>
      <c r="D277" s="279"/>
      <c r="E277" s="280"/>
      <c r="F277" s="279"/>
      <c r="G277" s="279"/>
      <c r="H277" s="409"/>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282"/>
      <c r="AE277" s="282"/>
      <c r="AF277" s="282"/>
      <c r="AG277" s="282"/>
      <c r="AH277" s="282"/>
      <c r="AI277" s="282"/>
      <c r="AJ277" s="282"/>
      <c r="AK277" s="282"/>
      <c r="AL277" s="282"/>
      <c r="AM277" s="282"/>
      <c r="AN277" s="282"/>
      <c r="AO277" s="282"/>
      <c r="AP277" s="282"/>
      <c r="AQ277" s="282"/>
      <c r="AR277" s="282"/>
      <c r="AS277" s="282"/>
      <c r="AT277" s="282"/>
      <c r="AU277" s="282"/>
      <c r="AV277" s="282"/>
      <c r="AW277" s="282"/>
      <c r="AX277" s="282"/>
      <c r="AY277" s="282"/>
      <c r="AZ277" s="282"/>
      <c r="BA277" s="282"/>
      <c r="BB277" s="282"/>
      <c r="BC277" s="282"/>
      <c r="BD277" s="282"/>
      <c r="BE277" s="282"/>
      <c r="BF277" s="282"/>
      <c r="BG277" s="282"/>
      <c r="BH277" s="282"/>
      <c r="BI277" s="282"/>
      <c r="BJ277" s="278"/>
      <c r="BK277" s="278"/>
      <c r="BL277" s="278"/>
      <c r="BM277" s="278"/>
      <c r="BN277" s="278"/>
      <c r="BO277" s="278"/>
      <c r="BP277" s="278"/>
      <c r="BQ277" s="278"/>
      <c r="BR277" s="278"/>
      <c r="BS277" s="278"/>
      <c r="BT277" s="278"/>
      <c r="BU277" s="278"/>
      <c r="BV277" s="278"/>
      <c r="BW277" s="278"/>
      <c r="BX277" s="278"/>
      <c r="BY277" s="278"/>
      <c r="BZ277" s="278"/>
      <c r="CA277" s="278"/>
      <c r="CB277" s="278"/>
      <c r="CC277" s="278"/>
      <c r="CD277" s="278"/>
      <c r="CE277" s="278"/>
      <c r="CF277" s="278"/>
      <c r="CG277" s="278"/>
      <c r="CH277" s="278"/>
      <c r="CI277" s="278"/>
      <c r="CJ277" s="278"/>
      <c r="CK277" s="278"/>
      <c r="CL277" s="278"/>
      <c r="CM277" s="278"/>
      <c r="CN277" s="278"/>
      <c r="CO277" s="278"/>
      <c r="CP277" s="278"/>
      <c r="CQ277" s="278"/>
      <c r="CR277" s="278"/>
      <c r="CS277" s="278"/>
      <c r="CT277" s="278"/>
      <c r="CU277" s="278"/>
      <c r="CV277" s="278"/>
      <c r="CW277" s="278"/>
      <c r="CX277" s="278"/>
      <c r="CY277" s="278"/>
      <c r="CZ277" s="278"/>
      <c r="DA277" s="278"/>
      <c r="DB277" s="278"/>
      <c r="DC277" s="278"/>
      <c r="DD277" s="278"/>
      <c r="DE277" s="278"/>
      <c r="DF277" s="278"/>
      <c r="DG277" s="278"/>
      <c r="DH277" s="278"/>
      <c r="DI277" s="278"/>
      <c r="DJ277" s="278"/>
      <c r="DK277" s="278"/>
      <c r="DL277" s="278"/>
    </row>
    <row r="278" spans="1:116" ht="15.75" customHeight="1" x14ac:dyDescent="0.25">
      <c r="A278" s="466"/>
      <c r="B278" s="466"/>
      <c r="C278" s="467"/>
      <c r="D278" s="279"/>
      <c r="E278" s="280"/>
      <c r="F278" s="279"/>
      <c r="G278" s="279"/>
      <c r="H278" s="409"/>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282"/>
      <c r="AE278" s="282"/>
      <c r="AF278" s="282"/>
      <c r="AG278" s="282"/>
      <c r="AH278" s="282"/>
      <c r="AI278" s="282"/>
      <c r="AJ278" s="282"/>
      <c r="AK278" s="282"/>
      <c r="AL278" s="282"/>
      <c r="AM278" s="282"/>
      <c r="AN278" s="282"/>
      <c r="AO278" s="282"/>
      <c r="AP278" s="282"/>
      <c r="AQ278" s="282"/>
      <c r="AR278" s="282"/>
      <c r="AS278" s="282"/>
      <c r="AT278" s="282"/>
      <c r="AU278" s="282"/>
      <c r="AV278" s="282"/>
      <c r="AW278" s="282"/>
      <c r="AX278" s="282"/>
      <c r="AY278" s="282"/>
      <c r="AZ278" s="282"/>
      <c r="BA278" s="282"/>
      <c r="BB278" s="282"/>
      <c r="BC278" s="282"/>
      <c r="BD278" s="282"/>
      <c r="BE278" s="282"/>
      <c r="BF278" s="282"/>
      <c r="BG278" s="282"/>
      <c r="BH278" s="282"/>
      <c r="BI278" s="282"/>
      <c r="BJ278" s="278"/>
      <c r="BK278" s="278"/>
      <c r="BL278" s="278"/>
      <c r="BM278" s="278"/>
      <c r="BN278" s="278"/>
      <c r="BO278" s="278"/>
      <c r="BP278" s="278"/>
      <c r="BQ278" s="278"/>
      <c r="BR278" s="278"/>
      <c r="BS278" s="278"/>
      <c r="BT278" s="278"/>
      <c r="BU278" s="278"/>
      <c r="BV278" s="278"/>
      <c r="BW278" s="278"/>
      <c r="BX278" s="278"/>
      <c r="BY278" s="278"/>
      <c r="BZ278" s="278"/>
      <c r="CA278" s="278"/>
      <c r="CB278" s="278"/>
      <c r="CC278" s="278"/>
      <c r="CD278" s="278"/>
      <c r="CE278" s="278"/>
      <c r="CF278" s="278"/>
      <c r="CG278" s="278"/>
      <c r="CH278" s="278"/>
      <c r="CI278" s="278"/>
      <c r="CJ278" s="278"/>
      <c r="CK278" s="278"/>
      <c r="CL278" s="278"/>
      <c r="CM278" s="278"/>
      <c r="CN278" s="278"/>
      <c r="CO278" s="278"/>
      <c r="CP278" s="278"/>
      <c r="CQ278" s="278"/>
      <c r="CR278" s="278"/>
      <c r="CS278" s="278"/>
      <c r="CT278" s="278"/>
      <c r="CU278" s="278"/>
      <c r="CV278" s="278"/>
      <c r="CW278" s="278"/>
      <c r="CX278" s="278"/>
      <c r="CY278" s="278"/>
      <c r="CZ278" s="278"/>
      <c r="DA278" s="278"/>
      <c r="DB278" s="278"/>
      <c r="DC278" s="278"/>
      <c r="DD278" s="278"/>
      <c r="DE278" s="278"/>
      <c r="DF278" s="278"/>
      <c r="DG278" s="278"/>
      <c r="DH278" s="278"/>
      <c r="DI278" s="278"/>
      <c r="DJ278" s="278"/>
      <c r="DK278" s="278"/>
      <c r="DL278" s="278"/>
    </row>
    <row r="279" spans="1:116" ht="15.75" customHeight="1" x14ac:dyDescent="0.25">
      <c r="A279" s="466"/>
      <c r="B279" s="466"/>
      <c r="C279" s="467"/>
      <c r="D279" s="279"/>
      <c r="E279" s="280"/>
      <c r="F279" s="279"/>
      <c r="G279" s="279"/>
      <c r="H279" s="409"/>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282"/>
      <c r="AE279" s="282"/>
      <c r="AF279" s="282"/>
      <c r="AG279" s="282"/>
      <c r="AH279" s="282"/>
      <c r="AI279" s="282"/>
      <c r="AJ279" s="282"/>
      <c r="AK279" s="282"/>
      <c r="AL279" s="282"/>
      <c r="AM279" s="282"/>
      <c r="AN279" s="282"/>
      <c r="AO279" s="282"/>
      <c r="AP279" s="282"/>
      <c r="AQ279" s="282"/>
      <c r="AR279" s="282"/>
      <c r="AS279" s="282"/>
      <c r="AT279" s="282"/>
      <c r="AU279" s="282"/>
      <c r="AV279" s="282"/>
      <c r="AW279" s="282"/>
      <c r="AX279" s="282"/>
      <c r="AY279" s="282"/>
      <c r="AZ279" s="282"/>
      <c r="BA279" s="282"/>
      <c r="BB279" s="282"/>
      <c r="BC279" s="282"/>
      <c r="BD279" s="282"/>
      <c r="BE279" s="282"/>
      <c r="BF279" s="282"/>
      <c r="BG279" s="282"/>
      <c r="BH279" s="282"/>
      <c r="BI279" s="282"/>
      <c r="BJ279" s="278"/>
      <c r="BK279" s="278"/>
      <c r="BL279" s="278"/>
      <c r="BM279" s="278"/>
      <c r="BN279" s="278"/>
      <c r="BO279" s="278"/>
      <c r="BP279" s="278"/>
      <c r="BQ279" s="278"/>
      <c r="BR279" s="278"/>
      <c r="BS279" s="278"/>
      <c r="BT279" s="278"/>
      <c r="BU279" s="278"/>
      <c r="BV279" s="278"/>
      <c r="BW279" s="278"/>
      <c r="BX279" s="278"/>
      <c r="BY279" s="278"/>
      <c r="BZ279" s="278"/>
      <c r="CA279" s="278"/>
      <c r="CB279" s="278"/>
      <c r="CC279" s="278"/>
      <c r="CD279" s="278"/>
      <c r="CE279" s="278"/>
      <c r="CF279" s="278"/>
      <c r="CG279" s="278"/>
      <c r="CH279" s="278"/>
      <c r="CI279" s="278"/>
      <c r="CJ279" s="278"/>
      <c r="CK279" s="278"/>
      <c r="CL279" s="278"/>
      <c r="CM279" s="278"/>
      <c r="CN279" s="278"/>
      <c r="CO279" s="278"/>
      <c r="CP279" s="278"/>
      <c r="CQ279" s="278"/>
      <c r="CR279" s="278"/>
      <c r="CS279" s="278"/>
      <c r="CT279" s="278"/>
      <c r="CU279" s="278"/>
      <c r="CV279" s="278"/>
      <c r="CW279" s="278"/>
      <c r="CX279" s="278"/>
      <c r="CY279" s="278"/>
      <c r="CZ279" s="278"/>
      <c r="DA279" s="278"/>
      <c r="DB279" s="278"/>
      <c r="DC279" s="278"/>
      <c r="DD279" s="278"/>
      <c r="DE279" s="278"/>
      <c r="DF279" s="278"/>
      <c r="DG279" s="278"/>
      <c r="DH279" s="278"/>
      <c r="DI279" s="278"/>
      <c r="DJ279" s="278"/>
      <c r="DK279" s="278"/>
      <c r="DL279" s="278"/>
    </row>
    <row r="280" spans="1:116" ht="15.75" customHeight="1" x14ac:dyDescent="0.25">
      <c r="A280" s="466"/>
      <c r="B280" s="466"/>
      <c r="C280" s="467"/>
      <c r="D280" s="279"/>
      <c r="E280" s="280"/>
      <c r="F280" s="279"/>
      <c r="G280" s="279"/>
      <c r="H280" s="409"/>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282"/>
      <c r="AE280" s="282"/>
      <c r="AF280" s="282"/>
      <c r="AG280" s="282"/>
      <c r="AH280" s="282"/>
      <c r="AI280" s="282"/>
      <c r="AJ280" s="282"/>
      <c r="AK280" s="282"/>
      <c r="AL280" s="282"/>
      <c r="AM280" s="282"/>
      <c r="AN280" s="282"/>
      <c r="AO280" s="282"/>
      <c r="AP280" s="282"/>
      <c r="AQ280" s="282"/>
      <c r="AR280" s="282"/>
      <c r="AS280" s="282"/>
      <c r="AT280" s="282"/>
      <c r="AU280" s="282"/>
      <c r="AV280" s="282"/>
      <c r="AW280" s="282"/>
      <c r="AX280" s="282"/>
      <c r="AY280" s="282"/>
      <c r="AZ280" s="282"/>
      <c r="BA280" s="282"/>
      <c r="BB280" s="282"/>
      <c r="BC280" s="282"/>
      <c r="BD280" s="282"/>
      <c r="BE280" s="282"/>
      <c r="BF280" s="282"/>
      <c r="BG280" s="282"/>
      <c r="BH280" s="282"/>
      <c r="BI280" s="282"/>
      <c r="BJ280" s="278"/>
      <c r="BK280" s="278"/>
      <c r="BL280" s="278"/>
      <c r="BM280" s="278"/>
      <c r="BN280" s="278"/>
      <c r="BO280" s="278"/>
      <c r="BP280" s="278"/>
      <c r="BQ280" s="278"/>
      <c r="BR280" s="278"/>
      <c r="BS280" s="278"/>
      <c r="BT280" s="278"/>
      <c r="BU280" s="278"/>
      <c r="BV280" s="278"/>
      <c r="BW280" s="278"/>
      <c r="BX280" s="278"/>
      <c r="BY280" s="278"/>
      <c r="BZ280" s="278"/>
      <c r="CA280" s="278"/>
      <c r="CB280" s="278"/>
      <c r="CC280" s="278"/>
      <c r="CD280" s="278"/>
      <c r="CE280" s="278"/>
      <c r="CF280" s="278"/>
      <c r="CG280" s="278"/>
      <c r="CH280" s="278"/>
      <c r="CI280" s="278"/>
      <c r="CJ280" s="278"/>
      <c r="CK280" s="278"/>
      <c r="CL280" s="278"/>
      <c r="CM280" s="278"/>
      <c r="CN280" s="278"/>
      <c r="CO280" s="278"/>
      <c r="CP280" s="278"/>
      <c r="CQ280" s="278"/>
      <c r="CR280" s="278"/>
      <c r="CS280" s="278"/>
      <c r="CT280" s="278"/>
      <c r="CU280" s="278"/>
      <c r="CV280" s="278"/>
      <c r="CW280" s="278"/>
      <c r="CX280" s="278"/>
      <c r="CY280" s="278"/>
      <c r="CZ280" s="278"/>
      <c r="DA280" s="278"/>
      <c r="DB280" s="278"/>
      <c r="DC280" s="278"/>
      <c r="DD280" s="278"/>
      <c r="DE280" s="278"/>
      <c r="DF280" s="278"/>
      <c r="DG280" s="278"/>
      <c r="DH280" s="278"/>
      <c r="DI280" s="278"/>
      <c r="DJ280" s="278"/>
      <c r="DK280" s="278"/>
      <c r="DL280" s="278"/>
    </row>
    <row r="281" spans="1:116" ht="15.75" customHeight="1" x14ac:dyDescent="0.25">
      <c r="A281" s="466"/>
      <c r="B281" s="466"/>
      <c r="C281" s="467"/>
      <c r="D281" s="279"/>
      <c r="E281" s="280"/>
      <c r="F281" s="279"/>
      <c r="G281" s="279"/>
      <c r="H281" s="409"/>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282"/>
      <c r="AE281" s="282"/>
      <c r="AF281" s="282"/>
      <c r="AG281" s="282"/>
      <c r="AH281" s="282"/>
      <c r="AI281" s="282"/>
      <c r="AJ281" s="282"/>
      <c r="AK281" s="282"/>
      <c r="AL281" s="282"/>
      <c r="AM281" s="282"/>
      <c r="AN281" s="282"/>
      <c r="AO281" s="282"/>
      <c r="AP281" s="282"/>
      <c r="AQ281" s="282"/>
      <c r="AR281" s="282"/>
      <c r="AS281" s="282"/>
      <c r="AT281" s="282"/>
      <c r="AU281" s="282"/>
      <c r="AV281" s="282"/>
      <c r="AW281" s="282"/>
      <c r="AX281" s="282"/>
      <c r="AY281" s="282"/>
      <c r="AZ281" s="282"/>
      <c r="BA281" s="282"/>
      <c r="BB281" s="282"/>
      <c r="BC281" s="282"/>
      <c r="BD281" s="282"/>
      <c r="BE281" s="282"/>
      <c r="BF281" s="282"/>
      <c r="BG281" s="282"/>
      <c r="BH281" s="282"/>
      <c r="BI281" s="282"/>
      <c r="BJ281" s="278"/>
      <c r="BK281" s="278"/>
      <c r="BL281" s="278"/>
      <c r="BM281" s="278"/>
      <c r="BN281" s="278"/>
      <c r="BO281" s="278"/>
      <c r="BP281" s="278"/>
      <c r="BQ281" s="278"/>
      <c r="BR281" s="278"/>
      <c r="BS281" s="278"/>
      <c r="BT281" s="278"/>
      <c r="BU281" s="278"/>
      <c r="BV281" s="278"/>
      <c r="BW281" s="278"/>
      <c r="BX281" s="278"/>
      <c r="BY281" s="278"/>
      <c r="BZ281" s="278"/>
      <c r="CA281" s="278"/>
      <c r="CB281" s="278"/>
      <c r="CC281" s="278"/>
      <c r="CD281" s="278"/>
      <c r="CE281" s="278"/>
      <c r="CF281" s="278"/>
      <c r="CG281" s="278"/>
      <c r="CH281" s="278"/>
      <c r="CI281" s="278"/>
      <c r="CJ281" s="278"/>
      <c r="CK281" s="278"/>
      <c r="CL281" s="278"/>
      <c r="CM281" s="278"/>
      <c r="CN281" s="278"/>
      <c r="CO281" s="278"/>
      <c r="CP281" s="278"/>
      <c r="CQ281" s="278"/>
      <c r="CR281" s="278"/>
      <c r="CS281" s="278"/>
      <c r="CT281" s="278"/>
      <c r="CU281" s="278"/>
      <c r="CV281" s="278"/>
      <c r="CW281" s="278"/>
      <c r="CX281" s="278"/>
      <c r="CY281" s="278"/>
      <c r="CZ281" s="278"/>
      <c r="DA281" s="278"/>
      <c r="DB281" s="278"/>
      <c r="DC281" s="278"/>
      <c r="DD281" s="278"/>
      <c r="DE281" s="278"/>
      <c r="DF281" s="278"/>
      <c r="DG281" s="278"/>
      <c r="DH281" s="278"/>
      <c r="DI281" s="278"/>
      <c r="DJ281" s="278"/>
      <c r="DK281" s="278"/>
      <c r="DL281" s="278"/>
    </row>
    <row r="282" spans="1:116" ht="15.75" customHeight="1" x14ac:dyDescent="0.25">
      <c r="A282" s="466"/>
      <c r="B282" s="466"/>
      <c r="C282" s="467"/>
      <c r="D282" s="279"/>
      <c r="E282" s="280"/>
      <c r="F282" s="279"/>
      <c r="G282" s="279"/>
      <c r="H282" s="409"/>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282"/>
      <c r="AE282" s="282"/>
      <c r="AF282" s="282"/>
      <c r="AG282" s="282"/>
      <c r="AH282" s="282"/>
      <c r="AI282" s="282"/>
      <c r="AJ282" s="282"/>
      <c r="AK282" s="282"/>
      <c r="AL282" s="282"/>
      <c r="AM282" s="282"/>
      <c r="AN282" s="282"/>
      <c r="AO282" s="282"/>
      <c r="AP282" s="282"/>
      <c r="AQ282" s="282"/>
      <c r="AR282" s="282"/>
      <c r="AS282" s="282"/>
      <c r="AT282" s="282"/>
      <c r="AU282" s="282"/>
      <c r="AV282" s="282"/>
      <c r="AW282" s="282"/>
      <c r="AX282" s="282"/>
      <c r="AY282" s="282"/>
      <c r="AZ282" s="282"/>
      <c r="BA282" s="282"/>
      <c r="BB282" s="282"/>
      <c r="BC282" s="282"/>
      <c r="BD282" s="282"/>
      <c r="BE282" s="282"/>
      <c r="BF282" s="282"/>
      <c r="BG282" s="282"/>
      <c r="BH282" s="282"/>
      <c r="BI282" s="282"/>
      <c r="BJ282" s="278"/>
      <c r="BK282" s="278"/>
      <c r="BL282" s="278"/>
      <c r="BM282" s="278"/>
      <c r="BN282" s="278"/>
      <c r="BO282" s="278"/>
      <c r="BP282" s="278"/>
      <c r="BQ282" s="278"/>
      <c r="BR282" s="278"/>
      <c r="BS282" s="278"/>
      <c r="BT282" s="278"/>
      <c r="BU282" s="278"/>
      <c r="BV282" s="278"/>
      <c r="BW282" s="278"/>
      <c r="BX282" s="278"/>
      <c r="BY282" s="278"/>
      <c r="BZ282" s="278"/>
      <c r="CA282" s="278"/>
      <c r="CB282" s="278"/>
      <c r="CC282" s="278"/>
      <c r="CD282" s="278"/>
      <c r="CE282" s="278"/>
      <c r="CF282" s="278"/>
      <c r="CG282" s="278"/>
      <c r="CH282" s="278"/>
      <c r="CI282" s="278"/>
      <c r="CJ282" s="278"/>
      <c r="CK282" s="278"/>
      <c r="CL282" s="278"/>
      <c r="CM282" s="278"/>
      <c r="CN282" s="278"/>
      <c r="CO282" s="278"/>
      <c r="CP282" s="278"/>
      <c r="CQ282" s="278"/>
      <c r="CR282" s="278"/>
      <c r="CS282" s="278"/>
      <c r="CT282" s="278"/>
      <c r="CU282" s="278"/>
      <c r="CV282" s="278"/>
      <c r="CW282" s="278"/>
      <c r="CX282" s="278"/>
      <c r="CY282" s="278"/>
      <c r="CZ282" s="278"/>
      <c r="DA282" s="278"/>
      <c r="DB282" s="278"/>
      <c r="DC282" s="278"/>
      <c r="DD282" s="278"/>
      <c r="DE282" s="278"/>
      <c r="DF282" s="278"/>
      <c r="DG282" s="278"/>
      <c r="DH282" s="278"/>
      <c r="DI282" s="278"/>
      <c r="DJ282" s="278"/>
      <c r="DK282" s="278"/>
      <c r="DL282" s="278"/>
    </row>
    <row r="283" spans="1:116" ht="15.75" customHeight="1" x14ac:dyDescent="0.25">
      <c r="A283" s="466"/>
      <c r="B283" s="466"/>
      <c r="C283" s="467"/>
      <c r="D283" s="279"/>
      <c r="E283" s="280"/>
      <c r="F283" s="279"/>
      <c r="G283" s="279"/>
      <c r="H283" s="409"/>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282"/>
      <c r="AE283" s="282"/>
      <c r="AF283" s="282"/>
      <c r="AG283" s="282"/>
      <c r="AH283" s="282"/>
      <c r="AI283" s="282"/>
      <c r="AJ283" s="282"/>
      <c r="AK283" s="282"/>
      <c r="AL283" s="282"/>
      <c r="AM283" s="282"/>
      <c r="AN283" s="282"/>
      <c r="AO283" s="282"/>
      <c r="AP283" s="282"/>
      <c r="AQ283" s="282"/>
      <c r="AR283" s="282"/>
      <c r="AS283" s="282"/>
      <c r="AT283" s="282"/>
      <c r="AU283" s="282"/>
      <c r="AV283" s="282"/>
      <c r="AW283" s="282"/>
      <c r="AX283" s="282"/>
      <c r="AY283" s="282"/>
      <c r="AZ283" s="282"/>
      <c r="BA283" s="282"/>
      <c r="BB283" s="282"/>
      <c r="BC283" s="282"/>
      <c r="BD283" s="282"/>
      <c r="BE283" s="282"/>
      <c r="BF283" s="282"/>
      <c r="BG283" s="282"/>
      <c r="BH283" s="282"/>
      <c r="BI283" s="282"/>
      <c r="BJ283" s="278"/>
      <c r="BK283" s="278"/>
      <c r="BL283" s="278"/>
      <c r="BM283" s="278"/>
      <c r="BN283" s="278"/>
      <c r="BO283" s="278"/>
      <c r="BP283" s="278"/>
      <c r="BQ283" s="278"/>
      <c r="BR283" s="278"/>
      <c r="BS283" s="278"/>
      <c r="BT283" s="278"/>
      <c r="BU283" s="278"/>
      <c r="BV283" s="278"/>
      <c r="BW283" s="278"/>
      <c r="BX283" s="278"/>
      <c r="BY283" s="278"/>
      <c r="BZ283" s="278"/>
      <c r="CA283" s="278"/>
      <c r="CB283" s="278"/>
      <c r="CC283" s="278"/>
      <c r="CD283" s="278"/>
      <c r="CE283" s="278"/>
      <c r="CF283" s="278"/>
      <c r="CG283" s="278"/>
      <c r="CH283" s="278"/>
      <c r="CI283" s="278"/>
      <c r="CJ283" s="278"/>
      <c r="CK283" s="278"/>
      <c r="CL283" s="278"/>
      <c r="CM283" s="278"/>
      <c r="CN283" s="278"/>
      <c r="CO283" s="278"/>
      <c r="CP283" s="278"/>
      <c r="CQ283" s="278"/>
      <c r="CR283" s="278"/>
      <c r="CS283" s="278"/>
      <c r="CT283" s="278"/>
      <c r="CU283" s="278"/>
      <c r="CV283" s="278"/>
      <c r="CW283" s="278"/>
      <c r="CX283" s="278"/>
      <c r="CY283" s="278"/>
      <c r="CZ283" s="278"/>
      <c r="DA283" s="278"/>
      <c r="DB283" s="278"/>
      <c r="DC283" s="278"/>
      <c r="DD283" s="278"/>
      <c r="DE283" s="278"/>
      <c r="DF283" s="278"/>
      <c r="DG283" s="278"/>
      <c r="DH283" s="278"/>
      <c r="DI283" s="278"/>
      <c r="DJ283" s="278"/>
      <c r="DK283" s="278"/>
      <c r="DL283" s="278"/>
    </row>
    <row r="284" spans="1:116" ht="15.75" customHeight="1" x14ac:dyDescent="0.25">
      <c r="A284" s="466"/>
      <c r="B284" s="466"/>
      <c r="C284" s="467"/>
      <c r="D284" s="279"/>
      <c r="E284" s="280"/>
      <c r="F284" s="279"/>
      <c r="G284" s="279"/>
      <c r="H284" s="409"/>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282"/>
      <c r="AE284" s="282"/>
      <c r="AF284" s="282"/>
      <c r="AG284" s="282"/>
      <c r="AH284" s="282"/>
      <c r="AI284" s="282"/>
      <c r="AJ284" s="282"/>
      <c r="AK284" s="282"/>
      <c r="AL284" s="282"/>
      <c r="AM284" s="282"/>
      <c r="AN284" s="282"/>
      <c r="AO284" s="282"/>
      <c r="AP284" s="282"/>
      <c r="AQ284" s="282"/>
      <c r="AR284" s="282"/>
      <c r="AS284" s="282"/>
      <c r="AT284" s="282"/>
      <c r="AU284" s="282"/>
      <c r="AV284" s="282"/>
      <c r="AW284" s="282"/>
      <c r="AX284" s="282"/>
      <c r="AY284" s="282"/>
      <c r="AZ284" s="282"/>
      <c r="BA284" s="282"/>
      <c r="BB284" s="282"/>
      <c r="BC284" s="282"/>
      <c r="BD284" s="282"/>
      <c r="BE284" s="282"/>
      <c r="BF284" s="282"/>
      <c r="BG284" s="282"/>
      <c r="BH284" s="282"/>
      <c r="BI284" s="282"/>
      <c r="BJ284" s="278"/>
      <c r="BK284" s="278"/>
      <c r="BL284" s="278"/>
      <c r="BM284" s="278"/>
      <c r="BN284" s="278"/>
      <c r="BO284" s="278"/>
      <c r="BP284" s="278"/>
      <c r="BQ284" s="278"/>
      <c r="BR284" s="278"/>
      <c r="BS284" s="278"/>
      <c r="BT284" s="278"/>
      <c r="BU284" s="278"/>
      <c r="BV284" s="278"/>
      <c r="BW284" s="278"/>
      <c r="BX284" s="278"/>
      <c r="BY284" s="278"/>
      <c r="BZ284" s="278"/>
      <c r="CA284" s="278"/>
      <c r="CB284" s="278"/>
      <c r="CC284" s="278"/>
      <c r="CD284" s="278"/>
      <c r="CE284" s="278"/>
      <c r="CF284" s="278"/>
      <c r="CG284" s="278"/>
      <c r="CH284" s="278"/>
      <c r="CI284" s="278"/>
      <c r="CJ284" s="278"/>
      <c r="CK284" s="278"/>
      <c r="CL284" s="278"/>
      <c r="CM284" s="278"/>
      <c r="CN284" s="278"/>
      <c r="CO284" s="278"/>
      <c r="CP284" s="278"/>
      <c r="CQ284" s="278"/>
      <c r="CR284" s="278"/>
      <c r="CS284" s="278"/>
      <c r="CT284" s="278"/>
      <c r="CU284" s="278"/>
      <c r="CV284" s="278"/>
      <c r="CW284" s="278"/>
      <c r="CX284" s="278"/>
      <c r="CY284" s="278"/>
      <c r="CZ284" s="278"/>
      <c r="DA284" s="278"/>
      <c r="DB284" s="278"/>
      <c r="DC284" s="278"/>
      <c r="DD284" s="278"/>
      <c r="DE284" s="278"/>
      <c r="DF284" s="278"/>
      <c r="DG284" s="278"/>
      <c r="DH284" s="278"/>
      <c r="DI284" s="278"/>
      <c r="DJ284" s="278"/>
      <c r="DK284" s="278"/>
      <c r="DL284" s="278"/>
    </row>
    <row r="285" spans="1:116" ht="15.75" customHeight="1" x14ac:dyDescent="0.25">
      <c r="A285" s="466"/>
      <c r="B285" s="466"/>
      <c r="C285" s="467"/>
      <c r="D285" s="279"/>
      <c r="E285" s="280"/>
      <c r="F285" s="279"/>
      <c r="G285" s="279"/>
      <c r="H285" s="409"/>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282"/>
      <c r="AE285" s="282"/>
      <c r="AF285" s="282"/>
      <c r="AG285" s="282"/>
      <c r="AH285" s="282"/>
      <c r="AI285" s="282"/>
      <c r="AJ285" s="282"/>
      <c r="AK285" s="282"/>
      <c r="AL285" s="282"/>
      <c r="AM285" s="282"/>
      <c r="AN285" s="282"/>
      <c r="AO285" s="282"/>
      <c r="AP285" s="282"/>
      <c r="AQ285" s="282"/>
      <c r="AR285" s="282"/>
      <c r="AS285" s="282"/>
      <c r="AT285" s="282"/>
      <c r="AU285" s="282"/>
      <c r="AV285" s="282"/>
      <c r="AW285" s="282"/>
      <c r="AX285" s="282"/>
      <c r="AY285" s="282"/>
      <c r="AZ285" s="282"/>
      <c r="BA285" s="282"/>
      <c r="BB285" s="282"/>
      <c r="BC285" s="282"/>
      <c r="BD285" s="282"/>
      <c r="BE285" s="282"/>
      <c r="BF285" s="282"/>
      <c r="BG285" s="282"/>
      <c r="BH285" s="282"/>
      <c r="BI285" s="282"/>
      <c r="BJ285" s="278"/>
      <c r="BK285" s="278"/>
      <c r="BL285" s="278"/>
      <c r="BM285" s="278"/>
      <c r="BN285" s="278"/>
      <c r="BO285" s="278"/>
      <c r="BP285" s="278"/>
      <c r="BQ285" s="278"/>
      <c r="BR285" s="278"/>
      <c r="BS285" s="278"/>
      <c r="BT285" s="278"/>
      <c r="BU285" s="278"/>
      <c r="BV285" s="278"/>
      <c r="BW285" s="278"/>
      <c r="BX285" s="278"/>
      <c r="BY285" s="278"/>
      <c r="BZ285" s="278"/>
      <c r="CA285" s="278"/>
      <c r="CB285" s="278"/>
      <c r="CC285" s="278"/>
      <c r="CD285" s="278"/>
      <c r="CE285" s="278"/>
      <c r="CF285" s="278"/>
      <c r="CG285" s="278"/>
      <c r="CH285" s="278"/>
      <c r="CI285" s="278"/>
      <c r="CJ285" s="278"/>
      <c r="CK285" s="278"/>
      <c r="CL285" s="278"/>
      <c r="CM285" s="278"/>
      <c r="CN285" s="278"/>
      <c r="CO285" s="278"/>
      <c r="CP285" s="278"/>
      <c r="CQ285" s="278"/>
      <c r="CR285" s="278"/>
      <c r="CS285" s="278"/>
      <c r="CT285" s="278"/>
      <c r="CU285" s="278"/>
      <c r="CV285" s="278"/>
      <c r="CW285" s="278"/>
      <c r="CX285" s="278"/>
      <c r="CY285" s="278"/>
      <c r="CZ285" s="278"/>
      <c r="DA285" s="278"/>
      <c r="DB285" s="278"/>
      <c r="DC285" s="278"/>
      <c r="DD285" s="278"/>
      <c r="DE285" s="278"/>
      <c r="DF285" s="278"/>
      <c r="DG285" s="278"/>
      <c r="DH285" s="278"/>
      <c r="DI285" s="278"/>
      <c r="DJ285" s="278"/>
      <c r="DK285" s="278"/>
      <c r="DL285" s="278"/>
    </row>
    <row r="286" spans="1:116" ht="15.75" customHeight="1" x14ac:dyDescent="0.25">
      <c r="A286" s="466"/>
      <c r="B286" s="466"/>
      <c r="C286" s="467"/>
      <c r="D286" s="279"/>
      <c r="E286" s="280"/>
      <c r="F286" s="279"/>
      <c r="G286" s="279"/>
      <c r="H286" s="409"/>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282"/>
      <c r="AE286" s="282"/>
      <c r="AF286" s="282"/>
      <c r="AG286" s="282"/>
      <c r="AH286" s="282"/>
      <c r="AI286" s="282"/>
      <c r="AJ286" s="282"/>
      <c r="AK286" s="282"/>
      <c r="AL286" s="282"/>
      <c r="AM286" s="282"/>
      <c r="AN286" s="282"/>
      <c r="AO286" s="282"/>
      <c r="AP286" s="282"/>
      <c r="AQ286" s="282"/>
      <c r="AR286" s="282"/>
      <c r="AS286" s="282"/>
      <c r="AT286" s="282"/>
      <c r="AU286" s="282"/>
      <c r="AV286" s="282"/>
      <c r="AW286" s="282"/>
      <c r="AX286" s="282"/>
      <c r="AY286" s="282"/>
      <c r="AZ286" s="282"/>
      <c r="BA286" s="282"/>
      <c r="BB286" s="282"/>
      <c r="BC286" s="282"/>
      <c r="BD286" s="282"/>
      <c r="BE286" s="282"/>
      <c r="BF286" s="282"/>
      <c r="BG286" s="282"/>
      <c r="BH286" s="282"/>
      <c r="BI286" s="282"/>
      <c r="BJ286" s="278"/>
      <c r="BK286" s="278"/>
      <c r="BL286" s="278"/>
      <c r="BM286" s="278"/>
      <c r="BN286" s="278"/>
      <c r="BO286" s="278"/>
      <c r="BP286" s="278"/>
      <c r="BQ286" s="278"/>
      <c r="BR286" s="278"/>
      <c r="BS286" s="278"/>
      <c r="BT286" s="278"/>
      <c r="BU286" s="278"/>
      <c r="BV286" s="278"/>
      <c r="BW286" s="278"/>
      <c r="BX286" s="278"/>
      <c r="BY286" s="278"/>
      <c r="BZ286" s="278"/>
      <c r="CA286" s="278"/>
      <c r="CB286" s="278"/>
      <c r="CC286" s="278"/>
      <c r="CD286" s="278"/>
      <c r="CE286" s="278"/>
      <c r="CF286" s="278"/>
      <c r="CG286" s="278"/>
      <c r="CH286" s="278"/>
      <c r="CI286" s="278"/>
      <c r="CJ286" s="278"/>
      <c r="CK286" s="278"/>
      <c r="CL286" s="278"/>
      <c r="CM286" s="278"/>
      <c r="CN286" s="278"/>
      <c r="CO286" s="278"/>
      <c r="CP286" s="278"/>
      <c r="CQ286" s="278"/>
      <c r="CR286" s="278"/>
      <c r="CS286" s="278"/>
      <c r="CT286" s="278"/>
      <c r="CU286" s="278"/>
      <c r="CV286" s="278"/>
      <c r="CW286" s="278"/>
      <c r="CX286" s="278"/>
      <c r="CY286" s="278"/>
      <c r="CZ286" s="278"/>
      <c r="DA286" s="278"/>
      <c r="DB286" s="278"/>
      <c r="DC286" s="278"/>
      <c r="DD286" s="278"/>
      <c r="DE286" s="278"/>
      <c r="DF286" s="278"/>
      <c r="DG286" s="278"/>
      <c r="DH286" s="278"/>
      <c r="DI286" s="278"/>
      <c r="DJ286" s="278"/>
      <c r="DK286" s="278"/>
      <c r="DL286" s="278"/>
    </row>
    <row r="287" spans="1:116" ht="15.75" customHeight="1" x14ac:dyDescent="0.25">
      <c r="A287" s="466"/>
      <c r="B287" s="466"/>
      <c r="C287" s="467"/>
      <c r="D287" s="279"/>
      <c r="E287" s="280"/>
      <c r="F287" s="279"/>
      <c r="G287" s="279"/>
      <c r="H287" s="409"/>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282"/>
      <c r="AE287" s="282"/>
      <c r="AF287" s="282"/>
      <c r="AG287" s="282"/>
      <c r="AH287" s="282"/>
      <c r="AI287" s="282"/>
      <c r="AJ287" s="282"/>
      <c r="AK287" s="282"/>
      <c r="AL287" s="282"/>
      <c r="AM287" s="282"/>
      <c r="AN287" s="282"/>
      <c r="AO287" s="282"/>
      <c r="AP287" s="282"/>
      <c r="AQ287" s="282"/>
      <c r="AR287" s="282"/>
      <c r="AS287" s="282"/>
      <c r="AT287" s="282"/>
      <c r="AU287" s="282"/>
      <c r="AV287" s="282"/>
      <c r="AW287" s="282"/>
      <c r="AX287" s="282"/>
      <c r="AY287" s="282"/>
      <c r="AZ287" s="282"/>
      <c r="BA287" s="282"/>
      <c r="BB287" s="282"/>
      <c r="BC287" s="282"/>
      <c r="BD287" s="282"/>
      <c r="BE287" s="282"/>
      <c r="BF287" s="282"/>
      <c r="BG287" s="282"/>
      <c r="BH287" s="282"/>
      <c r="BI287" s="282"/>
      <c r="BJ287" s="278"/>
      <c r="BK287" s="278"/>
      <c r="BL287" s="278"/>
      <c r="BM287" s="278"/>
      <c r="BN287" s="278"/>
      <c r="BO287" s="278"/>
      <c r="BP287" s="278"/>
      <c r="BQ287" s="278"/>
      <c r="BR287" s="278"/>
      <c r="BS287" s="278"/>
      <c r="BT287" s="278"/>
      <c r="BU287" s="278"/>
      <c r="BV287" s="278"/>
      <c r="BW287" s="278"/>
      <c r="BX287" s="278"/>
      <c r="BY287" s="278"/>
      <c r="BZ287" s="278"/>
      <c r="CA287" s="278"/>
      <c r="CB287" s="278"/>
      <c r="CC287" s="278"/>
      <c r="CD287" s="278"/>
      <c r="CE287" s="278"/>
      <c r="CF287" s="278"/>
      <c r="CG287" s="278"/>
      <c r="CH287" s="278"/>
      <c r="CI287" s="278"/>
      <c r="CJ287" s="278"/>
      <c r="CK287" s="278"/>
      <c r="CL287" s="278"/>
      <c r="CM287" s="278"/>
      <c r="CN287" s="278"/>
      <c r="CO287" s="278"/>
      <c r="CP287" s="278"/>
      <c r="CQ287" s="278"/>
      <c r="CR287" s="278"/>
      <c r="CS287" s="278"/>
      <c r="CT287" s="278"/>
      <c r="CU287" s="278"/>
      <c r="CV287" s="278"/>
      <c r="CW287" s="278"/>
      <c r="CX287" s="278"/>
      <c r="CY287" s="278"/>
      <c r="CZ287" s="278"/>
      <c r="DA287" s="278"/>
      <c r="DB287" s="278"/>
      <c r="DC287" s="278"/>
      <c r="DD287" s="278"/>
      <c r="DE287" s="278"/>
      <c r="DF287" s="278"/>
      <c r="DG287" s="278"/>
      <c r="DH287" s="278"/>
      <c r="DI287" s="278"/>
      <c r="DJ287" s="278"/>
      <c r="DK287" s="278"/>
      <c r="DL287" s="278"/>
    </row>
    <row r="288" spans="1:116" ht="15.75" customHeight="1" x14ac:dyDescent="0.25">
      <c r="A288" s="466"/>
      <c r="B288" s="466"/>
      <c r="C288" s="467"/>
      <c r="D288" s="279"/>
      <c r="E288" s="280"/>
      <c r="F288" s="279"/>
      <c r="G288" s="279"/>
      <c r="H288" s="409"/>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82"/>
      <c r="AE288" s="282"/>
      <c r="AF288" s="282"/>
      <c r="AG288" s="282"/>
      <c r="AH288" s="282"/>
      <c r="AI288" s="282"/>
      <c r="AJ288" s="282"/>
      <c r="AK288" s="282"/>
      <c r="AL288" s="282"/>
      <c r="AM288" s="282"/>
      <c r="AN288" s="282"/>
      <c r="AO288" s="282"/>
      <c r="AP288" s="282"/>
      <c r="AQ288" s="282"/>
      <c r="AR288" s="282"/>
      <c r="AS288" s="282"/>
      <c r="AT288" s="282"/>
      <c r="AU288" s="282"/>
      <c r="AV288" s="282"/>
      <c r="AW288" s="282"/>
      <c r="AX288" s="282"/>
      <c r="AY288" s="282"/>
      <c r="AZ288" s="282"/>
      <c r="BA288" s="282"/>
      <c r="BB288" s="282"/>
      <c r="BC288" s="282"/>
      <c r="BD288" s="282"/>
      <c r="BE288" s="282"/>
      <c r="BF288" s="282"/>
      <c r="BG288" s="282"/>
      <c r="BH288" s="282"/>
      <c r="BI288" s="282"/>
      <c r="BJ288" s="278"/>
      <c r="BK288" s="278"/>
      <c r="BL288" s="278"/>
      <c r="BM288" s="278"/>
      <c r="BN288" s="278"/>
      <c r="BO288" s="278"/>
      <c r="BP288" s="278"/>
      <c r="BQ288" s="278"/>
      <c r="BR288" s="278"/>
      <c r="BS288" s="278"/>
      <c r="BT288" s="278"/>
      <c r="BU288" s="278"/>
      <c r="BV288" s="278"/>
      <c r="BW288" s="278"/>
      <c r="BX288" s="278"/>
      <c r="BY288" s="278"/>
      <c r="BZ288" s="278"/>
      <c r="CA288" s="278"/>
      <c r="CB288" s="278"/>
      <c r="CC288" s="278"/>
      <c r="CD288" s="278"/>
      <c r="CE288" s="278"/>
      <c r="CF288" s="278"/>
      <c r="CG288" s="278"/>
      <c r="CH288" s="278"/>
      <c r="CI288" s="278"/>
      <c r="CJ288" s="278"/>
      <c r="CK288" s="278"/>
      <c r="CL288" s="278"/>
      <c r="CM288" s="278"/>
      <c r="CN288" s="278"/>
      <c r="CO288" s="278"/>
      <c r="CP288" s="278"/>
      <c r="CQ288" s="278"/>
      <c r="CR288" s="278"/>
      <c r="CS288" s="278"/>
      <c r="CT288" s="278"/>
      <c r="CU288" s="278"/>
      <c r="CV288" s="278"/>
      <c r="CW288" s="278"/>
      <c r="CX288" s="278"/>
      <c r="CY288" s="278"/>
      <c r="CZ288" s="278"/>
      <c r="DA288" s="278"/>
      <c r="DB288" s="278"/>
      <c r="DC288" s="278"/>
      <c r="DD288" s="278"/>
      <c r="DE288" s="278"/>
      <c r="DF288" s="278"/>
      <c r="DG288" s="278"/>
      <c r="DH288" s="278"/>
      <c r="DI288" s="278"/>
      <c r="DJ288" s="278"/>
      <c r="DK288" s="278"/>
      <c r="DL288" s="278"/>
    </row>
    <row r="289" spans="1:116" ht="15.75" customHeight="1" x14ac:dyDescent="0.25">
      <c r="A289" s="466"/>
      <c r="B289" s="466"/>
      <c r="C289" s="467"/>
      <c r="D289" s="279"/>
      <c r="E289" s="280"/>
      <c r="F289" s="279"/>
      <c r="G289" s="279"/>
      <c r="H289" s="409"/>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282"/>
      <c r="AE289" s="282"/>
      <c r="AF289" s="282"/>
      <c r="AG289" s="282"/>
      <c r="AH289" s="282"/>
      <c r="AI289" s="282"/>
      <c r="AJ289" s="282"/>
      <c r="AK289" s="282"/>
      <c r="AL289" s="282"/>
      <c r="AM289" s="282"/>
      <c r="AN289" s="282"/>
      <c r="AO289" s="282"/>
      <c r="AP289" s="282"/>
      <c r="AQ289" s="282"/>
      <c r="AR289" s="282"/>
      <c r="AS289" s="282"/>
      <c r="AT289" s="282"/>
      <c r="AU289" s="282"/>
      <c r="AV289" s="282"/>
      <c r="AW289" s="282"/>
      <c r="AX289" s="282"/>
      <c r="AY289" s="282"/>
      <c r="AZ289" s="282"/>
      <c r="BA289" s="282"/>
      <c r="BB289" s="282"/>
      <c r="BC289" s="282"/>
      <c r="BD289" s="282"/>
      <c r="BE289" s="282"/>
      <c r="BF289" s="282"/>
      <c r="BG289" s="282"/>
      <c r="BH289" s="282"/>
      <c r="BI289" s="282"/>
      <c r="BJ289" s="278"/>
      <c r="BK289" s="278"/>
      <c r="BL289" s="278"/>
      <c r="BM289" s="278"/>
      <c r="BN289" s="278"/>
      <c r="BO289" s="278"/>
      <c r="BP289" s="278"/>
      <c r="BQ289" s="278"/>
      <c r="BR289" s="278"/>
      <c r="BS289" s="278"/>
      <c r="BT289" s="278"/>
      <c r="BU289" s="278"/>
      <c r="BV289" s="278"/>
      <c r="BW289" s="278"/>
      <c r="BX289" s="278"/>
      <c r="BY289" s="278"/>
      <c r="BZ289" s="278"/>
      <c r="CA289" s="278"/>
      <c r="CB289" s="278"/>
      <c r="CC289" s="278"/>
      <c r="CD289" s="278"/>
      <c r="CE289" s="278"/>
      <c r="CF289" s="278"/>
      <c r="CG289" s="278"/>
      <c r="CH289" s="278"/>
      <c r="CI289" s="278"/>
      <c r="CJ289" s="278"/>
      <c r="CK289" s="278"/>
      <c r="CL289" s="278"/>
      <c r="CM289" s="278"/>
      <c r="CN289" s="278"/>
      <c r="CO289" s="278"/>
      <c r="CP289" s="278"/>
      <c r="CQ289" s="278"/>
      <c r="CR289" s="278"/>
      <c r="CS289" s="278"/>
      <c r="CT289" s="278"/>
      <c r="CU289" s="278"/>
      <c r="CV289" s="278"/>
      <c r="CW289" s="278"/>
      <c r="CX289" s="278"/>
      <c r="CY289" s="278"/>
      <c r="CZ289" s="278"/>
      <c r="DA289" s="278"/>
      <c r="DB289" s="278"/>
      <c r="DC289" s="278"/>
      <c r="DD289" s="278"/>
      <c r="DE289" s="278"/>
      <c r="DF289" s="278"/>
      <c r="DG289" s="278"/>
      <c r="DH289" s="278"/>
      <c r="DI289" s="278"/>
      <c r="DJ289" s="278"/>
      <c r="DK289" s="278"/>
      <c r="DL289" s="278"/>
    </row>
    <row r="290" spans="1:116" ht="15.75" customHeight="1" x14ac:dyDescent="0.25">
      <c r="A290" s="466"/>
      <c r="B290" s="466"/>
      <c r="C290" s="467"/>
      <c r="D290" s="279"/>
      <c r="E290" s="280"/>
      <c r="F290" s="279"/>
      <c r="G290" s="279"/>
      <c r="H290" s="409"/>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82"/>
      <c r="AE290" s="282"/>
      <c r="AF290" s="282"/>
      <c r="AG290" s="282"/>
      <c r="AH290" s="282"/>
      <c r="AI290" s="282"/>
      <c r="AJ290" s="282"/>
      <c r="AK290" s="282"/>
      <c r="AL290" s="282"/>
      <c r="AM290" s="282"/>
      <c r="AN290" s="282"/>
      <c r="AO290" s="282"/>
      <c r="AP290" s="282"/>
      <c r="AQ290" s="282"/>
      <c r="AR290" s="282"/>
      <c r="AS290" s="282"/>
      <c r="AT290" s="282"/>
      <c r="AU290" s="282"/>
      <c r="AV290" s="282"/>
      <c r="AW290" s="282"/>
      <c r="AX290" s="282"/>
      <c r="AY290" s="282"/>
      <c r="AZ290" s="282"/>
      <c r="BA290" s="282"/>
      <c r="BB290" s="282"/>
      <c r="BC290" s="282"/>
      <c r="BD290" s="282"/>
      <c r="BE290" s="282"/>
      <c r="BF290" s="282"/>
      <c r="BG290" s="282"/>
      <c r="BH290" s="282"/>
      <c r="BI290" s="282"/>
      <c r="BJ290" s="278"/>
      <c r="BK290" s="278"/>
      <c r="BL290" s="278"/>
      <c r="BM290" s="278"/>
      <c r="BN290" s="278"/>
      <c r="BO290" s="278"/>
      <c r="BP290" s="278"/>
      <c r="BQ290" s="278"/>
      <c r="BR290" s="278"/>
      <c r="BS290" s="278"/>
      <c r="BT290" s="278"/>
      <c r="BU290" s="278"/>
      <c r="BV290" s="278"/>
      <c r="BW290" s="278"/>
      <c r="BX290" s="278"/>
      <c r="BY290" s="278"/>
      <c r="BZ290" s="278"/>
      <c r="CA290" s="278"/>
      <c r="CB290" s="278"/>
      <c r="CC290" s="278"/>
      <c r="CD290" s="278"/>
      <c r="CE290" s="278"/>
      <c r="CF290" s="278"/>
      <c r="CG290" s="278"/>
      <c r="CH290" s="278"/>
      <c r="CI290" s="278"/>
      <c r="CJ290" s="278"/>
      <c r="CK290" s="278"/>
      <c r="CL290" s="278"/>
      <c r="CM290" s="278"/>
      <c r="CN290" s="278"/>
      <c r="CO290" s="278"/>
      <c r="CP290" s="278"/>
      <c r="CQ290" s="278"/>
      <c r="CR290" s="278"/>
      <c r="CS290" s="278"/>
      <c r="CT290" s="278"/>
      <c r="CU290" s="278"/>
      <c r="CV290" s="278"/>
      <c r="CW290" s="278"/>
      <c r="CX290" s="278"/>
      <c r="CY290" s="278"/>
      <c r="CZ290" s="278"/>
      <c r="DA290" s="278"/>
      <c r="DB290" s="278"/>
      <c r="DC290" s="278"/>
      <c r="DD290" s="278"/>
      <c r="DE290" s="278"/>
      <c r="DF290" s="278"/>
      <c r="DG290" s="278"/>
      <c r="DH290" s="278"/>
      <c r="DI290" s="278"/>
      <c r="DJ290" s="278"/>
      <c r="DK290" s="278"/>
      <c r="DL290" s="278"/>
    </row>
    <row r="291" spans="1:116" ht="15.75" customHeight="1" x14ac:dyDescent="0.25">
      <c r="A291" s="466"/>
      <c r="B291" s="466"/>
      <c r="C291" s="467"/>
      <c r="D291" s="279"/>
      <c r="E291" s="280"/>
      <c r="F291" s="279"/>
      <c r="G291" s="279"/>
      <c r="H291" s="409"/>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82"/>
      <c r="AE291" s="282"/>
      <c r="AF291" s="282"/>
      <c r="AG291" s="282"/>
      <c r="AH291" s="282"/>
      <c r="AI291" s="282"/>
      <c r="AJ291" s="282"/>
      <c r="AK291" s="282"/>
      <c r="AL291" s="282"/>
      <c r="AM291" s="282"/>
      <c r="AN291" s="282"/>
      <c r="AO291" s="282"/>
      <c r="AP291" s="282"/>
      <c r="AQ291" s="282"/>
      <c r="AR291" s="282"/>
      <c r="AS291" s="282"/>
      <c r="AT291" s="282"/>
      <c r="AU291" s="282"/>
      <c r="AV291" s="282"/>
      <c r="AW291" s="282"/>
      <c r="AX291" s="282"/>
      <c r="AY291" s="282"/>
      <c r="AZ291" s="282"/>
      <c r="BA291" s="282"/>
      <c r="BB291" s="282"/>
      <c r="BC291" s="282"/>
      <c r="BD291" s="282"/>
      <c r="BE291" s="282"/>
      <c r="BF291" s="282"/>
      <c r="BG291" s="282"/>
      <c r="BH291" s="282"/>
      <c r="BI291" s="282"/>
      <c r="BJ291" s="278"/>
      <c r="BK291" s="278"/>
      <c r="BL291" s="278"/>
      <c r="BM291" s="278"/>
      <c r="BN291" s="278"/>
      <c r="BO291" s="278"/>
      <c r="BP291" s="278"/>
      <c r="BQ291" s="278"/>
      <c r="BR291" s="278"/>
      <c r="BS291" s="278"/>
      <c r="BT291" s="278"/>
      <c r="BU291" s="278"/>
      <c r="BV291" s="278"/>
      <c r="BW291" s="278"/>
      <c r="BX291" s="278"/>
      <c r="BY291" s="278"/>
      <c r="BZ291" s="278"/>
      <c r="CA291" s="278"/>
      <c r="CB291" s="278"/>
      <c r="CC291" s="278"/>
      <c r="CD291" s="278"/>
      <c r="CE291" s="278"/>
      <c r="CF291" s="278"/>
      <c r="CG291" s="278"/>
      <c r="CH291" s="278"/>
      <c r="CI291" s="278"/>
      <c r="CJ291" s="278"/>
      <c r="CK291" s="278"/>
      <c r="CL291" s="278"/>
      <c r="CM291" s="278"/>
      <c r="CN291" s="278"/>
      <c r="CO291" s="278"/>
      <c r="CP291" s="278"/>
      <c r="CQ291" s="278"/>
      <c r="CR291" s="278"/>
      <c r="CS291" s="278"/>
      <c r="CT291" s="278"/>
      <c r="CU291" s="278"/>
      <c r="CV291" s="278"/>
      <c r="CW291" s="278"/>
      <c r="CX291" s="278"/>
      <c r="CY291" s="278"/>
      <c r="CZ291" s="278"/>
      <c r="DA291" s="278"/>
      <c r="DB291" s="278"/>
      <c r="DC291" s="278"/>
      <c r="DD291" s="278"/>
      <c r="DE291" s="278"/>
      <c r="DF291" s="278"/>
      <c r="DG291" s="278"/>
      <c r="DH291" s="278"/>
      <c r="DI291" s="278"/>
      <c r="DJ291" s="278"/>
      <c r="DK291" s="278"/>
      <c r="DL291" s="278"/>
    </row>
    <row r="292" spans="1:116" ht="15.75" customHeight="1" x14ac:dyDescent="0.25">
      <c r="A292" s="466"/>
      <c r="B292" s="466"/>
      <c r="C292" s="467"/>
      <c r="D292" s="279"/>
      <c r="E292" s="280"/>
      <c r="F292" s="279"/>
      <c r="G292" s="279"/>
      <c r="H292" s="409"/>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282"/>
      <c r="AE292" s="282"/>
      <c r="AF292" s="282"/>
      <c r="AG292" s="282"/>
      <c r="AH292" s="282"/>
      <c r="AI292" s="282"/>
      <c r="AJ292" s="282"/>
      <c r="AK292" s="282"/>
      <c r="AL292" s="282"/>
      <c r="AM292" s="282"/>
      <c r="AN292" s="282"/>
      <c r="AO292" s="282"/>
      <c r="AP292" s="282"/>
      <c r="AQ292" s="282"/>
      <c r="AR292" s="282"/>
      <c r="AS292" s="282"/>
      <c r="AT292" s="282"/>
      <c r="AU292" s="282"/>
      <c r="AV292" s="282"/>
      <c r="AW292" s="282"/>
      <c r="AX292" s="282"/>
      <c r="AY292" s="282"/>
      <c r="AZ292" s="282"/>
      <c r="BA292" s="282"/>
      <c r="BB292" s="282"/>
      <c r="BC292" s="282"/>
      <c r="BD292" s="282"/>
      <c r="BE292" s="282"/>
      <c r="BF292" s="282"/>
      <c r="BG292" s="282"/>
      <c r="BH292" s="282"/>
      <c r="BI292" s="282"/>
      <c r="BJ292" s="278"/>
      <c r="BK292" s="278"/>
      <c r="BL292" s="278"/>
      <c r="BM292" s="278"/>
      <c r="BN292" s="278"/>
      <c r="BO292" s="278"/>
      <c r="BP292" s="278"/>
      <c r="BQ292" s="278"/>
      <c r="BR292" s="278"/>
      <c r="BS292" s="278"/>
      <c r="BT292" s="278"/>
      <c r="BU292" s="278"/>
      <c r="BV292" s="278"/>
      <c r="BW292" s="278"/>
      <c r="BX292" s="278"/>
      <c r="BY292" s="278"/>
      <c r="BZ292" s="278"/>
      <c r="CA292" s="278"/>
      <c r="CB292" s="278"/>
      <c r="CC292" s="278"/>
      <c r="CD292" s="278"/>
      <c r="CE292" s="278"/>
      <c r="CF292" s="278"/>
      <c r="CG292" s="278"/>
      <c r="CH292" s="278"/>
      <c r="CI292" s="278"/>
      <c r="CJ292" s="278"/>
      <c r="CK292" s="278"/>
      <c r="CL292" s="278"/>
      <c r="CM292" s="278"/>
      <c r="CN292" s="278"/>
      <c r="CO292" s="278"/>
      <c r="CP292" s="278"/>
      <c r="CQ292" s="278"/>
      <c r="CR292" s="278"/>
      <c r="CS292" s="278"/>
      <c r="CT292" s="278"/>
      <c r="CU292" s="278"/>
      <c r="CV292" s="278"/>
      <c r="CW292" s="278"/>
      <c r="CX292" s="278"/>
      <c r="CY292" s="278"/>
      <c r="CZ292" s="278"/>
      <c r="DA292" s="278"/>
      <c r="DB292" s="278"/>
      <c r="DC292" s="278"/>
      <c r="DD292" s="278"/>
      <c r="DE292" s="278"/>
      <c r="DF292" s="278"/>
      <c r="DG292" s="278"/>
      <c r="DH292" s="278"/>
      <c r="DI292" s="278"/>
      <c r="DJ292" s="278"/>
      <c r="DK292" s="278"/>
      <c r="DL292" s="278"/>
    </row>
    <row r="293" spans="1:116" ht="15.75" customHeight="1" x14ac:dyDescent="0.25">
      <c r="A293" s="466"/>
      <c r="B293" s="466"/>
      <c r="C293" s="467"/>
      <c r="D293" s="279"/>
      <c r="E293" s="280"/>
      <c r="F293" s="279"/>
      <c r="G293" s="279"/>
      <c r="H293" s="409"/>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282"/>
      <c r="AE293" s="282"/>
      <c r="AF293" s="282"/>
      <c r="AG293" s="282"/>
      <c r="AH293" s="282"/>
      <c r="AI293" s="282"/>
      <c r="AJ293" s="282"/>
      <c r="AK293" s="282"/>
      <c r="AL293" s="282"/>
      <c r="AM293" s="282"/>
      <c r="AN293" s="282"/>
      <c r="AO293" s="282"/>
      <c r="AP293" s="282"/>
      <c r="AQ293" s="282"/>
      <c r="AR293" s="282"/>
      <c r="AS293" s="282"/>
      <c r="AT293" s="282"/>
      <c r="AU293" s="282"/>
      <c r="AV293" s="282"/>
      <c r="AW293" s="282"/>
      <c r="AX293" s="282"/>
      <c r="AY293" s="282"/>
      <c r="AZ293" s="282"/>
      <c r="BA293" s="282"/>
      <c r="BB293" s="282"/>
      <c r="BC293" s="282"/>
      <c r="BD293" s="282"/>
      <c r="BE293" s="282"/>
      <c r="BF293" s="282"/>
      <c r="BG293" s="282"/>
      <c r="BH293" s="282"/>
      <c r="BI293" s="282"/>
      <c r="BJ293" s="278"/>
      <c r="BK293" s="278"/>
      <c r="BL293" s="278"/>
      <c r="BM293" s="278"/>
      <c r="BN293" s="278"/>
      <c r="BO293" s="278"/>
      <c r="BP293" s="278"/>
      <c r="BQ293" s="278"/>
      <c r="BR293" s="278"/>
      <c r="BS293" s="278"/>
      <c r="BT293" s="278"/>
      <c r="BU293" s="278"/>
      <c r="BV293" s="278"/>
      <c r="BW293" s="278"/>
      <c r="BX293" s="278"/>
      <c r="BY293" s="278"/>
      <c r="BZ293" s="278"/>
      <c r="CA293" s="278"/>
      <c r="CB293" s="278"/>
      <c r="CC293" s="278"/>
      <c r="CD293" s="278"/>
      <c r="CE293" s="278"/>
      <c r="CF293" s="278"/>
      <c r="CG293" s="278"/>
      <c r="CH293" s="278"/>
      <c r="CI293" s="278"/>
      <c r="CJ293" s="278"/>
      <c r="CK293" s="278"/>
      <c r="CL293" s="278"/>
      <c r="CM293" s="278"/>
      <c r="CN293" s="278"/>
      <c r="CO293" s="278"/>
      <c r="CP293" s="278"/>
      <c r="CQ293" s="278"/>
      <c r="CR293" s="278"/>
      <c r="CS293" s="278"/>
      <c r="CT293" s="278"/>
      <c r="CU293" s="278"/>
      <c r="CV293" s="278"/>
      <c r="CW293" s="278"/>
      <c r="CX293" s="278"/>
      <c r="CY293" s="278"/>
      <c r="CZ293" s="278"/>
      <c r="DA293" s="278"/>
      <c r="DB293" s="278"/>
      <c r="DC293" s="278"/>
      <c r="DD293" s="278"/>
      <c r="DE293" s="278"/>
      <c r="DF293" s="278"/>
      <c r="DG293" s="278"/>
      <c r="DH293" s="278"/>
      <c r="DI293" s="278"/>
      <c r="DJ293" s="278"/>
      <c r="DK293" s="278"/>
      <c r="DL293" s="278"/>
    </row>
    <row r="294" spans="1:116" ht="15.75" customHeight="1" x14ac:dyDescent="0.25">
      <c r="A294" s="466"/>
      <c r="B294" s="466"/>
      <c r="C294" s="467"/>
      <c r="D294" s="279"/>
      <c r="E294" s="280"/>
      <c r="F294" s="279"/>
      <c r="G294" s="279"/>
      <c r="H294" s="409"/>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c r="AF294" s="282"/>
      <c r="AG294" s="282"/>
      <c r="AH294" s="282"/>
      <c r="AI294" s="282"/>
      <c r="AJ294" s="282"/>
      <c r="AK294" s="282"/>
      <c r="AL294" s="282"/>
      <c r="AM294" s="282"/>
      <c r="AN294" s="282"/>
      <c r="AO294" s="282"/>
      <c r="AP294" s="282"/>
      <c r="AQ294" s="282"/>
      <c r="AR294" s="282"/>
      <c r="AS294" s="282"/>
      <c r="AT294" s="282"/>
      <c r="AU294" s="282"/>
      <c r="AV294" s="282"/>
      <c r="AW294" s="282"/>
      <c r="AX294" s="282"/>
      <c r="AY294" s="282"/>
      <c r="AZ294" s="282"/>
      <c r="BA294" s="282"/>
      <c r="BB294" s="282"/>
      <c r="BC294" s="282"/>
      <c r="BD294" s="282"/>
      <c r="BE294" s="282"/>
      <c r="BF294" s="282"/>
      <c r="BG294" s="282"/>
      <c r="BH294" s="282"/>
      <c r="BI294" s="282"/>
      <c r="BJ294" s="278"/>
      <c r="BK294" s="278"/>
      <c r="BL294" s="278"/>
      <c r="BM294" s="278"/>
      <c r="BN294" s="278"/>
      <c r="BO294" s="278"/>
      <c r="BP294" s="278"/>
      <c r="BQ294" s="278"/>
      <c r="BR294" s="278"/>
      <c r="BS294" s="278"/>
      <c r="BT294" s="278"/>
      <c r="BU294" s="278"/>
      <c r="BV294" s="278"/>
      <c r="BW294" s="278"/>
      <c r="BX294" s="278"/>
      <c r="BY294" s="278"/>
      <c r="BZ294" s="278"/>
      <c r="CA294" s="278"/>
      <c r="CB294" s="278"/>
      <c r="CC294" s="278"/>
      <c r="CD294" s="278"/>
      <c r="CE294" s="278"/>
      <c r="CF294" s="278"/>
      <c r="CG294" s="278"/>
      <c r="CH294" s="278"/>
      <c r="CI294" s="278"/>
      <c r="CJ294" s="278"/>
      <c r="CK294" s="278"/>
      <c r="CL294" s="278"/>
      <c r="CM294" s="278"/>
      <c r="CN294" s="278"/>
      <c r="CO294" s="278"/>
      <c r="CP294" s="278"/>
      <c r="CQ294" s="278"/>
      <c r="CR294" s="278"/>
      <c r="CS294" s="278"/>
      <c r="CT294" s="278"/>
      <c r="CU294" s="278"/>
      <c r="CV294" s="278"/>
      <c r="CW294" s="278"/>
      <c r="CX294" s="278"/>
      <c r="CY294" s="278"/>
      <c r="CZ294" s="278"/>
      <c r="DA294" s="278"/>
      <c r="DB294" s="278"/>
      <c r="DC294" s="278"/>
      <c r="DD294" s="278"/>
      <c r="DE294" s="278"/>
      <c r="DF294" s="278"/>
      <c r="DG294" s="278"/>
      <c r="DH294" s="278"/>
      <c r="DI294" s="278"/>
      <c r="DJ294" s="278"/>
      <c r="DK294" s="278"/>
      <c r="DL294" s="278"/>
    </row>
    <row r="295" spans="1:116" ht="15.75" customHeight="1" x14ac:dyDescent="0.25">
      <c r="A295" s="466"/>
      <c r="B295" s="466"/>
      <c r="C295" s="467"/>
      <c r="D295" s="279"/>
      <c r="E295" s="280"/>
      <c r="F295" s="279"/>
      <c r="G295" s="279"/>
      <c r="H295" s="409"/>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282"/>
      <c r="AE295" s="282"/>
      <c r="AF295" s="282"/>
      <c r="AG295" s="282"/>
      <c r="AH295" s="282"/>
      <c r="AI295" s="282"/>
      <c r="AJ295" s="282"/>
      <c r="AK295" s="282"/>
      <c r="AL295" s="282"/>
      <c r="AM295" s="282"/>
      <c r="AN295" s="282"/>
      <c r="AO295" s="282"/>
      <c r="AP295" s="282"/>
      <c r="AQ295" s="282"/>
      <c r="AR295" s="282"/>
      <c r="AS295" s="282"/>
      <c r="AT295" s="282"/>
      <c r="AU295" s="282"/>
      <c r="AV295" s="282"/>
      <c r="AW295" s="282"/>
      <c r="AX295" s="282"/>
      <c r="AY295" s="282"/>
      <c r="AZ295" s="282"/>
      <c r="BA295" s="282"/>
      <c r="BB295" s="282"/>
      <c r="BC295" s="282"/>
      <c r="BD295" s="282"/>
      <c r="BE295" s="282"/>
      <c r="BF295" s="282"/>
      <c r="BG295" s="282"/>
      <c r="BH295" s="282"/>
      <c r="BI295" s="282"/>
      <c r="BJ295" s="278"/>
      <c r="BK295" s="278"/>
      <c r="BL295" s="278"/>
      <c r="BM295" s="278"/>
      <c r="BN295" s="278"/>
      <c r="BO295" s="278"/>
      <c r="BP295" s="278"/>
      <c r="BQ295" s="278"/>
      <c r="BR295" s="278"/>
      <c r="BS295" s="278"/>
      <c r="BT295" s="278"/>
      <c r="BU295" s="278"/>
      <c r="BV295" s="278"/>
      <c r="BW295" s="278"/>
      <c r="BX295" s="278"/>
      <c r="BY295" s="278"/>
      <c r="BZ295" s="278"/>
      <c r="CA295" s="278"/>
      <c r="CB295" s="278"/>
      <c r="CC295" s="278"/>
      <c r="CD295" s="278"/>
      <c r="CE295" s="278"/>
      <c r="CF295" s="278"/>
      <c r="CG295" s="278"/>
      <c r="CH295" s="278"/>
      <c r="CI295" s="278"/>
      <c r="CJ295" s="278"/>
      <c r="CK295" s="278"/>
      <c r="CL295" s="278"/>
      <c r="CM295" s="278"/>
      <c r="CN295" s="278"/>
      <c r="CO295" s="278"/>
      <c r="CP295" s="278"/>
      <c r="CQ295" s="278"/>
      <c r="CR295" s="278"/>
      <c r="CS295" s="278"/>
      <c r="CT295" s="278"/>
      <c r="CU295" s="278"/>
      <c r="CV295" s="278"/>
      <c r="CW295" s="278"/>
      <c r="CX295" s="278"/>
      <c r="CY295" s="278"/>
      <c r="CZ295" s="278"/>
      <c r="DA295" s="278"/>
      <c r="DB295" s="278"/>
      <c r="DC295" s="278"/>
      <c r="DD295" s="278"/>
      <c r="DE295" s="278"/>
      <c r="DF295" s="278"/>
      <c r="DG295" s="278"/>
      <c r="DH295" s="278"/>
      <c r="DI295" s="278"/>
      <c r="DJ295" s="278"/>
      <c r="DK295" s="278"/>
      <c r="DL295" s="278"/>
    </row>
    <row r="296" spans="1:116" ht="15.75" customHeight="1" x14ac:dyDescent="0.25">
      <c r="A296" s="466"/>
      <c r="B296" s="466"/>
      <c r="C296" s="467"/>
      <c r="D296" s="279"/>
      <c r="E296" s="280"/>
      <c r="F296" s="279"/>
      <c r="G296" s="279"/>
      <c r="H296" s="409"/>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82"/>
      <c r="AE296" s="282"/>
      <c r="AF296" s="282"/>
      <c r="AG296" s="282"/>
      <c r="AH296" s="282"/>
      <c r="AI296" s="282"/>
      <c r="AJ296" s="282"/>
      <c r="AK296" s="282"/>
      <c r="AL296" s="282"/>
      <c r="AM296" s="282"/>
      <c r="AN296" s="282"/>
      <c r="AO296" s="282"/>
      <c r="AP296" s="282"/>
      <c r="AQ296" s="282"/>
      <c r="AR296" s="282"/>
      <c r="AS296" s="282"/>
      <c r="AT296" s="282"/>
      <c r="AU296" s="282"/>
      <c r="AV296" s="282"/>
      <c r="AW296" s="282"/>
      <c r="AX296" s="282"/>
      <c r="AY296" s="282"/>
      <c r="AZ296" s="282"/>
      <c r="BA296" s="282"/>
      <c r="BB296" s="282"/>
      <c r="BC296" s="282"/>
      <c r="BD296" s="282"/>
      <c r="BE296" s="282"/>
      <c r="BF296" s="282"/>
      <c r="BG296" s="282"/>
      <c r="BH296" s="282"/>
      <c r="BI296" s="282"/>
      <c r="BJ296" s="278"/>
      <c r="BK296" s="278"/>
      <c r="BL296" s="278"/>
      <c r="BM296" s="278"/>
      <c r="BN296" s="278"/>
      <c r="BO296" s="278"/>
      <c r="BP296" s="278"/>
      <c r="BQ296" s="278"/>
      <c r="BR296" s="278"/>
      <c r="BS296" s="278"/>
      <c r="BT296" s="278"/>
      <c r="BU296" s="278"/>
      <c r="BV296" s="278"/>
      <c r="BW296" s="278"/>
      <c r="BX296" s="278"/>
      <c r="BY296" s="278"/>
      <c r="BZ296" s="278"/>
      <c r="CA296" s="278"/>
      <c r="CB296" s="278"/>
      <c r="CC296" s="278"/>
      <c r="CD296" s="278"/>
      <c r="CE296" s="278"/>
      <c r="CF296" s="278"/>
      <c r="CG296" s="278"/>
      <c r="CH296" s="278"/>
      <c r="CI296" s="278"/>
      <c r="CJ296" s="278"/>
      <c r="CK296" s="278"/>
      <c r="CL296" s="278"/>
      <c r="CM296" s="278"/>
      <c r="CN296" s="278"/>
      <c r="CO296" s="278"/>
      <c r="CP296" s="278"/>
      <c r="CQ296" s="278"/>
      <c r="CR296" s="278"/>
      <c r="CS296" s="278"/>
      <c r="CT296" s="278"/>
      <c r="CU296" s="278"/>
      <c r="CV296" s="278"/>
      <c r="CW296" s="278"/>
      <c r="CX296" s="278"/>
      <c r="CY296" s="278"/>
      <c r="CZ296" s="278"/>
      <c r="DA296" s="278"/>
      <c r="DB296" s="278"/>
      <c r="DC296" s="278"/>
      <c r="DD296" s="278"/>
      <c r="DE296" s="278"/>
      <c r="DF296" s="278"/>
      <c r="DG296" s="278"/>
      <c r="DH296" s="278"/>
      <c r="DI296" s="278"/>
      <c r="DJ296" s="278"/>
      <c r="DK296" s="278"/>
      <c r="DL296" s="278"/>
    </row>
    <row r="297" spans="1:116" ht="15.75" customHeight="1" x14ac:dyDescent="0.25">
      <c r="A297" s="466"/>
      <c r="B297" s="466"/>
      <c r="C297" s="467"/>
      <c r="D297" s="279"/>
      <c r="E297" s="280"/>
      <c r="F297" s="279"/>
      <c r="G297" s="279"/>
      <c r="H297" s="409"/>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282"/>
      <c r="AE297" s="282"/>
      <c r="AF297" s="282"/>
      <c r="AG297" s="282"/>
      <c r="AH297" s="282"/>
      <c r="AI297" s="282"/>
      <c r="AJ297" s="282"/>
      <c r="AK297" s="282"/>
      <c r="AL297" s="282"/>
      <c r="AM297" s="282"/>
      <c r="AN297" s="282"/>
      <c r="AO297" s="282"/>
      <c r="AP297" s="282"/>
      <c r="AQ297" s="282"/>
      <c r="AR297" s="282"/>
      <c r="AS297" s="282"/>
      <c r="AT297" s="282"/>
      <c r="AU297" s="282"/>
      <c r="AV297" s="282"/>
      <c r="AW297" s="282"/>
      <c r="AX297" s="282"/>
      <c r="AY297" s="282"/>
      <c r="AZ297" s="282"/>
      <c r="BA297" s="282"/>
      <c r="BB297" s="282"/>
      <c r="BC297" s="282"/>
      <c r="BD297" s="282"/>
      <c r="BE297" s="282"/>
      <c r="BF297" s="282"/>
      <c r="BG297" s="282"/>
      <c r="BH297" s="282"/>
      <c r="BI297" s="282"/>
      <c r="BJ297" s="278"/>
      <c r="BK297" s="278"/>
      <c r="BL297" s="278"/>
      <c r="BM297" s="278"/>
      <c r="BN297" s="278"/>
      <c r="BO297" s="278"/>
      <c r="BP297" s="278"/>
      <c r="BQ297" s="278"/>
      <c r="BR297" s="278"/>
      <c r="BS297" s="278"/>
      <c r="BT297" s="278"/>
      <c r="BU297" s="278"/>
      <c r="BV297" s="278"/>
      <c r="BW297" s="278"/>
      <c r="BX297" s="278"/>
      <c r="BY297" s="278"/>
      <c r="BZ297" s="278"/>
      <c r="CA297" s="278"/>
      <c r="CB297" s="278"/>
      <c r="CC297" s="278"/>
      <c r="CD297" s="278"/>
      <c r="CE297" s="278"/>
      <c r="CF297" s="278"/>
      <c r="CG297" s="278"/>
      <c r="CH297" s="278"/>
      <c r="CI297" s="278"/>
      <c r="CJ297" s="278"/>
      <c r="CK297" s="278"/>
      <c r="CL297" s="278"/>
      <c r="CM297" s="278"/>
      <c r="CN297" s="278"/>
      <c r="CO297" s="278"/>
      <c r="CP297" s="278"/>
      <c r="CQ297" s="278"/>
      <c r="CR297" s="278"/>
      <c r="CS297" s="278"/>
      <c r="CT297" s="278"/>
      <c r="CU297" s="278"/>
      <c r="CV297" s="278"/>
      <c r="CW297" s="278"/>
      <c r="CX297" s="278"/>
      <c r="CY297" s="278"/>
      <c r="CZ297" s="278"/>
      <c r="DA297" s="278"/>
      <c r="DB297" s="278"/>
      <c r="DC297" s="278"/>
      <c r="DD297" s="278"/>
      <c r="DE297" s="278"/>
      <c r="DF297" s="278"/>
      <c r="DG297" s="278"/>
      <c r="DH297" s="278"/>
      <c r="DI297" s="278"/>
      <c r="DJ297" s="278"/>
      <c r="DK297" s="278"/>
      <c r="DL297" s="278"/>
    </row>
    <row r="298" spans="1:116" ht="15.75" customHeight="1" x14ac:dyDescent="0.25">
      <c r="A298" s="466"/>
      <c r="B298" s="466"/>
      <c r="C298" s="467"/>
      <c r="D298" s="279"/>
      <c r="E298" s="280"/>
      <c r="F298" s="279"/>
      <c r="G298" s="279"/>
      <c r="H298" s="409"/>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282"/>
      <c r="AE298" s="282"/>
      <c r="AF298" s="282"/>
      <c r="AG298" s="282"/>
      <c r="AH298" s="282"/>
      <c r="AI298" s="282"/>
      <c r="AJ298" s="282"/>
      <c r="AK298" s="282"/>
      <c r="AL298" s="282"/>
      <c r="AM298" s="282"/>
      <c r="AN298" s="282"/>
      <c r="AO298" s="282"/>
      <c r="AP298" s="282"/>
      <c r="AQ298" s="282"/>
      <c r="AR298" s="282"/>
      <c r="AS298" s="282"/>
      <c r="AT298" s="282"/>
      <c r="AU298" s="282"/>
      <c r="AV298" s="282"/>
      <c r="AW298" s="282"/>
      <c r="AX298" s="282"/>
      <c r="AY298" s="282"/>
      <c r="AZ298" s="282"/>
      <c r="BA298" s="282"/>
      <c r="BB298" s="282"/>
      <c r="BC298" s="282"/>
      <c r="BD298" s="282"/>
      <c r="BE298" s="282"/>
      <c r="BF298" s="282"/>
      <c r="BG298" s="282"/>
      <c r="BH298" s="282"/>
      <c r="BI298" s="282"/>
      <c r="BJ298" s="278"/>
      <c r="BK298" s="278"/>
      <c r="BL298" s="278"/>
      <c r="BM298" s="278"/>
      <c r="BN298" s="278"/>
      <c r="BO298" s="278"/>
      <c r="BP298" s="278"/>
      <c r="BQ298" s="278"/>
      <c r="BR298" s="278"/>
      <c r="BS298" s="278"/>
      <c r="BT298" s="278"/>
      <c r="BU298" s="278"/>
      <c r="BV298" s="278"/>
      <c r="BW298" s="278"/>
      <c r="BX298" s="278"/>
      <c r="BY298" s="278"/>
      <c r="BZ298" s="278"/>
      <c r="CA298" s="278"/>
      <c r="CB298" s="278"/>
      <c r="CC298" s="278"/>
      <c r="CD298" s="278"/>
      <c r="CE298" s="278"/>
      <c r="CF298" s="278"/>
      <c r="CG298" s="278"/>
      <c r="CH298" s="278"/>
      <c r="CI298" s="278"/>
      <c r="CJ298" s="278"/>
      <c r="CK298" s="278"/>
      <c r="CL298" s="278"/>
      <c r="CM298" s="278"/>
      <c r="CN298" s="278"/>
      <c r="CO298" s="278"/>
      <c r="CP298" s="278"/>
      <c r="CQ298" s="278"/>
      <c r="CR298" s="278"/>
      <c r="CS298" s="278"/>
      <c r="CT298" s="278"/>
      <c r="CU298" s="278"/>
      <c r="CV298" s="278"/>
      <c r="CW298" s="278"/>
      <c r="CX298" s="278"/>
      <c r="CY298" s="278"/>
      <c r="CZ298" s="278"/>
      <c r="DA298" s="278"/>
      <c r="DB298" s="278"/>
      <c r="DC298" s="278"/>
      <c r="DD298" s="278"/>
      <c r="DE298" s="278"/>
      <c r="DF298" s="278"/>
      <c r="DG298" s="278"/>
      <c r="DH298" s="278"/>
      <c r="DI298" s="278"/>
      <c r="DJ298" s="278"/>
      <c r="DK298" s="278"/>
      <c r="DL298" s="278"/>
    </row>
    <row r="299" spans="1:116" ht="15.75" customHeight="1" x14ac:dyDescent="0.25">
      <c r="A299" s="466"/>
      <c r="B299" s="466"/>
      <c r="C299" s="467"/>
      <c r="D299" s="279"/>
      <c r="E299" s="280"/>
      <c r="F299" s="279"/>
      <c r="G299" s="279"/>
      <c r="H299" s="409"/>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282"/>
      <c r="AE299" s="282"/>
      <c r="AF299" s="282"/>
      <c r="AG299" s="282"/>
      <c r="AH299" s="282"/>
      <c r="AI299" s="282"/>
      <c r="AJ299" s="282"/>
      <c r="AK299" s="282"/>
      <c r="AL299" s="282"/>
      <c r="AM299" s="282"/>
      <c r="AN299" s="282"/>
      <c r="AO299" s="282"/>
      <c r="AP299" s="282"/>
      <c r="AQ299" s="282"/>
      <c r="AR299" s="282"/>
      <c r="AS299" s="282"/>
      <c r="AT299" s="282"/>
      <c r="AU299" s="282"/>
      <c r="AV299" s="282"/>
      <c r="AW299" s="282"/>
      <c r="AX299" s="282"/>
      <c r="AY299" s="282"/>
      <c r="AZ299" s="282"/>
      <c r="BA299" s="282"/>
      <c r="BB299" s="282"/>
      <c r="BC299" s="282"/>
      <c r="BD299" s="282"/>
      <c r="BE299" s="282"/>
      <c r="BF299" s="282"/>
      <c r="BG299" s="282"/>
      <c r="BH299" s="282"/>
      <c r="BI299" s="282"/>
      <c r="BJ299" s="278"/>
      <c r="BK299" s="278"/>
      <c r="BL299" s="278"/>
      <c r="BM299" s="278"/>
      <c r="BN299" s="278"/>
      <c r="BO299" s="278"/>
      <c r="BP299" s="278"/>
      <c r="BQ299" s="278"/>
      <c r="BR299" s="278"/>
      <c r="BS299" s="278"/>
      <c r="BT299" s="278"/>
      <c r="BU299" s="278"/>
      <c r="BV299" s="278"/>
      <c r="BW299" s="278"/>
      <c r="BX299" s="278"/>
      <c r="BY299" s="278"/>
      <c r="BZ299" s="278"/>
      <c r="CA299" s="278"/>
      <c r="CB299" s="278"/>
      <c r="CC299" s="278"/>
      <c r="CD299" s="278"/>
      <c r="CE299" s="278"/>
      <c r="CF299" s="278"/>
      <c r="CG299" s="278"/>
      <c r="CH299" s="278"/>
      <c r="CI299" s="278"/>
      <c r="CJ299" s="278"/>
      <c r="CK299" s="278"/>
      <c r="CL299" s="278"/>
      <c r="CM299" s="278"/>
      <c r="CN299" s="278"/>
      <c r="CO299" s="278"/>
      <c r="CP299" s="278"/>
      <c r="CQ299" s="278"/>
      <c r="CR299" s="278"/>
      <c r="CS299" s="278"/>
      <c r="CT299" s="278"/>
      <c r="CU299" s="278"/>
      <c r="CV299" s="278"/>
      <c r="CW299" s="278"/>
      <c r="CX299" s="278"/>
      <c r="CY299" s="278"/>
      <c r="CZ299" s="278"/>
      <c r="DA299" s="278"/>
      <c r="DB299" s="278"/>
      <c r="DC299" s="278"/>
      <c r="DD299" s="278"/>
      <c r="DE299" s="278"/>
      <c r="DF299" s="278"/>
      <c r="DG299" s="278"/>
      <c r="DH299" s="278"/>
      <c r="DI299" s="278"/>
      <c r="DJ299" s="278"/>
      <c r="DK299" s="278"/>
      <c r="DL299" s="278"/>
    </row>
    <row r="300" spans="1:116" ht="15.75" customHeight="1" x14ac:dyDescent="0.25">
      <c r="A300" s="466"/>
      <c r="B300" s="466"/>
      <c r="C300" s="467"/>
      <c r="D300" s="279"/>
      <c r="E300" s="280"/>
      <c r="F300" s="279"/>
      <c r="G300" s="279"/>
      <c r="H300" s="409"/>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282"/>
      <c r="AE300" s="282"/>
      <c r="AF300" s="282"/>
      <c r="AG300" s="282"/>
      <c r="AH300" s="282"/>
      <c r="AI300" s="282"/>
      <c r="AJ300" s="282"/>
      <c r="AK300" s="282"/>
      <c r="AL300" s="282"/>
      <c r="AM300" s="282"/>
      <c r="AN300" s="282"/>
      <c r="AO300" s="282"/>
      <c r="AP300" s="282"/>
      <c r="AQ300" s="282"/>
      <c r="AR300" s="282"/>
      <c r="AS300" s="282"/>
      <c r="AT300" s="282"/>
      <c r="AU300" s="282"/>
      <c r="AV300" s="282"/>
      <c r="AW300" s="282"/>
      <c r="AX300" s="282"/>
      <c r="AY300" s="282"/>
      <c r="AZ300" s="282"/>
      <c r="BA300" s="282"/>
      <c r="BB300" s="282"/>
      <c r="BC300" s="282"/>
      <c r="BD300" s="282"/>
      <c r="BE300" s="282"/>
      <c r="BF300" s="282"/>
      <c r="BG300" s="282"/>
      <c r="BH300" s="282"/>
      <c r="BI300" s="282"/>
      <c r="BJ300" s="278"/>
      <c r="BK300" s="278"/>
      <c r="BL300" s="278"/>
      <c r="BM300" s="278"/>
      <c r="BN300" s="278"/>
      <c r="BO300" s="278"/>
      <c r="BP300" s="278"/>
      <c r="BQ300" s="278"/>
      <c r="BR300" s="278"/>
      <c r="BS300" s="278"/>
      <c r="BT300" s="278"/>
      <c r="BU300" s="278"/>
      <c r="BV300" s="278"/>
      <c r="BW300" s="278"/>
      <c r="BX300" s="278"/>
      <c r="BY300" s="278"/>
      <c r="BZ300" s="278"/>
      <c r="CA300" s="278"/>
      <c r="CB300" s="278"/>
      <c r="CC300" s="278"/>
      <c r="CD300" s="278"/>
      <c r="CE300" s="278"/>
      <c r="CF300" s="278"/>
      <c r="CG300" s="278"/>
      <c r="CH300" s="278"/>
      <c r="CI300" s="278"/>
      <c r="CJ300" s="278"/>
      <c r="CK300" s="278"/>
      <c r="CL300" s="278"/>
      <c r="CM300" s="278"/>
      <c r="CN300" s="278"/>
      <c r="CO300" s="278"/>
      <c r="CP300" s="278"/>
      <c r="CQ300" s="278"/>
      <c r="CR300" s="278"/>
      <c r="CS300" s="278"/>
      <c r="CT300" s="278"/>
      <c r="CU300" s="278"/>
      <c r="CV300" s="278"/>
      <c r="CW300" s="278"/>
      <c r="CX300" s="278"/>
      <c r="CY300" s="278"/>
      <c r="CZ300" s="278"/>
      <c r="DA300" s="278"/>
      <c r="DB300" s="278"/>
      <c r="DC300" s="278"/>
      <c r="DD300" s="278"/>
      <c r="DE300" s="278"/>
      <c r="DF300" s="278"/>
      <c r="DG300" s="278"/>
      <c r="DH300" s="278"/>
      <c r="DI300" s="278"/>
      <c r="DJ300" s="278"/>
      <c r="DK300" s="278"/>
      <c r="DL300" s="278"/>
    </row>
    <row r="301" spans="1:116" ht="15.75" customHeight="1" x14ac:dyDescent="0.25">
      <c r="A301" s="466"/>
      <c r="B301" s="466"/>
      <c r="C301" s="467"/>
      <c r="D301" s="279"/>
      <c r="E301" s="280"/>
      <c r="F301" s="279"/>
      <c r="G301" s="279"/>
      <c r="H301" s="409"/>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82"/>
      <c r="AE301" s="282"/>
      <c r="AF301" s="282"/>
      <c r="AG301" s="282"/>
      <c r="AH301" s="282"/>
      <c r="AI301" s="282"/>
      <c r="AJ301" s="282"/>
      <c r="AK301" s="282"/>
      <c r="AL301" s="282"/>
      <c r="AM301" s="282"/>
      <c r="AN301" s="282"/>
      <c r="AO301" s="282"/>
      <c r="AP301" s="282"/>
      <c r="AQ301" s="282"/>
      <c r="AR301" s="282"/>
      <c r="AS301" s="282"/>
      <c r="AT301" s="282"/>
      <c r="AU301" s="282"/>
      <c r="AV301" s="282"/>
      <c r="AW301" s="282"/>
      <c r="AX301" s="282"/>
      <c r="AY301" s="282"/>
      <c r="AZ301" s="282"/>
      <c r="BA301" s="282"/>
      <c r="BB301" s="282"/>
      <c r="BC301" s="282"/>
      <c r="BD301" s="282"/>
      <c r="BE301" s="282"/>
      <c r="BF301" s="282"/>
      <c r="BG301" s="282"/>
      <c r="BH301" s="282"/>
      <c r="BI301" s="282"/>
      <c r="BJ301" s="278"/>
      <c r="BK301" s="278"/>
      <c r="BL301" s="278"/>
      <c r="BM301" s="278"/>
      <c r="BN301" s="278"/>
      <c r="BO301" s="278"/>
      <c r="BP301" s="278"/>
      <c r="BQ301" s="278"/>
      <c r="BR301" s="278"/>
      <c r="BS301" s="278"/>
      <c r="BT301" s="278"/>
      <c r="BU301" s="278"/>
      <c r="BV301" s="278"/>
      <c r="BW301" s="278"/>
      <c r="BX301" s="278"/>
      <c r="BY301" s="278"/>
      <c r="BZ301" s="278"/>
      <c r="CA301" s="278"/>
      <c r="CB301" s="278"/>
      <c r="CC301" s="278"/>
      <c r="CD301" s="278"/>
      <c r="CE301" s="278"/>
      <c r="CF301" s="278"/>
      <c r="CG301" s="278"/>
      <c r="CH301" s="278"/>
      <c r="CI301" s="278"/>
      <c r="CJ301" s="278"/>
      <c r="CK301" s="278"/>
      <c r="CL301" s="278"/>
      <c r="CM301" s="278"/>
      <c r="CN301" s="278"/>
      <c r="CO301" s="278"/>
      <c r="CP301" s="278"/>
      <c r="CQ301" s="278"/>
      <c r="CR301" s="278"/>
      <c r="CS301" s="278"/>
      <c r="CT301" s="278"/>
      <c r="CU301" s="278"/>
      <c r="CV301" s="278"/>
      <c r="CW301" s="278"/>
      <c r="CX301" s="278"/>
      <c r="CY301" s="278"/>
      <c r="CZ301" s="278"/>
      <c r="DA301" s="278"/>
      <c r="DB301" s="278"/>
      <c r="DC301" s="278"/>
      <c r="DD301" s="278"/>
      <c r="DE301" s="278"/>
      <c r="DF301" s="278"/>
      <c r="DG301" s="278"/>
      <c r="DH301" s="278"/>
      <c r="DI301" s="278"/>
      <c r="DJ301" s="278"/>
      <c r="DK301" s="278"/>
      <c r="DL301" s="278"/>
    </row>
    <row r="302" spans="1:116" ht="15.75" customHeight="1" x14ac:dyDescent="0.25">
      <c r="A302" s="466"/>
      <c r="B302" s="466"/>
      <c r="C302" s="467"/>
      <c r="D302" s="279"/>
      <c r="E302" s="280"/>
      <c r="F302" s="279"/>
      <c r="G302" s="279"/>
      <c r="H302" s="409"/>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282"/>
      <c r="AE302" s="282"/>
      <c r="AF302" s="282"/>
      <c r="AG302" s="282"/>
      <c r="AH302" s="282"/>
      <c r="AI302" s="282"/>
      <c r="AJ302" s="282"/>
      <c r="AK302" s="282"/>
      <c r="AL302" s="282"/>
      <c r="AM302" s="282"/>
      <c r="AN302" s="282"/>
      <c r="AO302" s="282"/>
      <c r="AP302" s="282"/>
      <c r="AQ302" s="282"/>
      <c r="AR302" s="282"/>
      <c r="AS302" s="282"/>
      <c r="AT302" s="282"/>
      <c r="AU302" s="282"/>
      <c r="AV302" s="282"/>
      <c r="AW302" s="282"/>
      <c r="AX302" s="282"/>
      <c r="AY302" s="282"/>
      <c r="AZ302" s="282"/>
      <c r="BA302" s="282"/>
      <c r="BB302" s="282"/>
      <c r="BC302" s="282"/>
      <c r="BD302" s="282"/>
      <c r="BE302" s="282"/>
      <c r="BF302" s="282"/>
      <c r="BG302" s="282"/>
      <c r="BH302" s="282"/>
      <c r="BI302" s="282"/>
      <c r="BJ302" s="278"/>
      <c r="BK302" s="278"/>
      <c r="BL302" s="278"/>
      <c r="BM302" s="278"/>
      <c r="BN302" s="278"/>
      <c r="BO302" s="278"/>
      <c r="BP302" s="278"/>
      <c r="BQ302" s="278"/>
      <c r="BR302" s="278"/>
      <c r="BS302" s="278"/>
      <c r="BT302" s="278"/>
      <c r="BU302" s="278"/>
      <c r="BV302" s="278"/>
      <c r="BW302" s="278"/>
      <c r="BX302" s="278"/>
      <c r="BY302" s="278"/>
      <c r="BZ302" s="278"/>
      <c r="CA302" s="278"/>
      <c r="CB302" s="278"/>
      <c r="CC302" s="278"/>
      <c r="CD302" s="278"/>
      <c r="CE302" s="278"/>
      <c r="CF302" s="278"/>
      <c r="CG302" s="278"/>
      <c r="CH302" s="278"/>
      <c r="CI302" s="278"/>
      <c r="CJ302" s="278"/>
      <c r="CK302" s="278"/>
      <c r="CL302" s="278"/>
      <c r="CM302" s="278"/>
      <c r="CN302" s="278"/>
      <c r="CO302" s="278"/>
      <c r="CP302" s="278"/>
      <c r="CQ302" s="278"/>
      <c r="CR302" s="278"/>
      <c r="CS302" s="278"/>
      <c r="CT302" s="278"/>
      <c r="CU302" s="278"/>
      <c r="CV302" s="278"/>
      <c r="CW302" s="278"/>
      <c r="CX302" s="278"/>
      <c r="CY302" s="278"/>
      <c r="CZ302" s="278"/>
      <c r="DA302" s="278"/>
      <c r="DB302" s="278"/>
      <c r="DC302" s="278"/>
      <c r="DD302" s="278"/>
      <c r="DE302" s="278"/>
      <c r="DF302" s="278"/>
      <c r="DG302" s="278"/>
      <c r="DH302" s="278"/>
      <c r="DI302" s="278"/>
      <c r="DJ302" s="278"/>
      <c r="DK302" s="278"/>
      <c r="DL302" s="278"/>
    </row>
    <row r="303" spans="1:116" ht="15.75" customHeight="1" x14ac:dyDescent="0.25">
      <c r="A303" s="466"/>
      <c r="B303" s="466"/>
      <c r="C303" s="467"/>
      <c r="D303" s="279"/>
      <c r="E303" s="280"/>
      <c r="F303" s="279"/>
      <c r="G303" s="279"/>
      <c r="H303" s="409"/>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82"/>
      <c r="AE303" s="282"/>
      <c r="AF303" s="282"/>
      <c r="AG303" s="282"/>
      <c r="AH303" s="282"/>
      <c r="AI303" s="282"/>
      <c r="AJ303" s="282"/>
      <c r="AK303" s="282"/>
      <c r="AL303" s="282"/>
      <c r="AM303" s="282"/>
      <c r="AN303" s="282"/>
      <c r="AO303" s="282"/>
      <c r="AP303" s="282"/>
      <c r="AQ303" s="282"/>
      <c r="AR303" s="282"/>
      <c r="AS303" s="282"/>
      <c r="AT303" s="282"/>
      <c r="AU303" s="282"/>
      <c r="AV303" s="282"/>
      <c r="AW303" s="282"/>
      <c r="AX303" s="282"/>
      <c r="AY303" s="282"/>
      <c r="AZ303" s="282"/>
      <c r="BA303" s="282"/>
      <c r="BB303" s="282"/>
      <c r="BC303" s="282"/>
      <c r="BD303" s="282"/>
      <c r="BE303" s="282"/>
      <c r="BF303" s="282"/>
      <c r="BG303" s="282"/>
      <c r="BH303" s="282"/>
      <c r="BI303" s="282"/>
      <c r="BJ303" s="278"/>
      <c r="BK303" s="278"/>
      <c r="BL303" s="278"/>
      <c r="BM303" s="278"/>
      <c r="BN303" s="278"/>
      <c r="BO303" s="278"/>
      <c r="BP303" s="278"/>
      <c r="BQ303" s="278"/>
      <c r="BR303" s="278"/>
      <c r="BS303" s="278"/>
      <c r="BT303" s="278"/>
      <c r="BU303" s="278"/>
      <c r="BV303" s="278"/>
      <c r="BW303" s="278"/>
      <c r="BX303" s="278"/>
      <c r="BY303" s="278"/>
      <c r="BZ303" s="278"/>
      <c r="CA303" s="278"/>
      <c r="CB303" s="278"/>
      <c r="CC303" s="278"/>
      <c r="CD303" s="278"/>
      <c r="CE303" s="278"/>
      <c r="CF303" s="278"/>
      <c r="CG303" s="278"/>
      <c r="CH303" s="278"/>
      <c r="CI303" s="278"/>
      <c r="CJ303" s="278"/>
      <c r="CK303" s="278"/>
      <c r="CL303" s="278"/>
      <c r="CM303" s="278"/>
      <c r="CN303" s="278"/>
      <c r="CO303" s="278"/>
      <c r="CP303" s="278"/>
      <c r="CQ303" s="278"/>
      <c r="CR303" s="278"/>
      <c r="CS303" s="278"/>
      <c r="CT303" s="278"/>
      <c r="CU303" s="278"/>
      <c r="CV303" s="278"/>
      <c r="CW303" s="278"/>
      <c r="CX303" s="278"/>
      <c r="CY303" s="278"/>
      <c r="CZ303" s="278"/>
      <c r="DA303" s="278"/>
      <c r="DB303" s="278"/>
      <c r="DC303" s="278"/>
      <c r="DD303" s="278"/>
      <c r="DE303" s="278"/>
      <c r="DF303" s="278"/>
      <c r="DG303" s="278"/>
      <c r="DH303" s="278"/>
      <c r="DI303" s="278"/>
      <c r="DJ303" s="278"/>
      <c r="DK303" s="278"/>
      <c r="DL303" s="278"/>
    </row>
    <row r="304" spans="1:116" ht="15.75" customHeight="1" x14ac:dyDescent="0.25">
      <c r="A304" s="466"/>
      <c r="B304" s="466"/>
      <c r="C304" s="467"/>
      <c r="D304" s="279"/>
      <c r="E304" s="280"/>
      <c r="F304" s="279"/>
      <c r="G304" s="279"/>
      <c r="H304" s="409"/>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282"/>
      <c r="AE304" s="282"/>
      <c r="AF304" s="282"/>
      <c r="AG304" s="282"/>
      <c r="AH304" s="282"/>
      <c r="AI304" s="282"/>
      <c r="AJ304" s="282"/>
      <c r="AK304" s="282"/>
      <c r="AL304" s="282"/>
      <c r="AM304" s="282"/>
      <c r="AN304" s="282"/>
      <c r="AO304" s="282"/>
      <c r="AP304" s="282"/>
      <c r="AQ304" s="282"/>
      <c r="AR304" s="282"/>
      <c r="AS304" s="282"/>
      <c r="AT304" s="282"/>
      <c r="AU304" s="282"/>
      <c r="AV304" s="282"/>
      <c r="AW304" s="282"/>
      <c r="AX304" s="282"/>
      <c r="AY304" s="282"/>
      <c r="AZ304" s="282"/>
      <c r="BA304" s="282"/>
      <c r="BB304" s="282"/>
      <c r="BC304" s="282"/>
      <c r="BD304" s="282"/>
      <c r="BE304" s="282"/>
      <c r="BF304" s="282"/>
      <c r="BG304" s="282"/>
      <c r="BH304" s="282"/>
      <c r="BI304" s="282"/>
      <c r="BJ304" s="278"/>
      <c r="BK304" s="278"/>
      <c r="BL304" s="278"/>
      <c r="BM304" s="278"/>
      <c r="BN304" s="278"/>
      <c r="BO304" s="278"/>
      <c r="BP304" s="278"/>
      <c r="BQ304" s="278"/>
      <c r="BR304" s="278"/>
      <c r="BS304" s="278"/>
      <c r="BT304" s="278"/>
      <c r="BU304" s="278"/>
      <c r="BV304" s="278"/>
      <c r="BW304" s="278"/>
      <c r="BX304" s="278"/>
      <c r="BY304" s="278"/>
      <c r="BZ304" s="278"/>
      <c r="CA304" s="278"/>
      <c r="CB304" s="278"/>
      <c r="CC304" s="278"/>
      <c r="CD304" s="278"/>
      <c r="CE304" s="278"/>
      <c r="CF304" s="278"/>
      <c r="CG304" s="278"/>
      <c r="CH304" s="278"/>
      <c r="CI304" s="278"/>
      <c r="CJ304" s="278"/>
      <c r="CK304" s="278"/>
      <c r="CL304" s="278"/>
      <c r="CM304" s="278"/>
      <c r="CN304" s="278"/>
      <c r="CO304" s="278"/>
      <c r="CP304" s="278"/>
      <c r="CQ304" s="278"/>
      <c r="CR304" s="278"/>
      <c r="CS304" s="278"/>
      <c r="CT304" s="278"/>
      <c r="CU304" s="278"/>
      <c r="CV304" s="278"/>
      <c r="CW304" s="278"/>
      <c r="CX304" s="278"/>
      <c r="CY304" s="278"/>
      <c r="CZ304" s="278"/>
      <c r="DA304" s="278"/>
      <c r="DB304" s="278"/>
      <c r="DC304" s="278"/>
      <c r="DD304" s="278"/>
      <c r="DE304" s="278"/>
      <c r="DF304" s="278"/>
      <c r="DG304" s="278"/>
      <c r="DH304" s="278"/>
      <c r="DI304" s="278"/>
      <c r="DJ304" s="278"/>
      <c r="DK304" s="278"/>
      <c r="DL304" s="278"/>
    </row>
    <row r="305" spans="1:116" ht="15.75" customHeight="1" x14ac:dyDescent="0.25">
      <c r="A305" s="466"/>
      <c r="B305" s="466"/>
      <c r="C305" s="467"/>
      <c r="D305" s="279"/>
      <c r="E305" s="280"/>
      <c r="F305" s="279"/>
      <c r="G305" s="279"/>
      <c r="H305" s="409"/>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282"/>
      <c r="AE305" s="282"/>
      <c r="AF305" s="282"/>
      <c r="AG305" s="282"/>
      <c r="AH305" s="282"/>
      <c r="AI305" s="282"/>
      <c r="AJ305" s="282"/>
      <c r="AK305" s="282"/>
      <c r="AL305" s="282"/>
      <c r="AM305" s="282"/>
      <c r="AN305" s="282"/>
      <c r="AO305" s="282"/>
      <c r="AP305" s="282"/>
      <c r="AQ305" s="282"/>
      <c r="AR305" s="282"/>
      <c r="AS305" s="282"/>
      <c r="AT305" s="282"/>
      <c r="AU305" s="282"/>
      <c r="AV305" s="282"/>
      <c r="AW305" s="282"/>
      <c r="AX305" s="282"/>
      <c r="AY305" s="282"/>
      <c r="AZ305" s="282"/>
      <c r="BA305" s="282"/>
      <c r="BB305" s="282"/>
      <c r="BC305" s="282"/>
      <c r="BD305" s="282"/>
      <c r="BE305" s="282"/>
      <c r="BF305" s="282"/>
      <c r="BG305" s="282"/>
      <c r="BH305" s="282"/>
      <c r="BI305" s="282"/>
      <c r="BJ305" s="278"/>
      <c r="BK305" s="278"/>
      <c r="BL305" s="278"/>
      <c r="BM305" s="278"/>
      <c r="BN305" s="278"/>
      <c r="BO305" s="278"/>
      <c r="BP305" s="278"/>
      <c r="BQ305" s="278"/>
      <c r="BR305" s="278"/>
      <c r="BS305" s="278"/>
      <c r="BT305" s="278"/>
      <c r="BU305" s="278"/>
      <c r="BV305" s="278"/>
      <c r="BW305" s="278"/>
      <c r="BX305" s="278"/>
      <c r="BY305" s="278"/>
      <c r="BZ305" s="278"/>
      <c r="CA305" s="278"/>
      <c r="CB305" s="278"/>
      <c r="CC305" s="278"/>
      <c r="CD305" s="278"/>
      <c r="CE305" s="278"/>
      <c r="CF305" s="278"/>
      <c r="CG305" s="278"/>
      <c r="CH305" s="278"/>
      <c r="CI305" s="278"/>
      <c r="CJ305" s="278"/>
      <c r="CK305" s="278"/>
      <c r="CL305" s="278"/>
      <c r="CM305" s="278"/>
      <c r="CN305" s="278"/>
      <c r="CO305" s="278"/>
      <c r="CP305" s="278"/>
      <c r="CQ305" s="278"/>
      <c r="CR305" s="278"/>
      <c r="CS305" s="278"/>
      <c r="CT305" s="278"/>
      <c r="CU305" s="278"/>
      <c r="CV305" s="278"/>
      <c r="CW305" s="278"/>
      <c r="CX305" s="278"/>
      <c r="CY305" s="278"/>
      <c r="CZ305" s="278"/>
      <c r="DA305" s="278"/>
      <c r="DB305" s="278"/>
      <c r="DC305" s="278"/>
      <c r="DD305" s="278"/>
      <c r="DE305" s="278"/>
      <c r="DF305" s="278"/>
      <c r="DG305" s="278"/>
      <c r="DH305" s="278"/>
      <c r="DI305" s="278"/>
      <c r="DJ305" s="278"/>
      <c r="DK305" s="278"/>
      <c r="DL305" s="278"/>
    </row>
    <row r="306" spans="1:116" ht="15.75" customHeight="1" x14ac:dyDescent="0.25">
      <c r="A306" s="466"/>
      <c r="B306" s="466"/>
      <c r="C306" s="467"/>
      <c r="D306" s="279"/>
      <c r="E306" s="280"/>
      <c r="F306" s="279"/>
      <c r="G306" s="279"/>
      <c r="H306" s="409"/>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282"/>
      <c r="AE306" s="282"/>
      <c r="AF306" s="282"/>
      <c r="AG306" s="282"/>
      <c r="AH306" s="282"/>
      <c r="AI306" s="282"/>
      <c r="AJ306" s="282"/>
      <c r="AK306" s="282"/>
      <c r="AL306" s="282"/>
      <c r="AM306" s="282"/>
      <c r="AN306" s="282"/>
      <c r="AO306" s="282"/>
      <c r="AP306" s="282"/>
      <c r="AQ306" s="282"/>
      <c r="AR306" s="282"/>
      <c r="AS306" s="282"/>
      <c r="AT306" s="282"/>
      <c r="AU306" s="282"/>
      <c r="AV306" s="282"/>
      <c r="AW306" s="282"/>
      <c r="AX306" s="282"/>
      <c r="AY306" s="282"/>
      <c r="AZ306" s="282"/>
      <c r="BA306" s="282"/>
      <c r="BB306" s="282"/>
      <c r="BC306" s="282"/>
      <c r="BD306" s="282"/>
      <c r="BE306" s="282"/>
      <c r="BF306" s="282"/>
      <c r="BG306" s="282"/>
      <c r="BH306" s="282"/>
      <c r="BI306" s="282"/>
      <c r="BJ306" s="278"/>
      <c r="BK306" s="278"/>
      <c r="BL306" s="278"/>
      <c r="BM306" s="278"/>
      <c r="BN306" s="278"/>
      <c r="BO306" s="278"/>
      <c r="BP306" s="278"/>
      <c r="BQ306" s="278"/>
      <c r="BR306" s="278"/>
      <c r="BS306" s="278"/>
      <c r="BT306" s="278"/>
      <c r="BU306" s="278"/>
      <c r="BV306" s="278"/>
      <c r="BW306" s="278"/>
      <c r="BX306" s="278"/>
      <c r="BY306" s="278"/>
      <c r="BZ306" s="278"/>
      <c r="CA306" s="278"/>
      <c r="CB306" s="278"/>
      <c r="CC306" s="278"/>
      <c r="CD306" s="278"/>
      <c r="CE306" s="278"/>
      <c r="CF306" s="278"/>
      <c r="CG306" s="278"/>
      <c r="CH306" s="278"/>
      <c r="CI306" s="278"/>
      <c r="CJ306" s="278"/>
      <c r="CK306" s="278"/>
      <c r="CL306" s="278"/>
      <c r="CM306" s="278"/>
      <c r="CN306" s="278"/>
      <c r="CO306" s="278"/>
      <c r="CP306" s="278"/>
      <c r="CQ306" s="278"/>
      <c r="CR306" s="278"/>
      <c r="CS306" s="278"/>
      <c r="CT306" s="278"/>
      <c r="CU306" s="278"/>
      <c r="CV306" s="278"/>
      <c r="CW306" s="278"/>
      <c r="CX306" s="278"/>
      <c r="CY306" s="278"/>
      <c r="CZ306" s="278"/>
      <c r="DA306" s="278"/>
      <c r="DB306" s="278"/>
      <c r="DC306" s="278"/>
      <c r="DD306" s="278"/>
      <c r="DE306" s="278"/>
      <c r="DF306" s="278"/>
      <c r="DG306" s="278"/>
      <c r="DH306" s="278"/>
      <c r="DI306" s="278"/>
      <c r="DJ306" s="278"/>
      <c r="DK306" s="278"/>
      <c r="DL306" s="278"/>
    </row>
    <row r="307" spans="1:116" ht="15.75" customHeight="1" x14ac:dyDescent="0.25">
      <c r="A307" s="466"/>
      <c r="B307" s="466"/>
      <c r="C307" s="467"/>
      <c r="D307" s="279"/>
      <c r="E307" s="280"/>
      <c r="F307" s="279"/>
      <c r="G307" s="279"/>
      <c r="H307" s="409"/>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282"/>
      <c r="AE307" s="282"/>
      <c r="AF307" s="282"/>
      <c r="AG307" s="282"/>
      <c r="AH307" s="282"/>
      <c r="AI307" s="282"/>
      <c r="AJ307" s="282"/>
      <c r="AK307" s="282"/>
      <c r="AL307" s="282"/>
      <c r="AM307" s="282"/>
      <c r="AN307" s="282"/>
      <c r="AO307" s="282"/>
      <c r="AP307" s="282"/>
      <c r="AQ307" s="282"/>
      <c r="AR307" s="282"/>
      <c r="AS307" s="282"/>
      <c r="AT307" s="282"/>
      <c r="AU307" s="282"/>
      <c r="AV307" s="282"/>
      <c r="AW307" s="282"/>
      <c r="AX307" s="282"/>
      <c r="AY307" s="282"/>
      <c r="AZ307" s="282"/>
      <c r="BA307" s="282"/>
      <c r="BB307" s="282"/>
      <c r="BC307" s="282"/>
      <c r="BD307" s="282"/>
      <c r="BE307" s="282"/>
      <c r="BF307" s="282"/>
      <c r="BG307" s="282"/>
      <c r="BH307" s="282"/>
      <c r="BI307" s="282"/>
      <c r="BJ307" s="278"/>
      <c r="BK307" s="278"/>
      <c r="BL307" s="278"/>
      <c r="BM307" s="278"/>
      <c r="BN307" s="278"/>
      <c r="BO307" s="278"/>
      <c r="BP307" s="278"/>
      <c r="BQ307" s="278"/>
      <c r="BR307" s="278"/>
      <c r="BS307" s="278"/>
      <c r="BT307" s="278"/>
      <c r="BU307" s="278"/>
      <c r="BV307" s="278"/>
      <c r="BW307" s="278"/>
      <c r="BX307" s="278"/>
      <c r="BY307" s="278"/>
      <c r="BZ307" s="278"/>
      <c r="CA307" s="278"/>
      <c r="CB307" s="278"/>
      <c r="CC307" s="278"/>
      <c r="CD307" s="278"/>
      <c r="CE307" s="278"/>
      <c r="CF307" s="278"/>
      <c r="CG307" s="278"/>
      <c r="CH307" s="278"/>
      <c r="CI307" s="278"/>
      <c r="CJ307" s="278"/>
      <c r="CK307" s="278"/>
      <c r="CL307" s="278"/>
      <c r="CM307" s="278"/>
      <c r="CN307" s="278"/>
      <c r="CO307" s="278"/>
      <c r="CP307" s="278"/>
      <c r="CQ307" s="278"/>
      <c r="CR307" s="278"/>
      <c r="CS307" s="278"/>
      <c r="CT307" s="278"/>
      <c r="CU307" s="278"/>
      <c r="CV307" s="278"/>
      <c r="CW307" s="278"/>
      <c r="CX307" s="278"/>
      <c r="CY307" s="278"/>
      <c r="CZ307" s="278"/>
      <c r="DA307" s="278"/>
      <c r="DB307" s="278"/>
      <c r="DC307" s="278"/>
      <c r="DD307" s="278"/>
      <c r="DE307" s="278"/>
      <c r="DF307" s="278"/>
      <c r="DG307" s="278"/>
      <c r="DH307" s="278"/>
      <c r="DI307" s="278"/>
      <c r="DJ307" s="278"/>
      <c r="DK307" s="278"/>
      <c r="DL307" s="278"/>
    </row>
    <row r="308" spans="1:116" ht="15.75" customHeight="1" x14ac:dyDescent="0.25">
      <c r="A308" s="466"/>
      <c r="B308" s="466"/>
      <c r="C308" s="467"/>
      <c r="D308" s="279"/>
      <c r="E308" s="280"/>
      <c r="F308" s="279"/>
      <c r="G308" s="279"/>
      <c r="H308" s="409"/>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282"/>
      <c r="AE308" s="282"/>
      <c r="AF308" s="282"/>
      <c r="AG308" s="282"/>
      <c r="AH308" s="282"/>
      <c r="AI308" s="282"/>
      <c r="AJ308" s="282"/>
      <c r="AK308" s="282"/>
      <c r="AL308" s="282"/>
      <c r="AM308" s="282"/>
      <c r="AN308" s="282"/>
      <c r="AO308" s="282"/>
      <c r="AP308" s="282"/>
      <c r="AQ308" s="282"/>
      <c r="AR308" s="282"/>
      <c r="AS308" s="282"/>
      <c r="AT308" s="282"/>
      <c r="AU308" s="282"/>
      <c r="AV308" s="282"/>
      <c r="AW308" s="282"/>
      <c r="AX308" s="282"/>
      <c r="AY308" s="282"/>
      <c r="AZ308" s="282"/>
      <c r="BA308" s="282"/>
      <c r="BB308" s="282"/>
      <c r="BC308" s="282"/>
      <c r="BD308" s="282"/>
      <c r="BE308" s="282"/>
      <c r="BF308" s="282"/>
      <c r="BG308" s="282"/>
      <c r="BH308" s="282"/>
      <c r="BI308" s="282"/>
      <c r="BJ308" s="278"/>
      <c r="BK308" s="278"/>
      <c r="BL308" s="278"/>
      <c r="BM308" s="278"/>
      <c r="BN308" s="278"/>
      <c r="BO308" s="278"/>
      <c r="BP308" s="278"/>
      <c r="BQ308" s="278"/>
      <c r="BR308" s="278"/>
      <c r="BS308" s="278"/>
      <c r="BT308" s="278"/>
      <c r="BU308" s="278"/>
      <c r="BV308" s="278"/>
      <c r="BW308" s="278"/>
      <c r="BX308" s="278"/>
      <c r="BY308" s="278"/>
      <c r="BZ308" s="278"/>
      <c r="CA308" s="278"/>
      <c r="CB308" s="278"/>
      <c r="CC308" s="278"/>
      <c r="CD308" s="278"/>
      <c r="CE308" s="278"/>
      <c r="CF308" s="278"/>
      <c r="CG308" s="278"/>
      <c r="CH308" s="278"/>
      <c r="CI308" s="278"/>
      <c r="CJ308" s="278"/>
      <c r="CK308" s="278"/>
      <c r="CL308" s="278"/>
      <c r="CM308" s="278"/>
      <c r="CN308" s="278"/>
      <c r="CO308" s="278"/>
      <c r="CP308" s="278"/>
      <c r="CQ308" s="278"/>
      <c r="CR308" s="278"/>
      <c r="CS308" s="278"/>
      <c r="CT308" s="278"/>
      <c r="CU308" s="278"/>
      <c r="CV308" s="278"/>
      <c r="CW308" s="278"/>
      <c r="CX308" s="278"/>
      <c r="CY308" s="278"/>
      <c r="CZ308" s="278"/>
      <c r="DA308" s="278"/>
      <c r="DB308" s="278"/>
      <c r="DC308" s="278"/>
      <c r="DD308" s="278"/>
      <c r="DE308" s="278"/>
      <c r="DF308" s="278"/>
      <c r="DG308" s="278"/>
      <c r="DH308" s="278"/>
      <c r="DI308" s="278"/>
      <c r="DJ308" s="278"/>
      <c r="DK308" s="278"/>
      <c r="DL308" s="278"/>
    </row>
    <row r="309" spans="1:116" ht="15.75" customHeight="1" x14ac:dyDescent="0.25">
      <c r="A309" s="466"/>
      <c r="B309" s="466"/>
      <c r="C309" s="467"/>
      <c r="D309" s="279"/>
      <c r="E309" s="280"/>
      <c r="F309" s="279"/>
      <c r="G309" s="279"/>
      <c r="H309" s="409"/>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282"/>
      <c r="AE309" s="282"/>
      <c r="AF309" s="282"/>
      <c r="AG309" s="282"/>
      <c r="AH309" s="282"/>
      <c r="AI309" s="282"/>
      <c r="AJ309" s="282"/>
      <c r="AK309" s="282"/>
      <c r="AL309" s="282"/>
      <c r="AM309" s="282"/>
      <c r="AN309" s="282"/>
      <c r="AO309" s="282"/>
      <c r="AP309" s="282"/>
      <c r="AQ309" s="282"/>
      <c r="AR309" s="282"/>
      <c r="AS309" s="282"/>
      <c r="AT309" s="282"/>
      <c r="AU309" s="282"/>
      <c r="AV309" s="282"/>
      <c r="AW309" s="282"/>
      <c r="AX309" s="282"/>
      <c r="AY309" s="282"/>
      <c r="AZ309" s="282"/>
      <c r="BA309" s="282"/>
      <c r="BB309" s="282"/>
      <c r="BC309" s="282"/>
      <c r="BD309" s="282"/>
      <c r="BE309" s="282"/>
      <c r="BF309" s="282"/>
      <c r="BG309" s="282"/>
      <c r="BH309" s="282"/>
      <c r="BI309" s="282"/>
      <c r="BJ309" s="278"/>
      <c r="BK309" s="278"/>
      <c r="BL309" s="278"/>
      <c r="BM309" s="278"/>
      <c r="BN309" s="278"/>
      <c r="BO309" s="278"/>
      <c r="BP309" s="278"/>
      <c r="BQ309" s="278"/>
      <c r="BR309" s="278"/>
      <c r="BS309" s="278"/>
      <c r="BT309" s="278"/>
      <c r="BU309" s="278"/>
      <c r="BV309" s="278"/>
      <c r="BW309" s="278"/>
      <c r="BX309" s="278"/>
      <c r="BY309" s="278"/>
      <c r="BZ309" s="278"/>
      <c r="CA309" s="278"/>
      <c r="CB309" s="278"/>
      <c r="CC309" s="278"/>
      <c r="CD309" s="278"/>
      <c r="CE309" s="278"/>
      <c r="CF309" s="278"/>
      <c r="CG309" s="278"/>
      <c r="CH309" s="278"/>
      <c r="CI309" s="278"/>
      <c r="CJ309" s="278"/>
      <c r="CK309" s="278"/>
      <c r="CL309" s="278"/>
      <c r="CM309" s="278"/>
      <c r="CN309" s="278"/>
      <c r="CO309" s="278"/>
      <c r="CP309" s="278"/>
      <c r="CQ309" s="278"/>
      <c r="CR309" s="278"/>
      <c r="CS309" s="278"/>
      <c r="CT309" s="278"/>
      <c r="CU309" s="278"/>
      <c r="CV309" s="278"/>
      <c r="CW309" s="278"/>
      <c r="CX309" s="278"/>
      <c r="CY309" s="278"/>
      <c r="CZ309" s="278"/>
      <c r="DA309" s="278"/>
      <c r="DB309" s="278"/>
      <c r="DC309" s="278"/>
      <c r="DD309" s="278"/>
      <c r="DE309" s="278"/>
      <c r="DF309" s="278"/>
      <c r="DG309" s="278"/>
      <c r="DH309" s="278"/>
      <c r="DI309" s="278"/>
      <c r="DJ309" s="278"/>
      <c r="DK309" s="278"/>
      <c r="DL309" s="278"/>
    </row>
    <row r="310" spans="1:116" ht="15.75" customHeight="1" x14ac:dyDescent="0.25">
      <c r="A310" s="466"/>
      <c r="B310" s="466"/>
      <c r="C310" s="467"/>
      <c r="D310" s="279"/>
      <c r="E310" s="280"/>
      <c r="F310" s="279"/>
      <c r="G310" s="279"/>
      <c r="H310" s="409"/>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282"/>
      <c r="AE310" s="282"/>
      <c r="AF310" s="282"/>
      <c r="AG310" s="282"/>
      <c r="AH310" s="282"/>
      <c r="AI310" s="282"/>
      <c r="AJ310" s="282"/>
      <c r="AK310" s="282"/>
      <c r="AL310" s="282"/>
      <c r="AM310" s="282"/>
      <c r="AN310" s="282"/>
      <c r="AO310" s="282"/>
      <c r="AP310" s="282"/>
      <c r="AQ310" s="282"/>
      <c r="AR310" s="282"/>
      <c r="AS310" s="282"/>
      <c r="AT310" s="282"/>
      <c r="AU310" s="282"/>
      <c r="AV310" s="282"/>
      <c r="AW310" s="282"/>
      <c r="AX310" s="282"/>
      <c r="AY310" s="282"/>
      <c r="AZ310" s="282"/>
      <c r="BA310" s="282"/>
      <c r="BB310" s="282"/>
      <c r="BC310" s="282"/>
      <c r="BD310" s="282"/>
      <c r="BE310" s="282"/>
      <c r="BF310" s="282"/>
      <c r="BG310" s="282"/>
      <c r="BH310" s="282"/>
      <c r="BI310" s="282"/>
      <c r="BJ310" s="278"/>
      <c r="BK310" s="278"/>
      <c r="BL310" s="278"/>
      <c r="BM310" s="278"/>
      <c r="BN310" s="278"/>
      <c r="BO310" s="278"/>
      <c r="BP310" s="278"/>
      <c r="BQ310" s="278"/>
      <c r="BR310" s="278"/>
      <c r="BS310" s="278"/>
      <c r="BT310" s="278"/>
      <c r="BU310" s="278"/>
      <c r="BV310" s="278"/>
      <c r="BW310" s="278"/>
      <c r="BX310" s="278"/>
      <c r="BY310" s="278"/>
      <c r="BZ310" s="278"/>
      <c r="CA310" s="278"/>
      <c r="CB310" s="278"/>
      <c r="CC310" s="278"/>
      <c r="CD310" s="278"/>
      <c r="CE310" s="278"/>
      <c r="CF310" s="278"/>
      <c r="CG310" s="278"/>
      <c r="CH310" s="278"/>
      <c r="CI310" s="278"/>
      <c r="CJ310" s="278"/>
      <c r="CK310" s="278"/>
      <c r="CL310" s="278"/>
      <c r="CM310" s="278"/>
      <c r="CN310" s="278"/>
      <c r="CO310" s="278"/>
      <c r="CP310" s="278"/>
      <c r="CQ310" s="278"/>
      <c r="CR310" s="278"/>
      <c r="CS310" s="278"/>
      <c r="CT310" s="278"/>
      <c r="CU310" s="278"/>
      <c r="CV310" s="278"/>
      <c r="CW310" s="278"/>
      <c r="CX310" s="278"/>
      <c r="CY310" s="278"/>
      <c r="CZ310" s="278"/>
      <c r="DA310" s="278"/>
      <c r="DB310" s="278"/>
      <c r="DC310" s="278"/>
      <c r="DD310" s="278"/>
      <c r="DE310" s="278"/>
      <c r="DF310" s="278"/>
      <c r="DG310" s="278"/>
      <c r="DH310" s="278"/>
      <c r="DI310" s="278"/>
      <c r="DJ310" s="278"/>
      <c r="DK310" s="278"/>
      <c r="DL310" s="278"/>
    </row>
    <row r="311" spans="1:116" ht="15.75" customHeight="1" x14ac:dyDescent="0.25">
      <c r="A311" s="466"/>
      <c r="B311" s="466"/>
      <c r="C311" s="467"/>
      <c r="D311" s="279"/>
      <c r="E311" s="280"/>
      <c r="F311" s="279"/>
      <c r="G311" s="279"/>
      <c r="H311" s="409"/>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282"/>
      <c r="AE311" s="282"/>
      <c r="AF311" s="282"/>
      <c r="AG311" s="282"/>
      <c r="AH311" s="282"/>
      <c r="AI311" s="282"/>
      <c r="AJ311" s="282"/>
      <c r="AK311" s="282"/>
      <c r="AL311" s="282"/>
      <c r="AM311" s="282"/>
      <c r="AN311" s="282"/>
      <c r="AO311" s="282"/>
      <c r="AP311" s="282"/>
      <c r="AQ311" s="282"/>
      <c r="AR311" s="282"/>
      <c r="AS311" s="282"/>
      <c r="AT311" s="282"/>
      <c r="AU311" s="282"/>
      <c r="AV311" s="282"/>
      <c r="AW311" s="282"/>
      <c r="AX311" s="282"/>
      <c r="AY311" s="282"/>
      <c r="AZ311" s="282"/>
      <c r="BA311" s="282"/>
      <c r="BB311" s="282"/>
      <c r="BC311" s="282"/>
      <c r="BD311" s="282"/>
      <c r="BE311" s="282"/>
      <c r="BF311" s="282"/>
      <c r="BG311" s="282"/>
      <c r="BH311" s="282"/>
      <c r="BI311" s="282"/>
      <c r="BJ311" s="278"/>
      <c r="BK311" s="278"/>
      <c r="BL311" s="278"/>
      <c r="BM311" s="278"/>
      <c r="BN311" s="278"/>
      <c r="BO311" s="278"/>
      <c r="BP311" s="278"/>
      <c r="BQ311" s="278"/>
      <c r="BR311" s="278"/>
      <c r="BS311" s="278"/>
      <c r="BT311" s="278"/>
      <c r="BU311" s="278"/>
      <c r="BV311" s="278"/>
      <c r="BW311" s="278"/>
      <c r="BX311" s="278"/>
      <c r="BY311" s="278"/>
      <c r="BZ311" s="278"/>
      <c r="CA311" s="278"/>
      <c r="CB311" s="278"/>
      <c r="CC311" s="278"/>
      <c r="CD311" s="278"/>
      <c r="CE311" s="278"/>
      <c r="CF311" s="278"/>
      <c r="CG311" s="278"/>
      <c r="CH311" s="278"/>
      <c r="CI311" s="278"/>
      <c r="CJ311" s="278"/>
      <c r="CK311" s="278"/>
      <c r="CL311" s="278"/>
      <c r="CM311" s="278"/>
      <c r="CN311" s="278"/>
      <c r="CO311" s="278"/>
      <c r="CP311" s="278"/>
      <c r="CQ311" s="278"/>
      <c r="CR311" s="278"/>
      <c r="CS311" s="278"/>
      <c r="CT311" s="278"/>
      <c r="CU311" s="278"/>
      <c r="CV311" s="278"/>
      <c r="CW311" s="278"/>
      <c r="CX311" s="278"/>
      <c r="CY311" s="278"/>
      <c r="CZ311" s="278"/>
      <c r="DA311" s="278"/>
      <c r="DB311" s="278"/>
      <c r="DC311" s="278"/>
      <c r="DD311" s="278"/>
      <c r="DE311" s="278"/>
      <c r="DF311" s="278"/>
      <c r="DG311" s="278"/>
      <c r="DH311" s="278"/>
      <c r="DI311" s="278"/>
      <c r="DJ311" s="278"/>
      <c r="DK311" s="278"/>
      <c r="DL311" s="278"/>
    </row>
    <row r="312" spans="1:116" ht="15.75" customHeight="1" x14ac:dyDescent="0.25">
      <c r="A312" s="466"/>
      <c r="B312" s="466"/>
      <c r="C312" s="467"/>
      <c r="D312" s="279"/>
      <c r="E312" s="280"/>
      <c r="F312" s="279"/>
      <c r="G312" s="279"/>
      <c r="H312" s="409"/>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282"/>
      <c r="AE312" s="282"/>
      <c r="AF312" s="282"/>
      <c r="AG312" s="282"/>
      <c r="AH312" s="282"/>
      <c r="AI312" s="282"/>
      <c r="AJ312" s="282"/>
      <c r="AK312" s="282"/>
      <c r="AL312" s="282"/>
      <c r="AM312" s="282"/>
      <c r="AN312" s="282"/>
      <c r="AO312" s="282"/>
      <c r="AP312" s="282"/>
      <c r="AQ312" s="282"/>
      <c r="AR312" s="282"/>
      <c r="AS312" s="282"/>
      <c r="AT312" s="282"/>
      <c r="AU312" s="282"/>
      <c r="AV312" s="282"/>
      <c r="AW312" s="282"/>
      <c r="AX312" s="282"/>
      <c r="AY312" s="282"/>
      <c r="AZ312" s="282"/>
      <c r="BA312" s="282"/>
      <c r="BB312" s="282"/>
      <c r="BC312" s="282"/>
      <c r="BD312" s="282"/>
      <c r="BE312" s="282"/>
      <c r="BF312" s="282"/>
      <c r="BG312" s="282"/>
      <c r="BH312" s="282"/>
      <c r="BI312" s="282"/>
      <c r="BJ312" s="278"/>
      <c r="BK312" s="278"/>
      <c r="BL312" s="278"/>
      <c r="BM312" s="278"/>
      <c r="BN312" s="278"/>
      <c r="BO312" s="278"/>
      <c r="BP312" s="278"/>
      <c r="BQ312" s="278"/>
      <c r="BR312" s="278"/>
      <c r="BS312" s="278"/>
      <c r="BT312" s="278"/>
      <c r="BU312" s="278"/>
      <c r="BV312" s="278"/>
      <c r="BW312" s="278"/>
      <c r="BX312" s="278"/>
      <c r="BY312" s="278"/>
      <c r="BZ312" s="278"/>
      <c r="CA312" s="278"/>
      <c r="CB312" s="278"/>
      <c r="CC312" s="278"/>
      <c r="CD312" s="278"/>
      <c r="CE312" s="278"/>
      <c r="CF312" s="278"/>
      <c r="CG312" s="278"/>
      <c r="CH312" s="278"/>
      <c r="CI312" s="278"/>
      <c r="CJ312" s="278"/>
      <c r="CK312" s="278"/>
      <c r="CL312" s="278"/>
      <c r="CM312" s="278"/>
      <c r="CN312" s="278"/>
      <c r="CO312" s="278"/>
      <c r="CP312" s="278"/>
      <c r="CQ312" s="278"/>
      <c r="CR312" s="278"/>
      <c r="CS312" s="278"/>
      <c r="CT312" s="278"/>
      <c r="CU312" s="278"/>
      <c r="CV312" s="278"/>
      <c r="CW312" s="278"/>
      <c r="CX312" s="278"/>
      <c r="CY312" s="278"/>
      <c r="CZ312" s="278"/>
      <c r="DA312" s="278"/>
      <c r="DB312" s="278"/>
      <c r="DC312" s="278"/>
      <c r="DD312" s="278"/>
      <c r="DE312" s="278"/>
      <c r="DF312" s="278"/>
      <c r="DG312" s="278"/>
      <c r="DH312" s="278"/>
      <c r="DI312" s="278"/>
      <c r="DJ312" s="278"/>
      <c r="DK312" s="278"/>
      <c r="DL312" s="278"/>
    </row>
    <row r="313" spans="1:116" ht="15.75" customHeight="1" x14ac:dyDescent="0.25">
      <c r="A313" s="466"/>
      <c r="B313" s="466"/>
      <c r="C313" s="467"/>
      <c r="D313" s="279"/>
      <c r="E313" s="280"/>
      <c r="F313" s="279"/>
      <c r="G313" s="279"/>
      <c r="H313" s="409"/>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282"/>
      <c r="AE313" s="282"/>
      <c r="AF313" s="282"/>
      <c r="AG313" s="282"/>
      <c r="AH313" s="282"/>
      <c r="AI313" s="282"/>
      <c r="AJ313" s="282"/>
      <c r="AK313" s="282"/>
      <c r="AL313" s="282"/>
      <c r="AM313" s="282"/>
      <c r="AN313" s="282"/>
      <c r="AO313" s="282"/>
      <c r="AP313" s="282"/>
      <c r="AQ313" s="282"/>
      <c r="AR313" s="282"/>
      <c r="AS313" s="282"/>
      <c r="AT313" s="282"/>
      <c r="AU313" s="282"/>
      <c r="AV313" s="282"/>
      <c r="AW313" s="282"/>
      <c r="AX313" s="282"/>
      <c r="AY313" s="282"/>
      <c r="AZ313" s="282"/>
      <c r="BA313" s="282"/>
      <c r="BB313" s="282"/>
      <c r="BC313" s="282"/>
      <c r="BD313" s="282"/>
      <c r="BE313" s="282"/>
      <c r="BF313" s="282"/>
      <c r="BG313" s="282"/>
      <c r="BH313" s="282"/>
      <c r="BI313" s="282"/>
      <c r="BJ313" s="278"/>
      <c r="BK313" s="278"/>
      <c r="BL313" s="278"/>
      <c r="BM313" s="278"/>
      <c r="BN313" s="278"/>
      <c r="BO313" s="278"/>
      <c r="BP313" s="278"/>
      <c r="BQ313" s="278"/>
      <c r="BR313" s="278"/>
      <c r="BS313" s="278"/>
      <c r="BT313" s="278"/>
      <c r="BU313" s="278"/>
      <c r="BV313" s="278"/>
      <c r="BW313" s="278"/>
      <c r="BX313" s="278"/>
      <c r="BY313" s="278"/>
      <c r="BZ313" s="278"/>
      <c r="CA313" s="278"/>
      <c r="CB313" s="278"/>
      <c r="CC313" s="278"/>
      <c r="CD313" s="278"/>
      <c r="CE313" s="278"/>
      <c r="CF313" s="278"/>
      <c r="CG313" s="278"/>
      <c r="CH313" s="278"/>
      <c r="CI313" s="278"/>
      <c r="CJ313" s="278"/>
      <c r="CK313" s="278"/>
      <c r="CL313" s="278"/>
      <c r="CM313" s="278"/>
      <c r="CN313" s="278"/>
      <c r="CO313" s="278"/>
      <c r="CP313" s="278"/>
      <c r="CQ313" s="278"/>
      <c r="CR313" s="278"/>
      <c r="CS313" s="278"/>
      <c r="CT313" s="278"/>
      <c r="CU313" s="278"/>
      <c r="CV313" s="278"/>
      <c r="CW313" s="278"/>
      <c r="CX313" s="278"/>
      <c r="CY313" s="278"/>
      <c r="CZ313" s="278"/>
      <c r="DA313" s="278"/>
      <c r="DB313" s="278"/>
      <c r="DC313" s="278"/>
      <c r="DD313" s="278"/>
      <c r="DE313" s="278"/>
      <c r="DF313" s="278"/>
      <c r="DG313" s="278"/>
      <c r="DH313" s="278"/>
      <c r="DI313" s="278"/>
      <c r="DJ313" s="278"/>
      <c r="DK313" s="278"/>
      <c r="DL313" s="278"/>
    </row>
    <row r="314" spans="1:116" ht="15.75" customHeight="1" x14ac:dyDescent="0.25">
      <c r="A314" s="468"/>
      <c r="B314" s="469"/>
      <c r="C314" s="278"/>
      <c r="D314" s="389"/>
      <c r="E314" s="470"/>
      <c r="F314" s="389"/>
      <c r="G314" s="389"/>
      <c r="H314" s="471"/>
      <c r="I314" s="278"/>
      <c r="J314" s="278"/>
      <c r="K314" s="278"/>
      <c r="L314" s="278"/>
      <c r="M314" s="278"/>
      <c r="N314" s="278"/>
      <c r="O314" s="278"/>
      <c r="P314" s="278"/>
      <c r="Q314" s="278"/>
      <c r="R314" s="278"/>
      <c r="S314" s="278"/>
      <c r="T314" s="278"/>
      <c r="U314" s="278"/>
      <c r="V314" s="278"/>
      <c r="W314" s="278"/>
      <c r="X314" s="278"/>
      <c r="Y314" s="278"/>
      <c r="Z314" s="278"/>
      <c r="AA314" s="278"/>
      <c r="AB314" s="278"/>
      <c r="AC314" s="278"/>
      <c r="AD314" s="278"/>
      <c r="AE314" s="278"/>
      <c r="AF314" s="278"/>
      <c r="AG314" s="278"/>
      <c r="AH314" s="278"/>
      <c r="AI314" s="278"/>
      <c r="AJ314" s="278"/>
      <c r="AK314" s="278"/>
      <c r="AL314" s="278"/>
      <c r="AM314" s="278"/>
      <c r="AN314" s="278"/>
      <c r="AO314" s="278"/>
      <c r="AP314" s="278"/>
      <c r="AQ314" s="278"/>
      <c r="AR314" s="278"/>
      <c r="AS314" s="278"/>
      <c r="AT314" s="278"/>
      <c r="AU314" s="278"/>
      <c r="AV314" s="278"/>
      <c r="AW314" s="278"/>
      <c r="AX314" s="278"/>
      <c r="AY314" s="278"/>
      <c r="AZ314" s="278"/>
      <c r="BA314" s="278"/>
      <c r="BB314" s="278"/>
      <c r="BC314" s="278"/>
      <c r="BD314" s="278"/>
      <c r="BE314" s="278"/>
      <c r="BF314" s="278"/>
      <c r="BG314" s="278"/>
      <c r="BH314" s="278"/>
      <c r="BI314" s="278"/>
      <c r="BJ314" s="278"/>
      <c r="BK314" s="278"/>
      <c r="BL314" s="278"/>
      <c r="BM314" s="278"/>
      <c r="BN314" s="278"/>
      <c r="BO314" s="278"/>
      <c r="BP314" s="278"/>
      <c r="BQ314" s="278"/>
      <c r="BR314" s="278"/>
      <c r="BS314" s="278"/>
      <c r="BT314" s="278"/>
      <c r="BU314" s="278"/>
      <c r="BV314" s="278"/>
      <c r="BW314" s="278"/>
      <c r="BX314" s="278"/>
      <c r="BY314" s="278"/>
      <c r="BZ314" s="278"/>
      <c r="CA314" s="278"/>
      <c r="CB314" s="278"/>
      <c r="CC314" s="278"/>
      <c r="CD314" s="278"/>
      <c r="CE314" s="278"/>
      <c r="CF314" s="278"/>
      <c r="CG314" s="278"/>
      <c r="CH314" s="278"/>
      <c r="CI314" s="278"/>
      <c r="CJ314" s="278"/>
      <c r="CK314" s="278"/>
      <c r="CL314" s="278"/>
      <c r="CM314" s="278"/>
      <c r="CN314" s="278"/>
      <c r="CO314" s="278"/>
      <c r="CP314" s="278"/>
      <c r="CQ314" s="278"/>
      <c r="CR314" s="278"/>
      <c r="CS314" s="278"/>
      <c r="CT314" s="278"/>
      <c r="CU314" s="278"/>
      <c r="CV314" s="278"/>
      <c r="CW314" s="278"/>
      <c r="CX314" s="278"/>
      <c r="CY314" s="278"/>
      <c r="CZ314" s="278"/>
      <c r="DA314" s="278"/>
      <c r="DB314" s="278"/>
      <c r="DC314" s="278"/>
      <c r="DD314" s="278"/>
      <c r="DE314" s="278"/>
      <c r="DF314" s="278"/>
      <c r="DG314" s="278"/>
      <c r="DH314" s="278"/>
      <c r="DI314" s="278"/>
      <c r="DJ314" s="278"/>
      <c r="DK314" s="278"/>
      <c r="DL314" s="278"/>
    </row>
    <row r="315" spans="1:116" ht="15.75" customHeight="1" x14ac:dyDescent="0.25">
      <c r="A315" s="468"/>
      <c r="B315" s="469"/>
      <c r="C315" s="278"/>
      <c r="D315" s="389"/>
      <c r="E315" s="470"/>
      <c r="F315" s="389"/>
      <c r="G315" s="389"/>
      <c r="H315" s="471"/>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78"/>
      <c r="AE315" s="278"/>
      <c r="AF315" s="278"/>
      <c r="AG315" s="278"/>
      <c r="AH315" s="278"/>
      <c r="AI315" s="278"/>
      <c r="AJ315" s="278"/>
      <c r="AK315" s="278"/>
      <c r="AL315" s="278"/>
      <c r="AM315" s="278"/>
      <c r="AN315" s="278"/>
      <c r="AO315" s="278"/>
      <c r="AP315" s="278"/>
      <c r="AQ315" s="278"/>
      <c r="AR315" s="278"/>
      <c r="AS315" s="278"/>
      <c r="AT315" s="278"/>
      <c r="AU315" s="278"/>
      <c r="AV315" s="278"/>
      <c r="AW315" s="278"/>
      <c r="AX315" s="278"/>
      <c r="AY315" s="278"/>
      <c r="AZ315" s="278"/>
      <c r="BA315" s="278"/>
      <c r="BB315" s="278"/>
      <c r="BC315" s="278"/>
      <c r="BD315" s="278"/>
      <c r="BE315" s="278"/>
      <c r="BF315" s="278"/>
      <c r="BG315" s="278"/>
      <c r="BH315" s="278"/>
      <c r="BI315" s="278"/>
      <c r="BJ315" s="278"/>
      <c r="BK315" s="278"/>
      <c r="BL315" s="278"/>
      <c r="BM315" s="278"/>
      <c r="BN315" s="278"/>
      <c r="BO315" s="278"/>
      <c r="BP315" s="278"/>
      <c r="BQ315" s="278"/>
      <c r="BR315" s="278"/>
      <c r="BS315" s="278"/>
      <c r="BT315" s="278"/>
      <c r="BU315" s="278"/>
      <c r="BV315" s="278"/>
      <c r="BW315" s="278"/>
      <c r="BX315" s="278"/>
      <c r="BY315" s="278"/>
      <c r="BZ315" s="278"/>
      <c r="CA315" s="278"/>
      <c r="CB315" s="278"/>
      <c r="CC315" s="278"/>
      <c r="CD315" s="278"/>
      <c r="CE315" s="278"/>
      <c r="CF315" s="278"/>
      <c r="CG315" s="278"/>
      <c r="CH315" s="278"/>
      <c r="CI315" s="278"/>
      <c r="CJ315" s="278"/>
      <c r="CK315" s="278"/>
      <c r="CL315" s="278"/>
      <c r="CM315" s="278"/>
      <c r="CN315" s="278"/>
      <c r="CO315" s="278"/>
      <c r="CP315" s="278"/>
      <c r="CQ315" s="278"/>
      <c r="CR315" s="278"/>
      <c r="CS315" s="278"/>
      <c r="CT315" s="278"/>
      <c r="CU315" s="278"/>
      <c r="CV315" s="278"/>
      <c r="CW315" s="278"/>
      <c r="CX315" s="278"/>
      <c r="CY315" s="278"/>
      <c r="CZ315" s="278"/>
      <c r="DA315" s="278"/>
      <c r="DB315" s="278"/>
      <c r="DC315" s="278"/>
      <c r="DD315" s="278"/>
      <c r="DE315" s="278"/>
      <c r="DF315" s="278"/>
      <c r="DG315" s="278"/>
      <c r="DH315" s="278"/>
      <c r="DI315" s="278"/>
      <c r="DJ315" s="278"/>
      <c r="DK315" s="278"/>
      <c r="DL315" s="278"/>
    </row>
    <row r="316" spans="1:116" ht="15.75" customHeight="1" x14ac:dyDescent="0.25">
      <c r="A316" s="468"/>
      <c r="B316" s="469"/>
      <c r="C316" s="278"/>
      <c r="D316" s="389"/>
      <c r="E316" s="470"/>
      <c r="F316" s="389"/>
      <c r="G316" s="389"/>
      <c r="H316" s="471"/>
      <c r="I316" s="278"/>
      <c r="J316" s="278"/>
      <c r="K316" s="278"/>
      <c r="L316" s="278"/>
      <c r="M316" s="278"/>
      <c r="N316" s="278"/>
      <c r="O316" s="278"/>
      <c r="P316" s="278"/>
      <c r="Q316" s="278"/>
      <c r="R316" s="278"/>
      <c r="S316" s="278"/>
      <c r="T316" s="278"/>
      <c r="U316" s="278"/>
      <c r="V316" s="278"/>
      <c r="W316" s="278"/>
      <c r="X316" s="278"/>
      <c r="Y316" s="278"/>
      <c r="Z316" s="278"/>
      <c r="AA316" s="278"/>
      <c r="AB316" s="278"/>
      <c r="AC316" s="278"/>
      <c r="AD316" s="278"/>
      <c r="AE316" s="278"/>
      <c r="AF316" s="278"/>
      <c r="AG316" s="278"/>
      <c r="AH316" s="278"/>
      <c r="AI316" s="278"/>
      <c r="AJ316" s="278"/>
      <c r="AK316" s="278"/>
      <c r="AL316" s="278"/>
      <c r="AM316" s="278"/>
      <c r="AN316" s="278"/>
      <c r="AO316" s="278"/>
      <c r="AP316" s="278"/>
      <c r="AQ316" s="278"/>
      <c r="AR316" s="278"/>
      <c r="AS316" s="278"/>
      <c r="AT316" s="278"/>
      <c r="AU316" s="278"/>
      <c r="AV316" s="278"/>
      <c r="AW316" s="278"/>
      <c r="AX316" s="278"/>
      <c r="AY316" s="278"/>
      <c r="AZ316" s="278"/>
      <c r="BA316" s="278"/>
      <c r="BB316" s="278"/>
      <c r="BC316" s="278"/>
      <c r="BD316" s="278"/>
      <c r="BE316" s="278"/>
      <c r="BF316" s="278"/>
      <c r="BG316" s="278"/>
      <c r="BH316" s="278"/>
      <c r="BI316" s="278"/>
      <c r="BJ316" s="278"/>
      <c r="BK316" s="278"/>
      <c r="BL316" s="278"/>
      <c r="BM316" s="278"/>
      <c r="BN316" s="278"/>
      <c r="BO316" s="278"/>
      <c r="BP316" s="278"/>
      <c r="BQ316" s="278"/>
      <c r="BR316" s="278"/>
      <c r="BS316" s="278"/>
      <c r="BT316" s="278"/>
      <c r="BU316" s="278"/>
      <c r="BV316" s="278"/>
      <c r="BW316" s="278"/>
      <c r="BX316" s="278"/>
      <c r="BY316" s="278"/>
      <c r="BZ316" s="278"/>
      <c r="CA316" s="278"/>
      <c r="CB316" s="278"/>
      <c r="CC316" s="278"/>
      <c r="CD316" s="278"/>
      <c r="CE316" s="278"/>
      <c r="CF316" s="278"/>
      <c r="CG316" s="278"/>
      <c r="CH316" s="278"/>
      <c r="CI316" s="278"/>
      <c r="CJ316" s="278"/>
      <c r="CK316" s="278"/>
      <c r="CL316" s="278"/>
      <c r="CM316" s="278"/>
      <c r="CN316" s="278"/>
      <c r="CO316" s="278"/>
      <c r="CP316" s="278"/>
      <c r="CQ316" s="278"/>
      <c r="CR316" s="278"/>
      <c r="CS316" s="278"/>
      <c r="CT316" s="278"/>
      <c r="CU316" s="278"/>
      <c r="CV316" s="278"/>
      <c r="CW316" s="278"/>
      <c r="CX316" s="278"/>
      <c r="CY316" s="278"/>
      <c r="CZ316" s="278"/>
      <c r="DA316" s="278"/>
      <c r="DB316" s="278"/>
      <c r="DC316" s="278"/>
      <c r="DD316" s="278"/>
      <c r="DE316" s="278"/>
      <c r="DF316" s="278"/>
      <c r="DG316" s="278"/>
      <c r="DH316" s="278"/>
      <c r="DI316" s="278"/>
      <c r="DJ316" s="278"/>
      <c r="DK316" s="278"/>
      <c r="DL316" s="278"/>
    </row>
    <row r="317" spans="1:116" ht="15.75" customHeight="1" x14ac:dyDescent="0.25">
      <c r="A317" s="468"/>
      <c r="B317" s="469"/>
      <c r="C317" s="278"/>
      <c r="D317" s="389"/>
      <c r="E317" s="470"/>
      <c r="F317" s="389"/>
      <c r="G317" s="389"/>
      <c r="H317" s="471"/>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278"/>
      <c r="AE317" s="278"/>
      <c r="AF317" s="278"/>
      <c r="AG317" s="278"/>
      <c r="AH317" s="278"/>
      <c r="AI317" s="278"/>
      <c r="AJ317" s="278"/>
      <c r="AK317" s="278"/>
      <c r="AL317" s="278"/>
      <c r="AM317" s="278"/>
      <c r="AN317" s="278"/>
      <c r="AO317" s="278"/>
      <c r="AP317" s="278"/>
      <c r="AQ317" s="278"/>
      <c r="AR317" s="278"/>
      <c r="AS317" s="278"/>
      <c r="AT317" s="278"/>
      <c r="AU317" s="278"/>
      <c r="AV317" s="278"/>
      <c r="AW317" s="278"/>
      <c r="AX317" s="278"/>
      <c r="AY317" s="278"/>
      <c r="AZ317" s="278"/>
      <c r="BA317" s="278"/>
      <c r="BB317" s="278"/>
      <c r="BC317" s="278"/>
      <c r="BD317" s="278"/>
      <c r="BE317" s="278"/>
      <c r="BF317" s="278"/>
      <c r="BG317" s="278"/>
      <c r="BH317" s="278"/>
      <c r="BI317" s="278"/>
      <c r="BJ317" s="278"/>
      <c r="BK317" s="278"/>
      <c r="BL317" s="278"/>
      <c r="BM317" s="278"/>
      <c r="BN317" s="278"/>
      <c r="BO317" s="278"/>
      <c r="BP317" s="278"/>
      <c r="BQ317" s="278"/>
      <c r="BR317" s="278"/>
      <c r="BS317" s="278"/>
      <c r="BT317" s="278"/>
      <c r="BU317" s="278"/>
      <c r="BV317" s="278"/>
      <c r="BW317" s="278"/>
      <c r="BX317" s="278"/>
      <c r="BY317" s="278"/>
      <c r="BZ317" s="278"/>
      <c r="CA317" s="278"/>
      <c r="CB317" s="278"/>
      <c r="CC317" s="278"/>
      <c r="CD317" s="278"/>
      <c r="CE317" s="278"/>
      <c r="CF317" s="278"/>
      <c r="CG317" s="278"/>
      <c r="CH317" s="278"/>
      <c r="CI317" s="278"/>
      <c r="CJ317" s="278"/>
      <c r="CK317" s="278"/>
      <c r="CL317" s="278"/>
      <c r="CM317" s="278"/>
      <c r="CN317" s="278"/>
      <c r="CO317" s="278"/>
      <c r="CP317" s="278"/>
      <c r="CQ317" s="278"/>
      <c r="CR317" s="278"/>
      <c r="CS317" s="278"/>
      <c r="CT317" s="278"/>
      <c r="CU317" s="278"/>
      <c r="CV317" s="278"/>
      <c r="CW317" s="278"/>
      <c r="CX317" s="278"/>
      <c r="CY317" s="278"/>
      <c r="CZ317" s="278"/>
      <c r="DA317" s="278"/>
      <c r="DB317" s="278"/>
      <c r="DC317" s="278"/>
      <c r="DD317" s="278"/>
      <c r="DE317" s="278"/>
      <c r="DF317" s="278"/>
      <c r="DG317" s="278"/>
      <c r="DH317" s="278"/>
      <c r="DI317" s="278"/>
      <c r="DJ317" s="278"/>
      <c r="DK317" s="278"/>
      <c r="DL317" s="278"/>
    </row>
    <row r="318" spans="1:116" ht="15.75" customHeight="1" x14ac:dyDescent="0.25">
      <c r="A318" s="468"/>
      <c r="B318" s="469"/>
      <c r="C318" s="278"/>
      <c r="D318" s="389"/>
      <c r="E318" s="470"/>
      <c r="F318" s="389"/>
      <c r="G318" s="389"/>
      <c r="H318" s="471"/>
      <c r="I318" s="278"/>
      <c r="J318" s="278"/>
      <c r="K318" s="278"/>
      <c r="L318" s="278"/>
      <c r="M318" s="278"/>
      <c r="N318" s="278"/>
      <c r="O318" s="278"/>
      <c r="P318" s="278"/>
      <c r="Q318" s="278"/>
      <c r="R318" s="278"/>
      <c r="S318" s="278"/>
      <c r="T318" s="278"/>
      <c r="U318" s="278"/>
      <c r="V318" s="278"/>
      <c r="W318" s="278"/>
      <c r="X318" s="278"/>
      <c r="Y318" s="278"/>
      <c r="Z318" s="278"/>
      <c r="AA318" s="278"/>
      <c r="AB318" s="278"/>
      <c r="AC318" s="278"/>
      <c r="AD318" s="278"/>
      <c r="AE318" s="278"/>
      <c r="AF318" s="278"/>
      <c r="AG318" s="278"/>
      <c r="AH318" s="278"/>
      <c r="AI318" s="278"/>
      <c r="AJ318" s="278"/>
      <c r="AK318" s="278"/>
      <c r="AL318" s="278"/>
      <c r="AM318" s="278"/>
      <c r="AN318" s="278"/>
      <c r="AO318" s="278"/>
      <c r="AP318" s="278"/>
      <c r="AQ318" s="278"/>
      <c r="AR318" s="278"/>
      <c r="AS318" s="278"/>
      <c r="AT318" s="278"/>
      <c r="AU318" s="278"/>
      <c r="AV318" s="278"/>
      <c r="AW318" s="278"/>
      <c r="AX318" s="278"/>
      <c r="AY318" s="278"/>
      <c r="AZ318" s="278"/>
      <c r="BA318" s="278"/>
      <c r="BB318" s="278"/>
      <c r="BC318" s="278"/>
      <c r="BD318" s="278"/>
      <c r="BE318" s="278"/>
      <c r="BF318" s="278"/>
      <c r="BG318" s="278"/>
      <c r="BH318" s="278"/>
      <c r="BI318" s="278"/>
      <c r="BJ318" s="278"/>
      <c r="BK318" s="278"/>
      <c r="BL318" s="278"/>
      <c r="BM318" s="278"/>
      <c r="BN318" s="278"/>
      <c r="BO318" s="278"/>
      <c r="BP318" s="278"/>
      <c r="BQ318" s="278"/>
      <c r="BR318" s="278"/>
      <c r="BS318" s="278"/>
      <c r="BT318" s="278"/>
      <c r="BU318" s="278"/>
      <c r="BV318" s="278"/>
      <c r="BW318" s="278"/>
      <c r="BX318" s="278"/>
      <c r="BY318" s="278"/>
      <c r="BZ318" s="278"/>
      <c r="CA318" s="278"/>
      <c r="CB318" s="278"/>
      <c r="CC318" s="278"/>
      <c r="CD318" s="278"/>
      <c r="CE318" s="278"/>
      <c r="CF318" s="278"/>
      <c r="CG318" s="278"/>
      <c r="CH318" s="278"/>
      <c r="CI318" s="278"/>
      <c r="CJ318" s="278"/>
      <c r="CK318" s="278"/>
      <c r="CL318" s="278"/>
      <c r="CM318" s="278"/>
      <c r="CN318" s="278"/>
      <c r="CO318" s="278"/>
      <c r="CP318" s="278"/>
      <c r="CQ318" s="278"/>
      <c r="CR318" s="278"/>
      <c r="CS318" s="278"/>
      <c r="CT318" s="278"/>
      <c r="CU318" s="278"/>
      <c r="CV318" s="278"/>
      <c r="CW318" s="278"/>
      <c r="CX318" s="278"/>
      <c r="CY318" s="278"/>
      <c r="CZ318" s="278"/>
      <c r="DA318" s="278"/>
      <c r="DB318" s="278"/>
      <c r="DC318" s="278"/>
      <c r="DD318" s="278"/>
      <c r="DE318" s="278"/>
      <c r="DF318" s="278"/>
      <c r="DG318" s="278"/>
      <c r="DH318" s="278"/>
      <c r="DI318" s="278"/>
      <c r="DJ318" s="278"/>
      <c r="DK318" s="278"/>
      <c r="DL318" s="278"/>
    </row>
    <row r="319" spans="1:116" ht="15.75" customHeight="1" x14ac:dyDescent="0.25">
      <c r="A319" s="468"/>
      <c r="B319" s="469"/>
      <c r="C319" s="278"/>
      <c r="D319" s="389"/>
      <c r="E319" s="470"/>
      <c r="F319" s="389"/>
      <c r="G319" s="389"/>
      <c r="H319" s="471"/>
      <c r="I319" s="278"/>
      <c r="J319" s="278"/>
      <c r="K319" s="278"/>
      <c r="L319" s="278"/>
      <c r="M319" s="278"/>
      <c r="N319" s="278"/>
      <c r="O319" s="278"/>
      <c r="P319" s="278"/>
      <c r="Q319" s="278"/>
      <c r="R319" s="278"/>
      <c r="S319" s="278"/>
      <c r="T319" s="278"/>
      <c r="U319" s="278"/>
      <c r="V319" s="278"/>
      <c r="W319" s="278"/>
      <c r="X319" s="278"/>
      <c r="Y319" s="278"/>
      <c r="Z319" s="278"/>
      <c r="AA319" s="278"/>
      <c r="AB319" s="278"/>
      <c r="AC319" s="278"/>
      <c r="AD319" s="278"/>
      <c r="AE319" s="278"/>
      <c r="AF319" s="278"/>
      <c r="AG319" s="278"/>
      <c r="AH319" s="278"/>
      <c r="AI319" s="278"/>
      <c r="AJ319" s="278"/>
      <c r="AK319" s="278"/>
      <c r="AL319" s="278"/>
      <c r="AM319" s="278"/>
      <c r="AN319" s="278"/>
      <c r="AO319" s="278"/>
      <c r="AP319" s="278"/>
      <c r="AQ319" s="278"/>
      <c r="AR319" s="278"/>
      <c r="AS319" s="278"/>
      <c r="AT319" s="278"/>
      <c r="AU319" s="278"/>
      <c r="AV319" s="278"/>
      <c r="AW319" s="278"/>
      <c r="AX319" s="278"/>
      <c r="AY319" s="278"/>
      <c r="AZ319" s="278"/>
      <c r="BA319" s="278"/>
      <c r="BB319" s="278"/>
      <c r="BC319" s="278"/>
      <c r="BD319" s="278"/>
      <c r="BE319" s="278"/>
      <c r="BF319" s="278"/>
      <c r="BG319" s="278"/>
      <c r="BH319" s="278"/>
      <c r="BI319" s="278"/>
      <c r="BJ319" s="278"/>
      <c r="BK319" s="278"/>
      <c r="BL319" s="278"/>
      <c r="BM319" s="278"/>
      <c r="BN319" s="278"/>
      <c r="BO319" s="278"/>
      <c r="BP319" s="278"/>
      <c r="BQ319" s="278"/>
      <c r="BR319" s="278"/>
      <c r="BS319" s="278"/>
      <c r="BT319" s="278"/>
      <c r="BU319" s="278"/>
      <c r="BV319" s="278"/>
      <c r="BW319" s="278"/>
      <c r="BX319" s="278"/>
      <c r="BY319" s="278"/>
      <c r="BZ319" s="278"/>
      <c r="CA319" s="278"/>
      <c r="CB319" s="278"/>
      <c r="CC319" s="278"/>
      <c r="CD319" s="278"/>
      <c r="CE319" s="278"/>
      <c r="CF319" s="278"/>
      <c r="CG319" s="278"/>
      <c r="CH319" s="278"/>
      <c r="CI319" s="278"/>
      <c r="CJ319" s="278"/>
      <c r="CK319" s="278"/>
      <c r="CL319" s="278"/>
      <c r="CM319" s="278"/>
      <c r="CN319" s="278"/>
      <c r="CO319" s="278"/>
      <c r="CP319" s="278"/>
      <c r="CQ319" s="278"/>
      <c r="CR319" s="278"/>
      <c r="CS319" s="278"/>
      <c r="CT319" s="278"/>
      <c r="CU319" s="278"/>
      <c r="CV319" s="278"/>
      <c r="CW319" s="278"/>
      <c r="CX319" s="278"/>
      <c r="CY319" s="278"/>
      <c r="CZ319" s="278"/>
      <c r="DA319" s="278"/>
      <c r="DB319" s="278"/>
      <c r="DC319" s="278"/>
      <c r="DD319" s="278"/>
      <c r="DE319" s="278"/>
      <c r="DF319" s="278"/>
      <c r="DG319" s="278"/>
      <c r="DH319" s="278"/>
      <c r="DI319" s="278"/>
      <c r="DJ319" s="278"/>
      <c r="DK319" s="278"/>
      <c r="DL319" s="278"/>
    </row>
    <row r="320" spans="1:116" ht="15.75" customHeight="1" x14ac:dyDescent="0.25">
      <c r="A320" s="468"/>
      <c r="B320" s="469"/>
      <c r="C320" s="278"/>
      <c r="D320" s="389"/>
      <c r="E320" s="470"/>
      <c r="F320" s="389"/>
      <c r="G320" s="389"/>
      <c r="H320" s="471"/>
      <c r="I320" s="278"/>
      <c r="J320" s="278"/>
      <c r="K320" s="278"/>
      <c r="L320" s="278"/>
      <c r="M320" s="278"/>
      <c r="N320" s="278"/>
      <c r="O320" s="278"/>
      <c r="P320" s="278"/>
      <c r="Q320" s="278"/>
      <c r="R320" s="278"/>
      <c r="S320" s="278"/>
      <c r="T320" s="278"/>
      <c r="U320" s="278"/>
      <c r="V320" s="278"/>
      <c r="W320" s="278"/>
      <c r="X320" s="278"/>
      <c r="Y320" s="278"/>
      <c r="Z320" s="278"/>
      <c r="AA320" s="278"/>
      <c r="AB320" s="278"/>
      <c r="AC320" s="278"/>
      <c r="AD320" s="278"/>
      <c r="AE320" s="278"/>
      <c r="AF320" s="278"/>
      <c r="AG320" s="278"/>
      <c r="AH320" s="278"/>
      <c r="AI320" s="278"/>
      <c r="AJ320" s="278"/>
      <c r="AK320" s="278"/>
      <c r="AL320" s="278"/>
      <c r="AM320" s="278"/>
      <c r="AN320" s="278"/>
      <c r="AO320" s="278"/>
      <c r="AP320" s="278"/>
      <c r="AQ320" s="278"/>
      <c r="AR320" s="278"/>
      <c r="AS320" s="278"/>
      <c r="AT320" s="278"/>
      <c r="AU320" s="278"/>
      <c r="AV320" s="278"/>
      <c r="AW320" s="278"/>
      <c r="AX320" s="278"/>
      <c r="AY320" s="278"/>
      <c r="AZ320" s="278"/>
      <c r="BA320" s="278"/>
      <c r="BB320" s="278"/>
      <c r="BC320" s="278"/>
      <c r="BD320" s="278"/>
      <c r="BE320" s="278"/>
      <c r="BF320" s="278"/>
      <c r="BG320" s="278"/>
      <c r="BH320" s="278"/>
      <c r="BI320" s="278"/>
      <c r="BJ320" s="278"/>
      <c r="BK320" s="278"/>
      <c r="BL320" s="278"/>
      <c r="BM320" s="278"/>
      <c r="BN320" s="278"/>
      <c r="BO320" s="278"/>
      <c r="BP320" s="278"/>
      <c r="BQ320" s="278"/>
      <c r="BR320" s="278"/>
      <c r="BS320" s="278"/>
      <c r="BT320" s="278"/>
      <c r="BU320" s="278"/>
      <c r="BV320" s="278"/>
      <c r="BW320" s="278"/>
      <c r="BX320" s="278"/>
      <c r="BY320" s="278"/>
      <c r="BZ320" s="278"/>
      <c r="CA320" s="278"/>
      <c r="CB320" s="278"/>
      <c r="CC320" s="278"/>
      <c r="CD320" s="278"/>
      <c r="CE320" s="278"/>
      <c r="CF320" s="278"/>
      <c r="CG320" s="278"/>
      <c r="CH320" s="278"/>
      <c r="CI320" s="278"/>
      <c r="CJ320" s="278"/>
      <c r="CK320" s="278"/>
      <c r="CL320" s="278"/>
      <c r="CM320" s="278"/>
      <c r="CN320" s="278"/>
      <c r="CO320" s="278"/>
      <c r="CP320" s="278"/>
      <c r="CQ320" s="278"/>
      <c r="CR320" s="278"/>
      <c r="CS320" s="278"/>
      <c r="CT320" s="278"/>
      <c r="CU320" s="278"/>
      <c r="CV320" s="278"/>
      <c r="CW320" s="278"/>
      <c r="CX320" s="278"/>
      <c r="CY320" s="278"/>
      <c r="CZ320" s="278"/>
      <c r="DA320" s="278"/>
      <c r="DB320" s="278"/>
      <c r="DC320" s="278"/>
      <c r="DD320" s="278"/>
      <c r="DE320" s="278"/>
      <c r="DF320" s="278"/>
      <c r="DG320" s="278"/>
      <c r="DH320" s="278"/>
      <c r="DI320" s="278"/>
      <c r="DJ320" s="278"/>
      <c r="DK320" s="278"/>
      <c r="DL320" s="278"/>
    </row>
    <row r="321" spans="1:116" ht="15.75" customHeight="1" x14ac:dyDescent="0.25">
      <c r="A321" s="468"/>
      <c r="B321" s="469"/>
      <c r="C321" s="278"/>
      <c r="D321" s="389"/>
      <c r="E321" s="470"/>
      <c r="F321" s="389"/>
      <c r="G321" s="389"/>
      <c r="H321" s="471"/>
      <c r="I321" s="278"/>
      <c r="J321" s="278"/>
      <c r="K321" s="278"/>
      <c r="L321" s="278"/>
      <c r="M321" s="278"/>
      <c r="N321" s="278"/>
      <c r="O321" s="278"/>
      <c r="P321" s="278"/>
      <c r="Q321" s="278"/>
      <c r="R321" s="278"/>
      <c r="S321" s="278"/>
      <c r="T321" s="278"/>
      <c r="U321" s="278"/>
      <c r="V321" s="278"/>
      <c r="W321" s="278"/>
      <c r="X321" s="278"/>
      <c r="Y321" s="278"/>
      <c r="Z321" s="278"/>
      <c r="AA321" s="278"/>
      <c r="AB321" s="278"/>
      <c r="AC321" s="278"/>
      <c r="AD321" s="278"/>
      <c r="AE321" s="278"/>
      <c r="AF321" s="278"/>
      <c r="AG321" s="278"/>
      <c r="AH321" s="278"/>
      <c r="AI321" s="278"/>
      <c r="AJ321" s="278"/>
      <c r="AK321" s="278"/>
      <c r="AL321" s="278"/>
      <c r="AM321" s="278"/>
      <c r="AN321" s="278"/>
      <c r="AO321" s="278"/>
      <c r="AP321" s="278"/>
      <c r="AQ321" s="278"/>
      <c r="AR321" s="278"/>
      <c r="AS321" s="278"/>
      <c r="AT321" s="278"/>
      <c r="AU321" s="278"/>
      <c r="AV321" s="278"/>
      <c r="AW321" s="278"/>
      <c r="AX321" s="278"/>
      <c r="AY321" s="278"/>
      <c r="AZ321" s="278"/>
      <c r="BA321" s="278"/>
      <c r="BB321" s="278"/>
      <c r="BC321" s="278"/>
      <c r="BD321" s="278"/>
      <c r="BE321" s="278"/>
      <c r="BF321" s="278"/>
      <c r="BG321" s="278"/>
      <c r="BH321" s="278"/>
      <c r="BI321" s="278"/>
      <c r="BJ321" s="278"/>
      <c r="BK321" s="278"/>
      <c r="BL321" s="278"/>
      <c r="BM321" s="278"/>
      <c r="BN321" s="278"/>
      <c r="BO321" s="278"/>
      <c r="BP321" s="278"/>
      <c r="BQ321" s="278"/>
      <c r="BR321" s="278"/>
      <c r="BS321" s="278"/>
      <c r="BT321" s="278"/>
      <c r="BU321" s="278"/>
      <c r="BV321" s="278"/>
      <c r="BW321" s="278"/>
      <c r="BX321" s="278"/>
      <c r="BY321" s="278"/>
      <c r="BZ321" s="278"/>
      <c r="CA321" s="278"/>
      <c r="CB321" s="278"/>
      <c r="CC321" s="278"/>
      <c r="CD321" s="278"/>
      <c r="CE321" s="278"/>
      <c r="CF321" s="278"/>
      <c r="CG321" s="278"/>
      <c r="CH321" s="278"/>
      <c r="CI321" s="278"/>
      <c r="CJ321" s="278"/>
      <c r="CK321" s="278"/>
      <c r="CL321" s="278"/>
      <c r="CM321" s="278"/>
      <c r="CN321" s="278"/>
      <c r="CO321" s="278"/>
      <c r="CP321" s="278"/>
      <c r="CQ321" s="278"/>
      <c r="CR321" s="278"/>
      <c r="CS321" s="278"/>
      <c r="CT321" s="278"/>
      <c r="CU321" s="278"/>
      <c r="CV321" s="278"/>
      <c r="CW321" s="278"/>
      <c r="CX321" s="278"/>
      <c r="CY321" s="278"/>
      <c r="CZ321" s="278"/>
      <c r="DA321" s="278"/>
      <c r="DB321" s="278"/>
      <c r="DC321" s="278"/>
      <c r="DD321" s="278"/>
      <c r="DE321" s="278"/>
      <c r="DF321" s="278"/>
      <c r="DG321" s="278"/>
      <c r="DH321" s="278"/>
      <c r="DI321" s="278"/>
      <c r="DJ321" s="278"/>
      <c r="DK321" s="278"/>
      <c r="DL321" s="278"/>
    </row>
    <row r="322" spans="1:116" ht="15.75" customHeight="1" x14ac:dyDescent="0.25">
      <c r="A322" s="468"/>
      <c r="B322" s="469"/>
      <c r="C322" s="278"/>
      <c r="D322" s="389"/>
      <c r="E322" s="470"/>
      <c r="F322" s="389"/>
      <c r="G322" s="389"/>
      <c r="H322" s="471"/>
      <c r="I322" s="278"/>
      <c r="J322" s="278"/>
      <c r="K322" s="278"/>
      <c r="L322" s="278"/>
      <c r="M322" s="278"/>
      <c r="N322" s="278"/>
      <c r="O322" s="278"/>
      <c r="P322" s="278"/>
      <c r="Q322" s="278"/>
      <c r="R322" s="278"/>
      <c r="S322" s="278"/>
      <c r="T322" s="278"/>
      <c r="U322" s="278"/>
      <c r="V322" s="278"/>
      <c r="W322" s="278"/>
      <c r="X322" s="278"/>
      <c r="Y322" s="278"/>
      <c r="Z322" s="278"/>
      <c r="AA322" s="278"/>
      <c r="AB322" s="278"/>
      <c r="AC322" s="278"/>
      <c r="AD322" s="278"/>
      <c r="AE322" s="278"/>
      <c r="AF322" s="278"/>
      <c r="AG322" s="278"/>
      <c r="AH322" s="278"/>
      <c r="AI322" s="278"/>
      <c r="AJ322" s="278"/>
      <c r="AK322" s="278"/>
      <c r="AL322" s="278"/>
      <c r="AM322" s="278"/>
      <c r="AN322" s="278"/>
      <c r="AO322" s="278"/>
      <c r="AP322" s="278"/>
      <c r="AQ322" s="278"/>
      <c r="AR322" s="278"/>
      <c r="AS322" s="278"/>
      <c r="AT322" s="278"/>
      <c r="AU322" s="278"/>
      <c r="AV322" s="278"/>
      <c r="AW322" s="278"/>
      <c r="AX322" s="278"/>
      <c r="AY322" s="278"/>
      <c r="AZ322" s="278"/>
      <c r="BA322" s="278"/>
      <c r="BB322" s="278"/>
      <c r="BC322" s="278"/>
      <c r="BD322" s="278"/>
      <c r="BE322" s="278"/>
      <c r="BF322" s="278"/>
      <c r="BG322" s="278"/>
      <c r="BH322" s="278"/>
      <c r="BI322" s="278"/>
      <c r="BJ322" s="278"/>
      <c r="BK322" s="278"/>
      <c r="BL322" s="278"/>
      <c r="BM322" s="278"/>
      <c r="BN322" s="278"/>
      <c r="BO322" s="278"/>
      <c r="BP322" s="278"/>
      <c r="BQ322" s="278"/>
      <c r="BR322" s="278"/>
      <c r="BS322" s="278"/>
      <c r="BT322" s="278"/>
      <c r="BU322" s="278"/>
      <c r="BV322" s="278"/>
      <c r="BW322" s="278"/>
      <c r="BX322" s="278"/>
      <c r="BY322" s="278"/>
      <c r="BZ322" s="278"/>
      <c r="CA322" s="278"/>
      <c r="CB322" s="278"/>
      <c r="CC322" s="278"/>
      <c r="CD322" s="278"/>
      <c r="CE322" s="278"/>
      <c r="CF322" s="278"/>
      <c r="CG322" s="278"/>
      <c r="CH322" s="278"/>
      <c r="CI322" s="278"/>
      <c r="CJ322" s="278"/>
      <c r="CK322" s="278"/>
      <c r="CL322" s="278"/>
      <c r="CM322" s="278"/>
      <c r="CN322" s="278"/>
      <c r="CO322" s="278"/>
      <c r="CP322" s="278"/>
      <c r="CQ322" s="278"/>
      <c r="CR322" s="278"/>
      <c r="CS322" s="278"/>
      <c r="CT322" s="278"/>
      <c r="CU322" s="278"/>
      <c r="CV322" s="278"/>
      <c r="CW322" s="278"/>
      <c r="CX322" s="278"/>
      <c r="CY322" s="278"/>
      <c r="CZ322" s="278"/>
      <c r="DA322" s="278"/>
      <c r="DB322" s="278"/>
      <c r="DC322" s="278"/>
      <c r="DD322" s="278"/>
      <c r="DE322" s="278"/>
      <c r="DF322" s="278"/>
      <c r="DG322" s="278"/>
      <c r="DH322" s="278"/>
      <c r="DI322" s="278"/>
      <c r="DJ322" s="278"/>
      <c r="DK322" s="278"/>
      <c r="DL322" s="278"/>
    </row>
  </sheetData>
  <mergeCells count="32">
    <mergeCell ref="B33:B44"/>
    <mergeCell ref="B46:B52"/>
    <mergeCell ref="A4:A13"/>
    <mergeCell ref="B4:B13"/>
    <mergeCell ref="A14:B14"/>
    <mergeCell ref="A15:A31"/>
    <mergeCell ref="B15:B31"/>
    <mergeCell ref="A32:C32"/>
    <mergeCell ref="A33:A63"/>
    <mergeCell ref="A154:C154"/>
    <mergeCell ref="A65:A75"/>
    <mergeCell ref="B65:B75"/>
    <mergeCell ref="A76:C76"/>
    <mergeCell ref="A77:C77"/>
    <mergeCell ref="A80:A103"/>
    <mergeCell ref="A122:A152"/>
    <mergeCell ref="B122:B133"/>
    <mergeCell ref="B135:B141"/>
    <mergeCell ref="B143:B151"/>
    <mergeCell ref="A153:C153"/>
    <mergeCell ref="B80:B83"/>
    <mergeCell ref="B85:B88"/>
    <mergeCell ref="B92:B96"/>
    <mergeCell ref="B98:B102"/>
    <mergeCell ref="A105:A116"/>
    <mergeCell ref="A64:C64"/>
    <mergeCell ref="B54:B62"/>
    <mergeCell ref="A118:A120"/>
    <mergeCell ref="B118:B120"/>
    <mergeCell ref="A121:C121"/>
    <mergeCell ref="B105:B108"/>
    <mergeCell ref="B110:B113"/>
  </mergeCells>
  <hyperlinks>
    <hyperlink ref="E24" r:id="rId1" xr:uid="{00000000-0004-0000-0400-000000000000}"/>
    <hyperlink ref="E80" r:id="rId2" xr:uid="{00000000-0004-0000-0400-000007000000}"/>
    <hyperlink ref="E81" r:id="rId3" xr:uid="{00000000-0004-0000-0400-000008000000}"/>
    <hyperlink ref="E92" r:id="rId4" xr:uid="{00000000-0004-0000-0400-000009000000}"/>
    <hyperlink ref="E106" r:id="rId5" xr:uid="{00000000-0004-0000-0400-00000A000000}"/>
    <hyperlink ref="F118" r:id="rId6" xr:uid="{00000000-0004-0000-0400-00000B000000}"/>
    <hyperlink ref="E120" r:id="rId7" xr:uid="{00000000-0004-0000-0400-00000C000000}"/>
    <hyperlink ref="E123" r:id="rId8" xr:uid="{4DF9F911-0566-AB48-9E48-0C28ACFA92A8}"/>
    <hyperlink ref="G129" r:id="rId9" xr:uid="{D62E25BD-1625-9D45-BAF4-0CFE95AA5208}"/>
    <hyperlink ref="E136" r:id="rId10" xr:uid="{28DDA1E1-6029-D44E-881D-CB7ACC6F656C}"/>
    <hyperlink ref="E138" r:id="rId11" xr:uid="{AA9DC6F5-32E9-7445-BF19-A5ACCFF81687}"/>
    <hyperlink ref="E146" r:id="rId12" xr:uid="{941088F5-1499-CE44-93A8-310FBD3E8208}"/>
    <hyperlink ref="E150" r:id="rId13" xr:uid="{A8F045FD-0D88-1A47-A9FE-B293D577A712}"/>
    <hyperlink ref="E34" r:id="rId14" xr:uid="{00000000-0004-0000-0400-000001000000}"/>
    <hyperlink ref="G40" r:id="rId15" xr:uid="{00000000-0004-0000-0400-000002000000}"/>
    <hyperlink ref="E47" r:id="rId16" xr:uid="{00000000-0004-0000-0400-000003000000}"/>
    <hyperlink ref="E49" r:id="rId17" xr:uid="{00000000-0004-0000-0400-000004000000}"/>
    <hyperlink ref="E57" r:id="rId18" xr:uid="{00000000-0004-0000-0400-000005000000}"/>
    <hyperlink ref="E61" r:id="rId19" xr:uid="{00000000-0004-0000-0400-000006000000}"/>
  </hyperlinks>
  <pageMargins left="0.7" right="0.7" top="0.75" bottom="0.75" header="0" footer="0"/>
  <pageSetup orientation="portrait"/>
  <legacyDrawing r:id="rId2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ED308"/>
  <sheetViews>
    <sheetView topLeftCell="A36" zoomScale="68" workbookViewId="0">
      <selection activeCell="K69" sqref="K69"/>
    </sheetView>
  </sheetViews>
  <sheetFormatPr defaultColWidth="12.7109375" defaultRowHeight="15" customHeight="1" x14ac:dyDescent="0.2"/>
  <cols>
    <col min="1" max="1" width="16.42578125" customWidth="1"/>
    <col min="2" max="2" width="29.42578125" customWidth="1"/>
    <col min="3" max="3" width="69.42578125" customWidth="1"/>
    <col min="4" max="4" width="8.42578125" customWidth="1"/>
    <col min="5" max="5" width="23" customWidth="1"/>
    <col min="6" max="8" width="15.42578125" customWidth="1"/>
    <col min="9" max="9" width="19.42578125" customWidth="1"/>
    <col min="10" max="10" width="18.42578125" customWidth="1"/>
    <col min="11" max="48" width="15.42578125" customWidth="1"/>
    <col min="49" max="109" width="20.42578125" customWidth="1"/>
    <col min="110" max="116" width="20.42578125" hidden="1" customWidth="1"/>
    <col min="117" max="134" width="14.42578125" customWidth="1"/>
  </cols>
  <sheetData>
    <row r="1" spans="1:116" ht="40.5" customHeight="1" x14ac:dyDescent="0.3">
      <c r="A1" s="237" t="s">
        <v>192</v>
      </c>
      <c r="B1" s="238" t="s">
        <v>374</v>
      </c>
      <c r="C1" s="237"/>
      <c r="D1" s="239"/>
      <c r="E1" s="472"/>
      <c r="F1" s="239"/>
      <c r="G1" s="239"/>
      <c r="H1" s="242" t="s">
        <v>194</v>
      </c>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c r="AK1" s="243"/>
      <c r="AL1" s="243"/>
      <c r="AM1" s="243"/>
      <c r="AN1" s="243"/>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c r="BZ1" s="244"/>
      <c r="CA1" s="244"/>
      <c r="CB1" s="244"/>
      <c r="CC1" s="244"/>
      <c r="CD1" s="244"/>
      <c r="CE1" s="244"/>
      <c r="CF1" s="244"/>
      <c r="CG1" s="244"/>
      <c r="CH1" s="244"/>
      <c r="CI1" s="244"/>
      <c r="CJ1" s="244"/>
      <c r="CK1" s="244"/>
      <c r="CL1" s="244"/>
      <c r="CM1" s="244"/>
      <c r="CN1" s="244"/>
      <c r="CO1" s="244"/>
      <c r="CP1" s="244"/>
      <c r="CQ1" s="244"/>
      <c r="CR1" s="244"/>
      <c r="CS1" s="244"/>
      <c r="CT1" s="244"/>
      <c r="CU1" s="244"/>
      <c r="CV1" s="244"/>
      <c r="CW1" s="244"/>
      <c r="CX1" s="244"/>
      <c r="CY1" s="244"/>
      <c r="CZ1" s="244"/>
      <c r="DA1" s="244"/>
      <c r="DB1" s="244"/>
      <c r="DC1" s="244"/>
      <c r="DD1" s="244"/>
      <c r="DE1" s="244"/>
      <c r="DF1" s="244"/>
      <c r="DG1" s="244"/>
      <c r="DH1" s="244"/>
      <c r="DI1" s="244"/>
      <c r="DJ1" s="244"/>
      <c r="DK1" s="244"/>
      <c r="DL1" s="244"/>
    </row>
    <row r="2" spans="1:116" ht="15.75" customHeight="1" x14ac:dyDescent="0.25">
      <c r="A2" s="473"/>
      <c r="B2" s="256"/>
      <c r="D2" s="258"/>
      <c r="E2" s="474"/>
      <c r="F2" s="258"/>
      <c r="G2" s="258"/>
      <c r="H2" s="475"/>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260"/>
      <c r="AR2" s="260"/>
      <c r="AS2" s="260"/>
      <c r="AT2" s="260"/>
      <c r="AU2" s="260"/>
      <c r="AV2" s="260"/>
      <c r="AW2" s="260"/>
      <c r="AX2" s="260"/>
      <c r="AY2" s="260"/>
      <c r="AZ2" s="260"/>
      <c r="BA2" s="260"/>
      <c r="BB2" s="260"/>
      <c r="BC2" s="260"/>
      <c r="BD2" s="260"/>
      <c r="BE2" s="260"/>
      <c r="BF2" s="260"/>
      <c r="BG2" s="260"/>
      <c r="BH2" s="260"/>
      <c r="BI2" s="260"/>
      <c r="BJ2" s="260"/>
      <c r="BK2" s="260"/>
      <c r="BL2" s="260"/>
      <c r="BM2" s="260"/>
      <c r="BN2" s="260"/>
      <c r="BO2" s="260"/>
      <c r="BP2" s="260"/>
      <c r="BQ2" s="260"/>
      <c r="BR2" s="260"/>
      <c r="BS2" s="260"/>
      <c r="BT2" s="260"/>
      <c r="BU2" s="260"/>
      <c r="BV2" s="260"/>
      <c r="BW2" s="260"/>
      <c r="BX2" s="260"/>
      <c r="BY2" s="260"/>
      <c r="BZ2" s="260"/>
      <c r="CA2" s="260"/>
      <c r="CB2" s="260"/>
      <c r="CC2" s="260"/>
      <c r="CD2" s="260"/>
      <c r="CE2" s="260"/>
      <c r="CF2" s="260"/>
      <c r="CG2" s="260"/>
      <c r="CH2" s="260"/>
      <c r="CI2" s="260"/>
      <c r="CJ2" s="260"/>
      <c r="CK2" s="260"/>
      <c r="CL2" s="260"/>
      <c r="CM2" s="260"/>
      <c r="CN2" s="260"/>
      <c r="CO2" s="260"/>
      <c r="CP2" s="260"/>
      <c r="CQ2" s="260"/>
      <c r="CR2" s="260"/>
      <c r="CS2" s="260"/>
      <c r="CT2" s="260"/>
      <c r="CU2" s="260"/>
      <c r="CV2" s="260"/>
      <c r="CW2" s="260"/>
      <c r="CX2" s="260"/>
      <c r="CY2" s="260"/>
      <c r="CZ2" s="260"/>
      <c r="DA2" s="260"/>
      <c r="DB2" s="260"/>
      <c r="DC2" s="260"/>
      <c r="DD2" s="260"/>
      <c r="DE2" s="260"/>
      <c r="DF2" s="260"/>
      <c r="DG2" s="260"/>
      <c r="DH2" s="260"/>
      <c r="DI2" s="260"/>
      <c r="DJ2" s="260"/>
      <c r="DK2" s="260"/>
      <c r="DL2" s="260"/>
    </row>
    <row r="3" spans="1:116" ht="15.75" customHeight="1" x14ac:dyDescent="0.25">
      <c r="A3" s="476"/>
      <c r="B3" s="261" t="s">
        <v>201</v>
      </c>
      <c r="C3" s="262">
        <f>'Summary of CBA'!D6</f>
        <v>0.02</v>
      </c>
      <c r="D3" s="263"/>
      <c r="E3" s="477"/>
      <c r="F3" s="478"/>
      <c r="G3" s="478"/>
      <c r="H3" s="479"/>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c r="AH3" s="480"/>
      <c r="AI3" s="480"/>
      <c r="AJ3" s="480"/>
      <c r="AK3" s="480"/>
      <c r="AL3" s="480"/>
      <c r="AM3" s="480"/>
      <c r="AN3" s="480"/>
      <c r="AO3" s="480"/>
      <c r="AP3" s="480"/>
      <c r="AQ3" s="480"/>
      <c r="AR3" s="480"/>
      <c r="AS3" s="480"/>
      <c r="AT3" s="480"/>
      <c r="AU3" s="480"/>
      <c r="AV3" s="480"/>
      <c r="AW3" s="480"/>
      <c r="AX3" s="480"/>
      <c r="AY3" s="480"/>
      <c r="AZ3" s="480"/>
      <c r="BA3" s="480"/>
      <c r="BB3" s="480"/>
      <c r="BC3" s="480"/>
      <c r="BD3" s="480"/>
      <c r="BE3" s="480"/>
      <c r="BF3" s="480"/>
      <c r="BG3" s="480"/>
      <c r="BH3" s="480"/>
      <c r="BI3" s="480"/>
      <c r="BJ3" s="480"/>
      <c r="BK3" s="480"/>
      <c r="BL3" s="480"/>
      <c r="BM3" s="480"/>
      <c r="BN3" s="480"/>
      <c r="BO3" s="480"/>
      <c r="BP3" s="480"/>
      <c r="BQ3" s="480"/>
      <c r="BR3" s="480"/>
      <c r="BS3" s="480"/>
      <c r="BT3" s="480"/>
      <c r="BU3" s="480"/>
      <c r="BV3" s="480"/>
      <c r="BW3" s="480"/>
      <c r="BX3" s="480"/>
      <c r="BY3" s="480"/>
      <c r="BZ3" s="480"/>
      <c r="CA3" s="480"/>
      <c r="CB3" s="480"/>
      <c r="CC3" s="480"/>
      <c r="CD3" s="480"/>
      <c r="CE3" s="480"/>
      <c r="CF3" s="480"/>
      <c r="CG3" s="480"/>
      <c r="CH3" s="480"/>
      <c r="CI3" s="480"/>
      <c r="CJ3" s="480"/>
      <c r="CK3" s="480"/>
      <c r="CL3" s="480"/>
      <c r="CM3" s="480"/>
      <c r="CN3" s="480"/>
      <c r="CO3" s="480"/>
      <c r="CP3" s="480"/>
      <c r="CQ3" s="480"/>
      <c r="CR3" s="480"/>
      <c r="CS3" s="480"/>
      <c r="CT3" s="480"/>
      <c r="CU3" s="480"/>
      <c r="CV3" s="480"/>
      <c r="CW3" s="480"/>
      <c r="CX3" s="480"/>
      <c r="CY3" s="480"/>
      <c r="CZ3" s="480"/>
      <c r="DA3" s="480"/>
      <c r="DB3" s="480"/>
      <c r="DC3" s="480"/>
      <c r="DD3" s="480"/>
      <c r="DE3" s="480"/>
      <c r="DF3" s="480"/>
      <c r="DG3" s="480"/>
      <c r="DH3" s="480"/>
      <c r="DI3" s="480"/>
      <c r="DJ3" s="480"/>
      <c r="DK3" s="480"/>
      <c r="DL3" s="480"/>
    </row>
    <row r="4" spans="1:116" ht="15.75" customHeight="1" x14ac:dyDescent="0.25">
      <c r="A4" s="473"/>
      <c r="B4" s="261" t="s">
        <v>202</v>
      </c>
      <c r="C4" s="262">
        <f>'Unit Costs and Indicators'!B26</f>
        <v>0.04</v>
      </c>
      <c r="D4" s="258"/>
      <c r="E4" s="474"/>
      <c r="F4" s="258"/>
      <c r="G4" s="258"/>
      <c r="H4" s="481"/>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c r="CX4" s="260"/>
      <c r="CY4" s="260"/>
      <c r="CZ4" s="260"/>
      <c r="DA4" s="260"/>
      <c r="DB4" s="260"/>
      <c r="DC4" s="260"/>
      <c r="DD4" s="260"/>
      <c r="DE4" s="260"/>
      <c r="DF4" s="260"/>
      <c r="DG4" s="260"/>
      <c r="DH4" s="260"/>
      <c r="DI4" s="260"/>
      <c r="DJ4" s="260"/>
      <c r="DK4" s="260"/>
      <c r="DL4" s="260"/>
    </row>
    <row r="5" spans="1:116" ht="15.75" customHeight="1" x14ac:dyDescent="0.25">
      <c r="A5" s="245"/>
      <c r="B5" s="246"/>
      <c r="C5" s="246"/>
      <c r="D5" s="247"/>
      <c r="E5" s="482"/>
      <c r="F5" s="247"/>
      <c r="G5" s="247"/>
      <c r="H5" s="249" t="s">
        <v>12</v>
      </c>
      <c r="I5" s="250">
        <v>2023</v>
      </c>
      <c r="J5" s="251">
        <f t="shared" ref="J5:DE5" si="0">I5+1</f>
        <v>2024</v>
      </c>
      <c r="K5" s="251">
        <f t="shared" si="0"/>
        <v>2025</v>
      </c>
      <c r="L5" s="251">
        <f t="shared" si="0"/>
        <v>2026</v>
      </c>
      <c r="M5" s="251">
        <f t="shared" si="0"/>
        <v>2027</v>
      </c>
      <c r="N5" s="251">
        <f t="shared" si="0"/>
        <v>2028</v>
      </c>
      <c r="O5" s="251">
        <f t="shared" si="0"/>
        <v>2029</v>
      </c>
      <c r="P5" s="251">
        <f t="shared" si="0"/>
        <v>2030</v>
      </c>
      <c r="Q5" s="251">
        <f t="shared" si="0"/>
        <v>2031</v>
      </c>
      <c r="R5" s="251">
        <f t="shared" si="0"/>
        <v>2032</v>
      </c>
      <c r="S5" s="251">
        <f t="shared" si="0"/>
        <v>2033</v>
      </c>
      <c r="T5" s="251">
        <f t="shared" si="0"/>
        <v>2034</v>
      </c>
      <c r="U5" s="251">
        <f t="shared" si="0"/>
        <v>2035</v>
      </c>
      <c r="V5" s="251">
        <f t="shared" si="0"/>
        <v>2036</v>
      </c>
      <c r="W5" s="251">
        <f t="shared" si="0"/>
        <v>2037</v>
      </c>
      <c r="X5" s="251">
        <f t="shared" si="0"/>
        <v>2038</v>
      </c>
      <c r="Y5" s="251">
        <f t="shared" si="0"/>
        <v>2039</v>
      </c>
      <c r="Z5" s="251">
        <f t="shared" si="0"/>
        <v>2040</v>
      </c>
      <c r="AA5" s="251">
        <f t="shared" si="0"/>
        <v>2041</v>
      </c>
      <c r="AB5" s="251">
        <f t="shared" si="0"/>
        <v>2042</v>
      </c>
      <c r="AC5" s="251">
        <f t="shared" si="0"/>
        <v>2043</v>
      </c>
      <c r="AD5" s="251">
        <f t="shared" si="0"/>
        <v>2044</v>
      </c>
      <c r="AE5" s="251">
        <f t="shared" si="0"/>
        <v>2045</v>
      </c>
      <c r="AF5" s="251">
        <f t="shared" si="0"/>
        <v>2046</v>
      </c>
      <c r="AG5" s="251">
        <f t="shared" si="0"/>
        <v>2047</v>
      </c>
      <c r="AH5" s="251">
        <f t="shared" si="0"/>
        <v>2048</v>
      </c>
      <c r="AI5" s="251">
        <f t="shared" si="0"/>
        <v>2049</v>
      </c>
      <c r="AJ5" s="251">
        <f t="shared" si="0"/>
        <v>2050</v>
      </c>
      <c r="AK5" s="251">
        <f t="shared" si="0"/>
        <v>2051</v>
      </c>
      <c r="AL5" s="251">
        <f t="shared" si="0"/>
        <v>2052</v>
      </c>
      <c r="AM5" s="251">
        <f t="shared" si="0"/>
        <v>2053</v>
      </c>
      <c r="AN5" s="251">
        <f t="shared" si="0"/>
        <v>2054</v>
      </c>
      <c r="AO5" s="251">
        <f t="shared" si="0"/>
        <v>2055</v>
      </c>
      <c r="AP5" s="251">
        <f t="shared" si="0"/>
        <v>2056</v>
      </c>
      <c r="AQ5" s="251">
        <f t="shared" si="0"/>
        <v>2057</v>
      </c>
      <c r="AR5" s="251">
        <f t="shared" si="0"/>
        <v>2058</v>
      </c>
      <c r="AS5" s="251">
        <f t="shared" si="0"/>
        <v>2059</v>
      </c>
      <c r="AT5" s="251">
        <f t="shared" si="0"/>
        <v>2060</v>
      </c>
      <c r="AU5" s="251">
        <f t="shared" si="0"/>
        <v>2061</v>
      </c>
      <c r="AV5" s="251">
        <f t="shared" si="0"/>
        <v>2062</v>
      </c>
      <c r="AW5" s="251">
        <f t="shared" si="0"/>
        <v>2063</v>
      </c>
      <c r="AX5" s="251">
        <f t="shared" si="0"/>
        <v>2064</v>
      </c>
      <c r="AY5" s="251">
        <f t="shared" si="0"/>
        <v>2065</v>
      </c>
      <c r="AZ5" s="251">
        <f t="shared" si="0"/>
        <v>2066</v>
      </c>
      <c r="BA5" s="251">
        <f t="shared" si="0"/>
        <v>2067</v>
      </c>
      <c r="BB5" s="251">
        <f t="shared" si="0"/>
        <v>2068</v>
      </c>
      <c r="BC5" s="251">
        <f t="shared" si="0"/>
        <v>2069</v>
      </c>
      <c r="BD5" s="251">
        <f t="shared" si="0"/>
        <v>2070</v>
      </c>
      <c r="BE5" s="251">
        <f t="shared" si="0"/>
        <v>2071</v>
      </c>
      <c r="BF5" s="251">
        <f t="shared" si="0"/>
        <v>2072</v>
      </c>
      <c r="BG5" s="251">
        <f t="shared" si="0"/>
        <v>2073</v>
      </c>
      <c r="BH5" s="251">
        <f t="shared" si="0"/>
        <v>2074</v>
      </c>
      <c r="BI5" s="251">
        <f t="shared" si="0"/>
        <v>2075</v>
      </c>
      <c r="BJ5" s="251">
        <f t="shared" si="0"/>
        <v>2076</v>
      </c>
      <c r="BK5" s="251">
        <f t="shared" si="0"/>
        <v>2077</v>
      </c>
      <c r="BL5" s="251">
        <f t="shared" si="0"/>
        <v>2078</v>
      </c>
      <c r="BM5" s="251">
        <f t="shared" si="0"/>
        <v>2079</v>
      </c>
      <c r="BN5" s="251">
        <f t="shared" si="0"/>
        <v>2080</v>
      </c>
      <c r="BO5" s="251">
        <f t="shared" si="0"/>
        <v>2081</v>
      </c>
      <c r="BP5" s="251">
        <f t="shared" si="0"/>
        <v>2082</v>
      </c>
      <c r="BQ5" s="251">
        <f t="shared" si="0"/>
        <v>2083</v>
      </c>
      <c r="BR5" s="251">
        <f t="shared" si="0"/>
        <v>2084</v>
      </c>
      <c r="BS5" s="251">
        <f t="shared" si="0"/>
        <v>2085</v>
      </c>
      <c r="BT5" s="251">
        <f t="shared" si="0"/>
        <v>2086</v>
      </c>
      <c r="BU5" s="251">
        <f t="shared" si="0"/>
        <v>2087</v>
      </c>
      <c r="BV5" s="251">
        <f t="shared" si="0"/>
        <v>2088</v>
      </c>
      <c r="BW5" s="251">
        <f t="shared" si="0"/>
        <v>2089</v>
      </c>
      <c r="BX5" s="251">
        <f t="shared" si="0"/>
        <v>2090</v>
      </c>
      <c r="BY5" s="251">
        <f t="shared" si="0"/>
        <v>2091</v>
      </c>
      <c r="BZ5" s="251">
        <f t="shared" si="0"/>
        <v>2092</v>
      </c>
      <c r="CA5" s="251">
        <f t="shared" si="0"/>
        <v>2093</v>
      </c>
      <c r="CB5" s="251">
        <f t="shared" si="0"/>
        <v>2094</v>
      </c>
      <c r="CC5" s="251">
        <f t="shared" si="0"/>
        <v>2095</v>
      </c>
      <c r="CD5" s="251">
        <f t="shared" si="0"/>
        <v>2096</v>
      </c>
      <c r="CE5" s="251">
        <f t="shared" si="0"/>
        <v>2097</v>
      </c>
      <c r="CF5" s="251">
        <f t="shared" si="0"/>
        <v>2098</v>
      </c>
      <c r="CG5" s="251">
        <f t="shared" si="0"/>
        <v>2099</v>
      </c>
      <c r="CH5" s="251">
        <f t="shared" si="0"/>
        <v>2100</v>
      </c>
      <c r="CI5" s="251">
        <f t="shared" si="0"/>
        <v>2101</v>
      </c>
      <c r="CJ5" s="251">
        <f t="shared" si="0"/>
        <v>2102</v>
      </c>
      <c r="CK5" s="251">
        <f t="shared" si="0"/>
        <v>2103</v>
      </c>
      <c r="CL5" s="251">
        <f t="shared" si="0"/>
        <v>2104</v>
      </c>
      <c r="CM5" s="251">
        <f t="shared" si="0"/>
        <v>2105</v>
      </c>
      <c r="CN5" s="251">
        <f t="shared" si="0"/>
        <v>2106</v>
      </c>
      <c r="CO5" s="251">
        <f t="shared" si="0"/>
        <v>2107</v>
      </c>
      <c r="CP5" s="251">
        <f t="shared" si="0"/>
        <v>2108</v>
      </c>
      <c r="CQ5" s="251">
        <f t="shared" si="0"/>
        <v>2109</v>
      </c>
      <c r="CR5" s="251">
        <f t="shared" si="0"/>
        <v>2110</v>
      </c>
      <c r="CS5" s="251">
        <f t="shared" si="0"/>
        <v>2111</v>
      </c>
      <c r="CT5" s="251">
        <f t="shared" si="0"/>
        <v>2112</v>
      </c>
      <c r="CU5" s="251">
        <f t="shared" si="0"/>
        <v>2113</v>
      </c>
      <c r="CV5" s="251">
        <f t="shared" si="0"/>
        <v>2114</v>
      </c>
      <c r="CW5" s="251">
        <f t="shared" si="0"/>
        <v>2115</v>
      </c>
      <c r="CX5" s="251">
        <f t="shared" si="0"/>
        <v>2116</v>
      </c>
      <c r="CY5" s="251">
        <f t="shared" si="0"/>
        <v>2117</v>
      </c>
      <c r="CZ5" s="251">
        <f t="shared" si="0"/>
        <v>2118</v>
      </c>
      <c r="DA5" s="251">
        <f t="shared" si="0"/>
        <v>2119</v>
      </c>
      <c r="DB5" s="251">
        <f t="shared" si="0"/>
        <v>2120</v>
      </c>
      <c r="DC5" s="251">
        <f t="shared" si="0"/>
        <v>2121</v>
      </c>
      <c r="DD5" s="251">
        <f t="shared" si="0"/>
        <v>2122</v>
      </c>
      <c r="DE5" s="251">
        <f t="shared" si="0"/>
        <v>2123</v>
      </c>
      <c r="DF5" s="251"/>
      <c r="DG5" s="251"/>
      <c r="DH5" s="251"/>
      <c r="DI5" s="251"/>
      <c r="DJ5" s="251"/>
      <c r="DK5" s="251"/>
      <c r="DL5" s="251"/>
    </row>
    <row r="6" spans="1:116" ht="15.75" customHeight="1" x14ac:dyDescent="0.25">
      <c r="A6" s="246" t="s">
        <v>195</v>
      </c>
      <c r="B6" s="246" t="s">
        <v>196</v>
      </c>
      <c r="C6" s="246" t="s">
        <v>197</v>
      </c>
      <c r="D6" s="246" t="s">
        <v>198</v>
      </c>
      <c r="E6" s="483" t="s">
        <v>199</v>
      </c>
      <c r="F6" s="253"/>
      <c r="G6" s="253" t="s">
        <v>200</v>
      </c>
      <c r="H6" s="254" t="s">
        <v>109</v>
      </c>
      <c r="I6" s="251">
        <v>0</v>
      </c>
      <c r="J6" s="251">
        <f t="shared" ref="J6:DE6" si="1">I6+1</f>
        <v>1</v>
      </c>
      <c r="K6" s="251">
        <f t="shared" si="1"/>
        <v>2</v>
      </c>
      <c r="L6" s="251">
        <f t="shared" si="1"/>
        <v>3</v>
      </c>
      <c r="M6" s="251">
        <f t="shared" si="1"/>
        <v>4</v>
      </c>
      <c r="N6" s="251">
        <f t="shared" si="1"/>
        <v>5</v>
      </c>
      <c r="O6" s="251">
        <f t="shared" si="1"/>
        <v>6</v>
      </c>
      <c r="P6" s="251">
        <f t="shared" si="1"/>
        <v>7</v>
      </c>
      <c r="Q6" s="251">
        <f t="shared" si="1"/>
        <v>8</v>
      </c>
      <c r="R6" s="251">
        <f t="shared" si="1"/>
        <v>9</v>
      </c>
      <c r="S6" s="251">
        <f t="shared" si="1"/>
        <v>10</v>
      </c>
      <c r="T6" s="251">
        <f t="shared" si="1"/>
        <v>11</v>
      </c>
      <c r="U6" s="251">
        <f t="shared" si="1"/>
        <v>12</v>
      </c>
      <c r="V6" s="251">
        <f t="shared" si="1"/>
        <v>13</v>
      </c>
      <c r="W6" s="251">
        <f t="shared" si="1"/>
        <v>14</v>
      </c>
      <c r="X6" s="251">
        <f t="shared" si="1"/>
        <v>15</v>
      </c>
      <c r="Y6" s="251">
        <f t="shared" si="1"/>
        <v>16</v>
      </c>
      <c r="Z6" s="251">
        <f t="shared" si="1"/>
        <v>17</v>
      </c>
      <c r="AA6" s="251">
        <f t="shared" si="1"/>
        <v>18</v>
      </c>
      <c r="AB6" s="251">
        <f t="shared" si="1"/>
        <v>19</v>
      </c>
      <c r="AC6" s="251">
        <f t="shared" si="1"/>
        <v>20</v>
      </c>
      <c r="AD6" s="251">
        <f t="shared" si="1"/>
        <v>21</v>
      </c>
      <c r="AE6" s="251">
        <f t="shared" si="1"/>
        <v>22</v>
      </c>
      <c r="AF6" s="251">
        <f t="shared" si="1"/>
        <v>23</v>
      </c>
      <c r="AG6" s="251">
        <f t="shared" si="1"/>
        <v>24</v>
      </c>
      <c r="AH6" s="251">
        <f t="shared" si="1"/>
        <v>25</v>
      </c>
      <c r="AI6" s="251">
        <f t="shared" si="1"/>
        <v>26</v>
      </c>
      <c r="AJ6" s="251">
        <f t="shared" si="1"/>
        <v>27</v>
      </c>
      <c r="AK6" s="251">
        <f t="shared" si="1"/>
        <v>28</v>
      </c>
      <c r="AL6" s="251">
        <f t="shared" si="1"/>
        <v>29</v>
      </c>
      <c r="AM6" s="251">
        <f t="shared" si="1"/>
        <v>30</v>
      </c>
      <c r="AN6" s="251">
        <f t="shared" si="1"/>
        <v>31</v>
      </c>
      <c r="AO6" s="251">
        <f t="shared" si="1"/>
        <v>32</v>
      </c>
      <c r="AP6" s="251">
        <f t="shared" si="1"/>
        <v>33</v>
      </c>
      <c r="AQ6" s="251">
        <f t="shared" si="1"/>
        <v>34</v>
      </c>
      <c r="AR6" s="251">
        <f t="shared" si="1"/>
        <v>35</v>
      </c>
      <c r="AS6" s="251">
        <f t="shared" si="1"/>
        <v>36</v>
      </c>
      <c r="AT6" s="251">
        <f t="shared" si="1"/>
        <v>37</v>
      </c>
      <c r="AU6" s="251">
        <f t="shared" si="1"/>
        <v>38</v>
      </c>
      <c r="AV6" s="251">
        <f t="shared" si="1"/>
        <v>39</v>
      </c>
      <c r="AW6" s="251">
        <f t="shared" si="1"/>
        <v>40</v>
      </c>
      <c r="AX6" s="251">
        <f t="shared" si="1"/>
        <v>41</v>
      </c>
      <c r="AY6" s="251">
        <f t="shared" si="1"/>
        <v>42</v>
      </c>
      <c r="AZ6" s="251">
        <f t="shared" si="1"/>
        <v>43</v>
      </c>
      <c r="BA6" s="251">
        <f t="shared" si="1"/>
        <v>44</v>
      </c>
      <c r="BB6" s="251">
        <f t="shared" si="1"/>
        <v>45</v>
      </c>
      <c r="BC6" s="251">
        <f t="shared" si="1"/>
        <v>46</v>
      </c>
      <c r="BD6" s="251">
        <f t="shared" si="1"/>
        <v>47</v>
      </c>
      <c r="BE6" s="251">
        <f t="shared" si="1"/>
        <v>48</v>
      </c>
      <c r="BF6" s="251">
        <f t="shared" si="1"/>
        <v>49</v>
      </c>
      <c r="BG6" s="251">
        <f t="shared" si="1"/>
        <v>50</v>
      </c>
      <c r="BH6" s="251">
        <f t="shared" si="1"/>
        <v>51</v>
      </c>
      <c r="BI6" s="251">
        <f t="shared" si="1"/>
        <v>52</v>
      </c>
      <c r="BJ6" s="251">
        <f t="shared" si="1"/>
        <v>53</v>
      </c>
      <c r="BK6" s="251">
        <f t="shared" si="1"/>
        <v>54</v>
      </c>
      <c r="BL6" s="251">
        <f t="shared" si="1"/>
        <v>55</v>
      </c>
      <c r="BM6" s="251">
        <f t="shared" si="1"/>
        <v>56</v>
      </c>
      <c r="BN6" s="251">
        <f t="shared" si="1"/>
        <v>57</v>
      </c>
      <c r="BO6" s="251">
        <f t="shared" si="1"/>
        <v>58</v>
      </c>
      <c r="BP6" s="251">
        <f t="shared" si="1"/>
        <v>59</v>
      </c>
      <c r="BQ6" s="251">
        <f t="shared" si="1"/>
        <v>60</v>
      </c>
      <c r="BR6" s="251">
        <f t="shared" si="1"/>
        <v>61</v>
      </c>
      <c r="BS6" s="251">
        <f t="shared" si="1"/>
        <v>62</v>
      </c>
      <c r="BT6" s="251">
        <f t="shared" si="1"/>
        <v>63</v>
      </c>
      <c r="BU6" s="251">
        <f t="shared" si="1"/>
        <v>64</v>
      </c>
      <c r="BV6" s="251">
        <f t="shared" si="1"/>
        <v>65</v>
      </c>
      <c r="BW6" s="251">
        <f t="shared" si="1"/>
        <v>66</v>
      </c>
      <c r="BX6" s="251">
        <f t="shared" si="1"/>
        <v>67</v>
      </c>
      <c r="BY6" s="251">
        <f t="shared" si="1"/>
        <v>68</v>
      </c>
      <c r="BZ6" s="251">
        <f t="shared" si="1"/>
        <v>69</v>
      </c>
      <c r="CA6" s="251">
        <f t="shared" si="1"/>
        <v>70</v>
      </c>
      <c r="CB6" s="251">
        <f t="shared" si="1"/>
        <v>71</v>
      </c>
      <c r="CC6" s="251">
        <f t="shared" si="1"/>
        <v>72</v>
      </c>
      <c r="CD6" s="251">
        <f t="shared" si="1"/>
        <v>73</v>
      </c>
      <c r="CE6" s="251">
        <f t="shared" si="1"/>
        <v>74</v>
      </c>
      <c r="CF6" s="251">
        <f t="shared" si="1"/>
        <v>75</v>
      </c>
      <c r="CG6" s="251">
        <f t="shared" si="1"/>
        <v>76</v>
      </c>
      <c r="CH6" s="251">
        <f t="shared" si="1"/>
        <v>77</v>
      </c>
      <c r="CI6" s="251">
        <f t="shared" si="1"/>
        <v>78</v>
      </c>
      <c r="CJ6" s="251">
        <f t="shared" si="1"/>
        <v>79</v>
      </c>
      <c r="CK6" s="251">
        <f t="shared" si="1"/>
        <v>80</v>
      </c>
      <c r="CL6" s="251">
        <f t="shared" si="1"/>
        <v>81</v>
      </c>
      <c r="CM6" s="251">
        <f t="shared" si="1"/>
        <v>82</v>
      </c>
      <c r="CN6" s="251">
        <f t="shared" si="1"/>
        <v>83</v>
      </c>
      <c r="CO6" s="251">
        <f t="shared" si="1"/>
        <v>84</v>
      </c>
      <c r="CP6" s="251">
        <f t="shared" si="1"/>
        <v>85</v>
      </c>
      <c r="CQ6" s="251">
        <f t="shared" si="1"/>
        <v>86</v>
      </c>
      <c r="CR6" s="251">
        <f t="shared" si="1"/>
        <v>87</v>
      </c>
      <c r="CS6" s="251">
        <f t="shared" si="1"/>
        <v>88</v>
      </c>
      <c r="CT6" s="251">
        <f t="shared" si="1"/>
        <v>89</v>
      </c>
      <c r="CU6" s="251">
        <f t="shared" si="1"/>
        <v>90</v>
      </c>
      <c r="CV6" s="251">
        <f t="shared" si="1"/>
        <v>91</v>
      </c>
      <c r="CW6" s="251">
        <f t="shared" si="1"/>
        <v>92</v>
      </c>
      <c r="CX6" s="251">
        <f t="shared" si="1"/>
        <v>93</v>
      </c>
      <c r="CY6" s="251">
        <f t="shared" si="1"/>
        <v>94</v>
      </c>
      <c r="CZ6" s="251">
        <f t="shared" si="1"/>
        <v>95</v>
      </c>
      <c r="DA6" s="251">
        <f t="shared" si="1"/>
        <v>96</v>
      </c>
      <c r="DB6" s="251">
        <f t="shared" si="1"/>
        <v>97</v>
      </c>
      <c r="DC6" s="251">
        <f t="shared" si="1"/>
        <v>98</v>
      </c>
      <c r="DD6" s="251">
        <f t="shared" si="1"/>
        <v>99</v>
      </c>
      <c r="DE6" s="251">
        <f t="shared" si="1"/>
        <v>100</v>
      </c>
      <c r="DF6" s="251"/>
      <c r="DG6" s="251"/>
      <c r="DH6" s="251"/>
      <c r="DI6" s="251"/>
      <c r="DJ6" s="251"/>
      <c r="DK6" s="251"/>
      <c r="DL6" s="251"/>
    </row>
    <row r="7" spans="1:116" ht="15.75" customHeight="1" x14ac:dyDescent="0.25">
      <c r="A7" s="419" t="s">
        <v>211</v>
      </c>
      <c r="B7" s="420"/>
      <c r="C7" s="272"/>
      <c r="D7" s="273"/>
      <c r="E7" s="274"/>
      <c r="F7" s="274"/>
      <c r="G7" s="273"/>
      <c r="H7" s="484"/>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row>
    <row r="8" spans="1:116" ht="15.75" customHeight="1" x14ac:dyDescent="0.25">
      <c r="A8" s="763" t="s">
        <v>43</v>
      </c>
      <c r="B8" s="769" t="s">
        <v>75</v>
      </c>
      <c r="C8" s="485" t="s">
        <v>212</v>
      </c>
      <c r="D8" s="292" t="s">
        <v>204</v>
      </c>
      <c r="E8" s="293"/>
      <c r="F8" s="293"/>
      <c r="G8" s="292"/>
      <c r="H8" s="486">
        <v>0</v>
      </c>
      <c r="I8" s="487">
        <f>H8*(1+'Unit Costs and Indicators'!$B$52)</f>
        <v>0</v>
      </c>
      <c r="J8" s="487">
        <f>I8*(1+'Unit Costs and Indicators'!$B$52)</f>
        <v>0</v>
      </c>
      <c r="K8" s="487">
        <f>J8*(1+'Unit Costs and Indicators'!$B$52)</f>
        <v>0</v>
      </c>
      <c r="L8" s="487">
        <f>K8*(1+'Unit Costs and Indicators'!$B$52)</f>
        <v>0</v>
      </c>
      <c r="M8" s="487">
        <f>L8*(1+'Unit Costs and Indicators'!$B$52)</f>
        <v>0</v>
      </c>
      <c r="N8" s="487">
        <f>M8*(1+'Unit Costs and Indicators'!$B$52)</f>
        <v>0</v>
      </c>
      <c r="O8" s="487">
        <f>N8*(1+'Unit Costs and Indicators'!$B$52)</f>
        <v>0</v>
      </c>
      <c r="P8" s="487">
        <f>O8*(1+'Unit Costs and Indicators'!$B$52)</f>
        <v>0</v>
      </c>
      <c r="Q8" s="487">
        <f>P8*(1+'Unit Costs and Indicators'!$B$52)</f>
        <v>0</v>
      </c>
      <c r="R8" s="487">
        <f>Q8*(1+'Unit Costs and Indicators'!$B$52)</f>
        <v>0</v>
      </c>
      <c r="S8" s="487">
        <f>R8*(1+'Unit Costs and Indicators'!$B$52)</f>
        <v>0</v>
      </c>
      <c r="T8" s="487">
        <f>S8*(1+'Unit Costs and Indicators'!$B$52)</f>
        <v>0</v>
      </c>
      <c r="U8" s="487">
        <f>T8*(1+'Unit Costs and Indicators'!$B$52)</f>
        <v>0</v>
      </c>
      <c r="V8" s="487">
        <f>U8*(1+'Unit Costs and Indicators'!$B$52)</f>
        <v>0</v>
      </c>
      <c r="W8" s="487">
        <f>V8*(1+'Unit Costs and Indicators'!$B$52)</f>
        <v>0</v>
      </c>
      <c r="X8" s="487">
        <f>W8*(1+'Unit Costs and Indicators'!$B$52)</f>
        <v>0</v>
      </c>
      <c r="Y8" s="487">
        <f>X8*(1+'Unit Costs and Indicators'!$B$52)</f>
        <v>0</v>
      </c>
      <c r="Z8" s="487">
        <f>Y8*(1+'Unit Costs and Indicators'!$B$52)</f>
        <v>0</v>
      </c>
      <c r="AA8" s="487">
        <f>Z8*(1+'Unit Costs and Indicators'!$B$52)</f>
        <v>0</v>
      </c>
      <c r="AB8" s="487">
        <f>AA8*(1+'Unit Costs and Indicators'!$B$52)</f>
        <v>0</v>
      </c>
      <c r="AC8" s="487">
        <f>AB8*(1+'Unit Costs and Indicators'!$B$52)</f>
        <v>0</v>
      </c>
      <c r="AD8" s="487">
        <f>AC8*(1+'Unit Costs and Indicators'!$B$52)</f>
        <v>0</v>
      </c>
      <c r="AE8" s="487">
        <f>AD8*(1+'Unit Costs and Indicators'!$B$52)</f>
        <v>0</v>
      </c>
      <c r="AF8" s="487">
        <f>AE8*(1+'Unit Costs and Indicators'!$B$52)</f>
        <v>0</v>
      </c>
      <c r="AG8" s="487">
        <f>AF8*(1+'Unit Costs and Indicators'!$B$52)</f>
        <v>0</v>
      </c>
      <c r="AH8" s="487">
        <f>AG8*(1+'Unit Costs and Indicators'!$B$52)</f>
        <v>0</v>
      </c>
      <c r="AI8" s="487">
        <f>AH8*(1+'Unit Costs and Indicators'!$B$52)</f>
        <v>0</v>
      </c>
      <c r="AJ8" s="487">
        <f>AI8*(1+'Unit Costs and Indicators'!$B$52)</f>
        <v>0</v>
      </c>
      <c r="AK8" s="487">
        <f>AJ8*(1+'Unit Costs and Indicators'!$B$52)</f>
        <v>0</v>
      </c>
      <c r="AL8" s="487">
        <f>AK8*(1+'Unit Costs and Indicators'!$B$52)</f>
        <v>0</v>
      </c>
      <c r="AM8" s="487">
        <f>AL8*(1+'Unit Costs and Indicators'!$B$52)</f>
        <v>0</v>
      </c>
      <c r="AN8" s="487">
        <f>AM8*(1+'Unit Costs and Indicators'!$B$52)</f>
        <v>0</v>
      </c>
      <c r="AO8" s="487">
        <f>AN8*(1+'Unit Costs and Indicators'!$B$52)</f>
        <v>0</v>
      </c>
      <c r="AP8" s="487">
        <f>AO8*(1+'Unit Costs and Indicators'!$B$52)</f>
        <v>0</v>
      </c>
      <c r="AQ8" s="487">
        <f>AP8*(1+'Unit Costs and Indicators'!$B$52)</f>
        <v>0</v>
      </c>
      <c r="AR8" s="487">
        <f>AQ8*(1+'Unit Costs and Indicators'!$B$52)</f>
        <v>0</v>
      </c>
      <c r="AS8" s="487">
        <f>AR8*(1+'Unit Costs and Indicators'!$B$52)</f>
        <v>0</v>
      </c>
      <c r="AT8" s="487">
        <f>AS8*(1+'Unit Costs and Indicators'!$B$52)</f>
        <v>0</v>
      </c>
      <c r="AU8" s="487">
        <f>AT8*(1+'Unit Costs and Indicators'!$B$52)</f>
        <v>0</v>
      </c>
      <c r="AV8" s="487">
        <f>AU8*(1+'Unit Costs and Indicators'!$B$52)</f>
        <v>0</v>
      </c>
      <c r="AW8" s="487">
        <f>AV8*(1+'Unit Costs and Indicators'!$B$52)</f>
        <v>0</v>
      </c>
      <c r="AX8" s="487">
        <f>AW8*(1+'Unit Costs and Indicators'!$B$52)</f>
        <v>0</v>
      </c>
      <c r="AY8" s="487">
        <f>AX8*(1+'Unit Costs and Indicators'!$B$52)</f>
        <v>0</v>
      </c>
      <c r="AZ8" s="487">
        <f>AY8*(1+'Unit Costs and Indicators'!$B$52)</f>
        <v>0</v>
      </c>
      <c r="BA8" s="487">
        <f>AZ8*(1+'Unit Costs and Indicators'!$B$52)</f>
        <v>0</v>
      </c>
      <c r="BB8" s="487">
        <f>BA8*(1+'Unit Costs and Indicators'!$B$52)</f>
        <v>0</v>
      </c>
      <c r="BC8" s="487">
        <f>BB8*(1+'Unit Costs and Indicators'!$B$52)</f>
        <v>0</v>
      </c>
      <c r="BD8" s="487">
        <f>BC8*(1+'Unit Costs and Indicators'!$B$52)</f>
        <v>0</v>
      </c>
      <c r="BE8" s="487">
        <f>BD8*(1+'Unit Costs and Indicators'!$B$52)</f>
        <v>0</v>
      </c>
      <c r="BF8" s="487">
        <f>BE8*(1+'Unit Costs and Indicators'!$B$52)</f>
        <v>0</v>
      </c>
      <c r="BG8" s="487">
        <f>BF8*(1+'Unit Costs and Indicators'!$B$52)</f>
        <v>0</v>
      </c>
      <c r="BH8" s="487">
        <f>BG8*(1+'Unit Costs and Indicators'!$B$52)</f>
        <v>0</v>
      </c>
      <c r="BI8" s="487">
        <f>BH8*(1+'Unit Costs and Indicators'!$B$52)</f>
        <v>0</v>
      </c>
      <c r="BJ8" s="487">
        <f>BI8*(1+'Unit Costs and Indicators'!$B$52)</f>
        <v>0</v>
      </c>
      <c r="BK8" s="487">
        <f>BJ8*(1+'Unit Costs and Indicators'!$B$52)</f>
        <v>0</v>
      </c>
      <c r="BL8" s="487">
        <f>BK8*(1+'Unit Costs and Indicators'!$B$52)</f>
        <v>0</v>
      </c>
      <c r="BM8" s="487">
        <f>BL8*(1+'Unit Costs and Indicators'!$B$52)</f>
        <v>0</v>
      </c>
      <c r="BN8" s="487">
        <f>BM8*(1+'Unit Costs and Indicators'!$B$52)</f>
        <v>0</v>
      </c>
      <c r="BO8" s="487">
        <f>BN8*(1+'Unit Costs and Indicators'!$B$52)</f>
        <v>0</v>
      </c>
      <c r="BP8" s="487">
        <f>BO8*(1+'Unit Costs and Indicators'!$B$52)</f>
        <v>0</v>
      </c>
      <c r="BQ8" s="487">
        <f>BP8*(1+'Unit Costs and Indicators'!$B$52)</f>
        <v>0</v>
      </c>
      <c r="BR8" s="487">
        <f>BQ8*(1+'Unit Costs and Indicators'!$B$52)</f>
        <v>0</v>
      </c>
      <c r="BS8" s="487">
        <f>BR8*(1+'Unit Costs and Indicators'!$B$52)</f>
        <v>0</v>
      </c>
      <c r="BT8" s="487">
        <f>BS8*(1+'Unit Costs and Indicators'!$B$52)</f>
        <v>0</v>
      </c>
      <c r="BU8" s="487">
        <f>BT8*(1+'Unit Costs and Indicators'!$B$52)</f>
        <v>0</v>
      </c>
      <c r="BV8" s="487">
        <f>BU8*(1+'Unit Costs and Indicators'!$B$52)</f>
        <v>0</v>
      </c>
      <c r="BW8" s="487">
        <f>BV8*(1+'Unit Costs and Indicators'!$B$52)</f>
        <v>0</v>
      </c>
      <c r="BX8" s="487">
        <f>BW8*(1+'Unit Costs and Indicators'!$B$52)</f>
        <v>0</v>
      </c>
      <c r="BY8" s="487">
        <f>BX8*(1+'Unit Costs and Indicators'!$B$52)</f>
        <v>0</v>
      </c>
      <c r="BZ8" s="487">
        <f>BY8*(1+'Unit Costs and Indicators'!$B$52)</f>
        <v>0</v>
      </c>
      <c r="CA8" s="487">
        <f>BZ8*(1+'Unit Costs and Indicators'!$B$52)</f>
        <v>0</v>
      </c>
      <c r="CB8" s="487">
        <f>CA8*(1+'Unit Costs and Indicators'!$B$52)</f>
        <v>0</v>
      </c>
      <c r="CC8" s="487">
        <f>CB8*(1+'Unit Costs and Indicators'!$B$52)</f>
        <v>0</v>
      </c>
      <c r="CD8" s="487">
        <f>CC8*(1+'Unit Costs and Indicators'!$B$52)</f>
        <v>0</v>
      </c>
      <c r="CE8" s="487">
        <f>CD8*(1+'Unit Costs and Indicators'!$B$52)</f>
        <v>0</v>
      </c>
      <c r="CF8" s="487">
        <f>CE8*(1+'Unit Costs and Indicators'!$B$52)</f>
        <v>0</v>
      </c>
      <c r="CG8" s="487">
        <f>CF8*(1+'Unit Costs and Indicators'!$B$52)</f>
        <v>0</v>
      </c>
      <c r="CH8" s="487">
        <f>CG8*(1+'Unit Costs and Indicators'!$B$52)</f>
        <v>0</v>
      </c>
      <c r="CI8" s="487">
        <f>CH8*(1+'Unit Costs and Indicators'!$B$52)</f>
        <v>0</v>
      </c>
      <c r="CJ8" s="487">
        <f>CI8*(1+'Unit Costs and Indicators'!$B$52)</f>
        <v>0</v>
      </c>
      <c r="CK8" s="487">
        <f>CJ8*(1+'Unit Costs and Indicators'!$B$52)</f>
        <v>0</v>
      </c>
      <c r="CL8" s="487">
        <f>CK8*(1+'Unit Costs and Indicators'!$B$52)</f>
        <v>0</v>
      </c>
      <c r="CM8" s="487">
        <f>CL8*(1+'Unit Costs and Indicators'!$B$52)</f>
        <v>0</v>
      </c>
      <c r="CN8" s="487">
        <f>CM8*(1+'Unit Costs and Indicators'!$B$52)</f>
        <v>0</v>
      </c>
      <c r="CO8" s="487">
        <f>CN8*(1+'Unit Costs and Indicators'!$B$52)</f>
        <v>0</v>
      </c>
      <c r="CP8" s="487">
        <f>CO8*(1+'Unit Costs and Indicators'!$B$52)</f>
        <v>0</v>
      </c>
      <c r="CQ8" s="487">
        <f>CP8*(1+'Unit Costs and Indicators'!$B$52)</f>
        <v>0</v>
      </c>
      <c r="CR8" s="487">
        <f>CQ8*(1+'Unit Costs and Indicators'!$B$52)</f>
        <v>0</v>
      </c>
      <c r="CS8" s="487">
        <f>CR8*(1+'Unit Costs and Indicators'!$B$52)</f>
        <v>0</v>
      </c>
      <c r="CT8" s="487">
        <f>CS8*(1+'Unit Costs and Indicators'!$B$52)</f>
        <v>0</v>
      </c>
      <c r="CU8" s="487">
        <f>CT8*(1+'Unit Costs and Indicators'!$B$52)</f>
        <v>0</v>
      </c>
      <c r="CV8" s="487">
        <f>CU8*(1+'Unit Costs and Indicators'!$B$52)</f>
        <v>0</v>
      </c>
      <c r="CW8" s="487">
        <f>CV8*(1+'Unit Costs and Indicators'!$B$52)</f>
        <v>0</v>
      </c>
      <c r="CX8" s="487">
        <f>CW8*(1+'Unit Costs and Indicators'!$B$52)</f>
        <v>0</v>
      </c>
      <c r="CY8" s="487">
        <f>CX8*(1+'Unit Costs and Indicators'!$B$52)</f>
        <v>0</v>
      </c>
      <c r="CZ8" s="487">
        <f>CY8*(1+'Unit Costs and Indicators'!$B$52)</f>
        <v>0</v>
      </c>
      <c r="DA8" s="487">
        <f>CZ8*(1+'Unit Costs and Indicators'!$B$52)</f>
        <v>0</v>
      </c>
      <c r="DB8" s="487">
        <f>DA8*(1+'Unit Costs and Indicators'!$B$52)</f>
        <v>0</v>
      </c>
      <c r="DC8" s="487">
        <f>DB8*(1+'Unit Costs and Indicators'!$B$52)</f>
        <v>0</v>
      </c>
      <c r="DD8" s="487">
        <f>DC8*(1+'Unit Costs and Indicators'!$B$52)</f>
        <v>0</v>
      </c>
      <c r="DE8" s="487">
        <f>DD8*(1+'Unit Costs and Indicators'!$B$52)</f>
        <v>0</v>
      </c>
      <c r="DF8" s="282"/>
      <c r="DG8" s="282"/>
      <c r="DH8" s="282"/>
      <c r="DI8" s="282"/>
      <c r="DJ8" s="282"/>
      <c r="DK8" s="282"/>
      <c r="DL8" s="282"/>
    </row>
    <row r="9" spans="1:116" ht="15.75" customHeight="1" x14ac:dyDescent="0.25">
      <c r="A9" s="751"/>
      <c r="B9" s="751"/>
      <c r="C9" s="283" t="s">
        <v>213</v>
      </c>
      <c r="D9" s="279" t="s">
        <v>204</v>
      </c>
      <c r="E9" s="280" t="s">
        <v>375</v>
      </c>
      <c r="F9" s="280"/>
      <c r="G9" s="279"/>
      <c r="H9" s="281">
        <f t="shared" ref="H9:DE9" si="2">H8/3</f>
        <v>0</v>
      </c>
      <c r="I9" s="284">
        <f t="shared" si="2"/>
        <v>0</v>
      </c>
      <c r="J9" s="284">
        <f t="shared" si="2"/>
        <v>0</v>
      </c>
      <c r="K9" s="284">
        <f t="shared" si="2"/>
        <v>0</v>
      </c>
      <c r="L9" s="284">
        <f t="shared" si="2"/>
        <v>0</v>
      </c>
      <c r="M9" s="284">
        <f t="shared" si="2"/>
        <v>0</v>
      </c>
      <c r="N9" s="284">
        <f t="shared" si="2"/>
        <v>0</v>
      </c>
      <c r="O9" s="284">
        <f t="shared" si="2"/>
        <v>0</v>
      </c>
      <c r="P9" s="284">
        <f t="shared" si="2"/>
        <v>0</v>
      </c>
      <c r="Q9" s="284">
        <f t="shared" si="2"/>
        <v>0</v>
      </c>
      <c r="R9" s="284">
        <f t="shared" si="2"/>
        <v>0</v>
      </c>
      <c r="S9" s="284">
        <f t="shared" si="2"/>
        <v>0</v>
      </c>
      <c r="T9" s="284">
        <f t="shared" si="2"/>
        <v>0</v>
      </c>
      <c r="U9" s="284">
        <f t="shared" si="2"/>
        <v>0</v>
      </c>
      <c r="V9" s="284">
        <f t="shared" si="2"/>
        <v>0</v>
      </c>
      <c r="W9" s="284">
        <f t="shared" si="2"/>
        <v>0</v>
      </c>
      <c r="X9" s="284">
        <f t="shared" si="2"/>
        <v>0</v>
      </c>
      <c r="Y9" s="284">
        <f t="shared" si="2"/>
        <v>0</v>
      </c>
      <c r="Z9" s="284">
        <f t="shared" si="2"/>
        <v>0</v>
      </c>
      <c r="AA9" s="284">
        <f t="shared" si="2"/>
        <v>0</v>
      </c>
      <c r="AB9" s="284">
        <f t="shared" si="2"/>
        <v>0</v>
      </c>
      <c r="AC9" s="284">
        <f t="shared" si="2"/>
        <v>0</v>
      </c>
      <c r="AD9" s="284">
        <f t="shared" si="2"/>
        <v>0</v>
      </c>
      <c r="AE9" s="284">
        <f t="shared" si="2"/>
        <v>0</v>
      </c>
      <c r="AF9" s="284">
        <f t="shared" si="2"/>
        <v>0</v>
      </c>
      <c r="AG9" s="284">
        <f t="shared" si="2"/>
        <v>0</v>
      </c>
      <c r="AH9" s="284">
        <f t="shared" si="2"/>
        <v>0</v>
      </c>
      <c r="AI9" s="284">
        <f t="shared" si="2"/>
        <v>0</v>
      </c>
      <c r="AJ9" s="284">
        <f t="shared" si="2"/>
        <v>0</v>
      </c>
      <c r="AK9" s="284">
        <f t="shared" si="2"/>
        <v>0</v>
      </c>
      <c r="AL9" s="284">
        <f t="shared" si="2"/>
        <v>0</v>
      </c>
      <c r="AM9" s="284">
        <f t="shared" si="2"/>
        <v>0</v>
      </c>
      <c r="AN9" s="284">
        <f t="shared" si="2"/>
        <v>0</v>
      </c>
      <c r="AO9" s="284">
        <f t="shared" si="2"/>
        <v>0</v>
      </c>
      <c r="AP9" s="284">
        <f t="shared" si="2"/>
        <v>0</v>
      </c>
      <c r="AQ9" s="284">
        <f t="shared" si="2"/>
        <v>0</v>
      </c>
      <c r="AR9" s="284">
        <f t="shared" si="2"/>
        <v>0</v>
      </c>
      <c r="AS9" s="284">
        <f t="shared" si="2"/>
        <v>0</v>
      </c>
      <c r="AT9" s="284">
        <f t="shared" si="2"/>
        <v>0</v>
      </c>
      <c r="AU9" s="284">
        <f t="shared" si="2"/>
        <v>0</v>
      </c>
      <c r="AV9" s="284">
        <f t="shared" si="2"/>
        <v>0</v>
      </c>
      <c r="AW9" s="284">
        <f t="shared" si="2"/>
        <v>0</v>
      </c>
      <c r="AX9" s="284">
        <f t="shared" si="2"/>
        <v>0</v>
      </c>
      <c r="AY9" s="284">
        <f t="shared" si="2"/>
        <v>0</v>
      </c>
      <c r="AZ9" s="284">
        <f t="shared" si="2"/>
        <v>0</v>
      </c>
      <c r="BA9" s="284">
        <f t="shared" si="2"/>
        <v>0</v>
      </c>
      <c r="BB9" s="284">
        <f t="shared" si="2"/>
        <v>0</v>
      </c>
      <c r="BC9" s="284">
        <f t="shared" si="2"/>
        <v>0</v>
      </c>
      <c r="BD9" s="284">
        <f t="shared" si="2"/>
        <v>0</v>
      </c>
      <c r="BE9" s="284">
        <f t="shared" si="2"/>
        <v>0</v>
      </c>
      <c r="BF9" s="284">
        <f t="shared" si="2"/>
        <v>0</v>
      </c>
      <c r="BG9" s="284">
        <f t="shared" si="2"/>
        <v>0</v>
      </c>
      <c r="BH9" s="284">
        <f t="shared" si="2"/>
        <v>0</v>
      </c>
      <c r="BI9" s="284">
        <f t="shared" si="2"/>
        <v>0</v>
      </c>
      <c r="BJ9" s="284">
        <f t="shared" si="2"/>
        <v>0</v>
      </c>
      <c r="BK9" s="284">
        <f t="shared" si="2"/>
        <v>0</v>
      </c>
      <c r="BL9" s="284">
        <f t="shared" si="2"/>
        <v>0</v>
      </c>
      <c r="BM9" s="284">
        <f t="shared" si="2"/>
        <v>0</v>
      </c>
      <c r="BN9" s="284">
        <f t="shared" si="2"/>
        <v>0</v>
      </c>
      <c r="BO9" s="284">
        <f t="shared" si="2"/>
        <v>0</v>
      </c>
      <c r="BP9" s="284">
        <f t="shared" si="2"/>
        <v>0</v>
      </c>
      <c r="BQ9" s="284">
        <f t="shared" si="2"/>
        <v>0</v>
      </c>
      <c r="BR9" s="284">
        <f t="shared" si="2"/>
        <v>0</v>
      </c>
      <c r="BS9" s="284">
        <f t="shared" si="2"/>
        <v>0</v>
      </c>
      <c r="BT9" s="284">
        <f t="shared" si="2"/>
        <v>0</v>
      </c>
      <c r="BU9" s="284">
        <f t="shared" si="2"/>
        <v>0</v>
      </c>
      <c r="BV9" s="284">
        <f t="shared" si="2"/>
        <v>0</v>
      </c>
      <c r="BW9" s="284">
        <f t="shared" si="2"/>
        <v>0</v>
      </c>
      <c r="BX9" s="284">
        <f t="shared" si="2"/>
        <v>0</v>
      </c>
      <c r="BY9" s="284">
        <f t="shared" si="2"/>
        <v>0</v>
      </c>
      <c r="BZ9" s="284">
        <f t="shared" si="2"/>
        <v>0</v>
      </c>
      <c r="CA9" s="284">
        <f t="shared" si="2"/>
        <v>0</v>
      </c>
      <c r="CB9" s="284">
        <f t="shared" si="2"/>
        <v>0</v>
      </c>
      <c r="CC9" s="284">
        <f t="shared" si="2"/>
        <v>0</v>
      </c>
      <c r="CD9" s="284">
        <f t="shared" si="2"/>
        <v>0</v>
      </c>
      <c r="CE9" s="284">
        <f t="shared" si="2"/>
        <v>0</v>
      </c>
      <c r="CF9" s="284">
        <f t="shared" si="2"/>
        <v>0</v>
      </c>
      <c r="CG9" s="284">
        <f t="shared" si="2"/>
        <v>0</v>
      </c>
      <c r="CH9" s="284">
        <f t="shared" si="2"/>
        <v>0</v>
      </c>
      <c r="CI9" s="284">
        <f t="shared" si="2"/>
        <v>0</v>
      </c>
      <c r="CJ9" s="284">
        <f t="shared" si="2"/>
        <v>0</v>
      </c>
      <c r="CK9" s="284">
        <f t="shared" si="2"/>
        <v>0</v>
      </c>
      <c r="CL9" s="284">
        <f t="shared" si="2"/>
        <v>0</v>
      </c>
      <c r="CM9" s="284">
        <f t="shared" si="2"/>
        <v>0</v>
      </c>
      <c r="CN9" s="284">
        <f t="shared" si="2"/>
        <v>0</v>
      </c>
      <c r="CO9" s="284">
        <f t="shared" si="2"/>
        <v>0</v>
      </c>
      <c r="CP9" s="284">
        <f t="shared" si="2"/>
        <v>0</v>
      </c>
      <c r="CQ9" s="284">
        <f t="shared" si="2"/>
        <v>0</v>
      </c>
      <c r="CR9" s="284">
        <f t="shared" si="2"/>
        <v>0</v>
      </c>
      <c r="CS9" s="284">
        <f t="shared" si="2"/>
        <v>0</v>
      </c>
      <c r="CT9" s="284">
        <f t="shared" si="2"/>
        <v>0</v>
      </c>
      <c r="CU9" s="284">
        <f t="shared" si="2"/>
        <v>0</v>
      </c>
      <c r="CV9" s="284">
        <f t="shared" si="2"/>
        <v>0</v>
      </c>
      <c r="CW9" s="284">
        <f t="shared" si="2"/>
        <v>0</v>
      </c>
      <c r="CX9" s="284">
        <f t="shared" si="2"/>
        <v>0</v>
      </c>
      <c r="CY9" s="284">
        <f t="shared" si="2"/>
        <v>0</v>
      </c>
      <c r="CZ9" s="284">
        <f t="shared" si="2"/>
        <v>0</v>
      </c>
      <c r="DA9" s="284">
        <f t="shared" si="2"/>
        <v>0</v>
      </c>
      <c r="DB9" s="284">
        <f t="shared" si="2"/>
        <v>0</v>
      </c>
      <c r="DC9" s="284">
        <f t="shared" si="2"/>
        <v>0</v>
      </c>
      <c r="DD9" s="284">
        <f t="shared" si="2"/>
        <v>0</v>
      </c>
      <c r="DE9" s="284">
        <f t="shared" si="2"/>
        <v>0</v>
      </c>
      <c r="DF9" s="284"/>
      <c r="DG9" s="284"/>
      <c r="DH9" s="284"/>
      <c r="DI9" s="284"/>
      <c r="DJ9" s="284"/>
      <c r="DK9" s="284"/>
      <c r="DL9" s="284"/>
    </row>
    <row r="10" spans="1:116" ht="15.75" customHeight="1" x14ac:dyDescent="0.25">
      <c r="A10" s="751"/>
      <c r="B10" s="751"/>
      <c r="C10" s="278" t="s">
        <v>216</v>
      </c>
      <c r="D10" s="279" t="s">
        <v>38</v>
      </c>
      <c r="E10" s="280" t="s">
        <v>217</v>
      </c>
      <c r="F10" s="280"/>
      <c r="G10" s="279"/>
      <c r="H10" s="286">
        <v>0</v>
      </c>
      <c r="I10" s="287">
        <v>0</v>
      </c>
      <c r="J10" s="287">
        <v>0</v>
      </c>
      <c r="K10" s="287">
        <v>0</v>
      </c>
      <c r="L10" s="287">
        <v>0</v>
      </c>
      <c r="M10" s="287">
        <v>0</v>
      </c>
      <c r="N10" s="287">
        <v>0</v>
      </c>
      <c r="O10" s="287">
        <v>0</v>
      </c>
      <c r="P10" s="287">
        <v>0</v>
      </c>
      <c r="Q10" s="287">
        <v>0</v>
      </c>
      <c r="R10" s="287">
        <v>0</v>
      </c>
      <c r="S10" s="287">
        <v>0</v>
      </c>
      <c r="T10" s="287">
        <v>0</v>
      </c>
      <c r="U10" s="287">
        <v>0</v>
      </c>
      <c r="V10" s="287">
        <v>0</v>
      </c>
      <c r="W10" s="287">
        <v>0</v>
      </c>
      <c r="X10" s="287">
        <v>0</v>
      </c>
      <c r="Y10" s="287">
        <v>0</v>
      </c>
      <c r="Z10" s="287">
        <v>0</v>
      </c>
      <c r="AA10" s="287">
        <v>0</v>
      </c>
      <c r="AB10" s="287">
        <v>0</v>
      </c>
      <c r="AC10" s="287">
        <v>0</v>
      </c>
      <c r="AD10" s="287">
        <v>0</v>
      </c>
      <c r="AE10" s="287">
        <v>0</v>
      </c>
      <c r="AF10" s="287">
        <v>0</v>
      </c>
      <c r="AG10" s="287">
        <v>0</v>
      </c>
      <c r="AH10" s="287">
        <v>0</v>
      </c>
      <c r="AI10" s="287">
        <v>0</v>
      </c>
      <c r="AJ10" s="287">
        <v>0</v>
      </c>
      <c r="AK10" s="287">
        <v>0</v>
      </c>
      <c r="AL10" s="287">
        <v>0</v>
      </c>
      <c r="AM10" s="287">
        <v>0</v>
      </c>
      <c r="AN10" s="287">
        <v>0</v>
      </c>
      <c r="AO10" s="287">
        <v>0</v>
      </c>
      <c r="AP10" s="287">
        <v>0</v>
      </c>
      <c r="AQ10" s="287">
        <v>0</v>
      </c>
      <c r="AR10" s="287">
        <v>0</v>
      </c>
      <c r="AS10" s="287">
        <v>0</v>
      </c>
      <c r="AT10" s="287">
        <v>0</v>
      </c>
      <c r="AU10" s="287">
        <v>0</v>
      </c>
      <c r="AV10" s="287">
        <v>0</v>
      </c>
      <c r="AW10" s="287">
        <v>0</v>
      </c>
      <c r="AX10" s="287">
        <v>0</v>
      </c>
      <c r="AY10" s="287">
        <v>0</v>
      </c>
      <c r="AZ10" s="287">
        <v>0</v>
      </c>
      <c r="BA10" s="287">
        <v>0</v>
      </c>
      <c r="BB10" s="287">
        <v>0</v>
      </c>
      <c r="BC10" s="287">
        <v>0</v>
      </c>
      <c r="BD10" s="287">
        <v>0</v>
      </c>
      <c r="BE10" s="287">
        <v>0</v>
      </c>
      <c r="BF10" s="287">
        <v>0</v>
      </c>
      <c r="BG10" s="287">
        <v>0</v>
      </c>
      <c r="BH10" s="287">
        <v>0</v>
      </c>
      <c r="BI10" s="287">
        <v>0</v>
      </c>
      <c r="BJ10" s="287">
        <v>0</v>
      </c>
      <c r="BK10" s="287">
        <v>0</v>
      </c>
      <c r="BL10" s="287">
        <v>0</v>
      </c>
      <c r="BM10" s="287">
        <v>0</v>
      </c>
      <c r="BN10" s="287">
        <v>0</v>
      </c>
      <c r="BO10" s="287">
        <v>0</v>
      </c>
      <c r="BP10" s="287">
        <v>0</v>
      </c>
      <c r="BQ10" s="287">
        <v>0</v>
      </c>
      <c r="BR10" s="287">
        <v>0</v>
      </c>
      <c r="BS10" s="287">
        <v>0</v>
      </c>
      <c r="BT10" s="287">
        <v>0</v>
      </c>
      <c r="BU10" s="287">
        <v>0</v>
      </c>
      <c r="BV10" s="287">
        <v>0</v>
      </c>
      <c r="BW10" s="287">
        <v>0</v>
      </c>
      <c r="BX10" s="287">
        <v>0</v>
      </c>
      <c r="BY10" s="287">
        <v>0</v>
      </c>
      <c r="BZ10" s="287">
        <v>0</v>
      </c>
      <c r="CA10" s="287">
        <v>0</v>
      </c>
      <c r="CB10" s="287">
        <v>0</v>
      </c>
      <c r="CC10" s="287">
        <v>0</v>
      </c>
      <c r="CD10" s="287">
        <v>0</v>
      </c>
      <c r="CE10" s="287">
        <v>0</v>
      </c>
      <c r="CF10" s="287">
        <v>0</v>
      </c>
      <c r="CG10" s="287">
        <v>0</v>
      </c>
      <c r="CH10" s="287">
        <v>0</v>
      </c>
      <c r="CI10" s="287">
        <v>0</v>
      </c>
      <c r="CJ10" s="287">
        <v>0</v>
      </c>
      <c r="CK10" s="287">
        <v>0</v>
      </c>
      <c r="CL10" s="287">
        <v>0</v>
      </c>
      <c r="CM10" s="287">
        <v>0</v>
      </c>
      <c r="CN10" s="287">
        <v>0</v>
      </c>
      <c r="CO10" s="287">
        <v>0</v>
      </c>
      <c r="CP10" s="287">
        <v>0</v>
      </c>
      <c r="CQ10" s="287">
        <v>0</v>
      </c>
      <c r="CR10" s="287">
        <v>0</v>
      </c>
      <c r="CS10" s="287">
        <v>0</v>
      </c>
      <c r="CT10" s="287">
        <v>0</v>
      </c>
      <c r="CU10" s="287">
        <v>0</v>
      </c>
      <c r="CV10" s="287">
        <v>0</v>
      </c>
      <c r="CW10" s="287">
        <v>0</v>
      </c>
      <c r="CX10" s="287">
        <v>0</v>
      </c>
      <c r="CY10" s="287">
        <v>0</v>
      </c>
      <c r="CZ10" s="287">
        <v>0</v>
      </c>
      <c r="DA10" s="287">
        <v>0</v>
      </c>
      <c r="DB10" s="287">
        <v>0</v>
      </c>
      <c r="DC10" s="287">
        <v>0</v>
      </c>
      <c r="DD10" s="287">
        <v>0</v>
      </c>
      <c r="DE10" s="287">
        <v>0</v>
      </c>
      <c r="DF10" s="287"/>
      <c r="DG10" s="287"/>
      <c r="DH10" s="287"/>
      <c r="DI10" s="287"/>
      <c r="DJ10" s="287"/>
      <c r="DK10" s="287"/>
      <c r="DL10" s="287"/>
    </row>
    <row r="11" spans="1:116" ht="15.75" customHeight="1" x14ac:dyDescent="0.25">
      <c r="A11" s="751"/>
      <c r="B11" s="751"/>
      <c r="C11" s="291" t="s">
        <v>218</v>
      </c>
      <c r="D11" s="292" t="s">
        <v>204</v>
      </c>
      <c r="E11" s="293" t="s">
        <v>217</v>
      </c>
      <c r="F11" s="293"/>
      <c r="G11" s="292"/>
      <c r="H11" s="488">
        <v>0</v>
      </c>
      <c r="I11" s="489">
        <v>0</v>
      </c>
      <c r="J11" s="489">
        <v>0</v>
      </c>
      <c r="K11" s="489">
        <v>0</v>
      </c>
      <c r="L11" s="489">
        <v>0</v>
      </c>
      <c r="M11" s="489">
        <v>0</v>
      </c>
      <c r="N11" s="489">
        <v>0</v>
      </c>
      <c r="O11" s="489">
        <v>0</v>
      </c>
      <c r="P11" s="489">
        <v>0</v>
      </c>
      <c r="Q11" s="489">
        <v>0</v>
      </c>
      <c r="R11" s="489">
        <v>0</v>
      </c>
      <c r="S11" s="489">
        <v>0</v>
      </c>
      <c r="T11" s="489">
        <v>0</v>
      </c>
      <c r="U11" s="489">
        <v>0</v>
      </c>
      <c r="V11" s="489">
        <v>0</v>
      </c>
      <c r="W11" s="489">
        <v>0</v>
      </c>
      <c r="X11" s="489">
        <v>0</v>
      </c>
      <c r="Y11" s="489">
        <v>0</v>
      </c>
      <c r="Z11" s="489">
        <v>0</v>
      </c>
      <c r="AA11" s="489">
        <v>0</v>
      </c>
      <c r="AB11" s="489">
        <v>0</v>
      </c>
      <c r="AC11" s="489">
        <v>0</v>
      </c>
      <c r="AD11" s="489">
        <v>0</v>
      </c>
      <c r="AE11" s="489">
        <v>0</v>
      </c>
      <c r="AF11" s="489">
        <v>0</v>
      </c>
      <c r="AG11" s="489">
        <v>0</v>
      </c>
      <c r="AH11" s="489">
        <v>0</v>
      </c>
      <c r="AI11" s="489">
        <v>0</v>
      </c>
      <c r="AJ11" s="489">
        <v>0</v>
      </c>
      <c r="AK11" s="489">
        <v>0</v>
      </c>
      <c r="AL11" s="489">
        <v>0</v>
      </c>
      <c r="AM11" s="489">
        <v>0</v>
      </c>
      <c r="AN11" s="489">
        <v>0</v>
      </c>
      <c r="AO11" s="489">
        <v>0</v>
      </c>
      <c r="AP11" s="489">
        <v>0</v>
      </c>
      <c r="AQ11" s="489">
        <v>0</v>
      </c>
      <c r="AR11" s="489">
        <v>0</v>
      </c>
      <c r="AS11" s="489">
        <v>0</v>
      </c>
      <c r="AT11" s="489">
        <v>0</v>
      </c>
      <c r="AU11" s="489">
        <v>0</v>
      </c>
      <c r="AV11" s="489">
        <v>0</v>
      </c>
      <c r="AW11" s="489">
        <v>0</v>
      </c>
      <c r="AX11" s="489">
        <v>0</v>
      </c>
      <c r="AY11" s="489">
        <v>0</v>
      </c>
      <c r="AZ11" s="489">
        <v>0</v>
      </c>
      <c r="BA11" s="489">
        <v>0</v>
      </c>
      <c r="BB11" s="489">
        <v>0</v>
      </c>
      <c r="BC11" s="489">
        <v>0</v>
      </c>
      <c r="BD11" s="489">
        <v>0</v>
      </c>
      <c r="BE11" s="489">
        <v>0</v>
      </c>
      <c r="BF11" s="489">
        <v>0</v>
      </c>
      <c r="BG11" s="489">
        <v>0</v>
      </c>
      <c r="BH11" s="489">
        <v>0</v>
      </c>
      <c r="BI11" s="489">
        <v>0</v>
      </c>
      <c r="BJ11" s="489">
        <v>0</v>
      </c>
      <c r="BK11" s="489">
        <v>0</v>
      </c>
      <c r="BL11" s="489">
        <v>0</v>
      </c>
      <c r="BM11" s="489">
        <v>0</v>
      </c>
      <c r="BN11" s="489">
        <v>0</v>
      </c>
      <c r="BO11" s="489">
        <v>0</v>
      </c>
      <c r="BP11" s="489">
        <v>0</v>
      </c>
      <c r="BQ11" s="489">
        <v>0</v>
      </c>
      <c r="BR11" s="489">
        <v>0</v>
      </c>
      <c r="BS11" s="489">
        <v>0</v>
      </c>
      <c r="BT11" s="489">
        <v>0</v>
      </c>
      <c r="BU11" s="489">
        <v>0</v>
      </c>
      <c r="BV11" s="489">
        <v>0</v>
      </c>
      <c r="BW11" s="489">
        <v>0</v>
      </c>
      <c r="BX11" s="489">
        <v>0</v>
      </c>
      <c r="BY11" s="489">
        <v>0</v>
      </c>
      <c r="BZ11" s="489">
        <v>0</v>
      </c>
      <c r="CA11" s="489">
        <v>0</v>
      </c>
      <c r="CB11" s="489">
        <v>0</v>
      </c>
      <c r="CC11" s="489">
        <v>0</v>
      </c>
      <c r="CD11" s="489">
        <v>0</v>
      </c>
      <c r="CE11" s="489">
        <v>0</v>
      </c>
      <c r="CF11" s="489">
        <v>0</v>
      </c>
      <c r="CG11" s="489">
        <v>0</v>
      </c>
      <c r="CH11" s="489">
        <v>0</v>
      </c>
      <c r="CI11" s="489">
        <v>0</v>
      </c>
      <c r="CJ11" s="489">
        <v>0</v>
      </c>
      <c r="CK11" s="489">
        <v>0</v>
      </c>
      <c r="CL11" s="489">
        <v>0</v>
      </c>
      <c r="CM11" s="489">
        <v>0</v>
      </c>
      <c r="CN11" s="489">
        <v>0</v>
      </c>
      <c r="CO11" s="489">
        <v>0</v>
      </c>
      <c r="CP11" s="489">
        <v>0</v>
      </c>
      <c r="CQ11" s="489">
        <v>0</v>
      </c>
      <c r="CR11" s="489">
        <v>0</v>
      </c>
      <c r="CS11" s="489">
        <v>0</v>
      </c>
      <c r="CT11" s="489">
        <v>0</v>
      </c>
      <c r="CU11" s="489">
        <v>0</v>
      </c>
      <c r="CV11" s="489">
        <v>0</v>
      </c>
      <c r="CW11" s="489">
        <v>0</v>
      </c>
      <c r="CX11" s="489">
        <v>0</v>
      </c>
      <c r="CY11" s="489">
        <v>0</v>
      </c>
      <c r="CZ11" s="489">
        <v>0</v>
      </c>
      <c r="DA11" s="489">
        <v>0</v>
      </c>
      <c r="DB11" s="489">
        <v>0</v>
      </c>
      <c r="DC11" s="489">
        <v>0</v>
      </c>
      <c r="DD11" s="489">
        <v>0</v>
      </c>
      <c r="DE11" s="489">
        <v>0</v>
      </c>
      <c r="DF11" s="490"/>
      <c r="DG11" s="490"/>
      <c r="DH11" s="490"/>
      <c r="DI11" s="490"/>
      <c r="DJ11" s="490"/>
      <c r="DK11" s="490"/>
      <c r="DL11" s="490"/>
    </row>
    <row r="12" spans="1:116" ht="15.75" customHeight="1" x14ac:dyDescent="0.25">
      <c r="A12" s="751"/>
      <c r="B12" s="751"/>
      <c r="C12" s="278" t="s">
        <v>376</v>
      </c>
      <c r="D12" s="279" t="s">
        <v>221</v>
      </c>
      <c r="E12" s="491" t="s">
        <v>377</v>
      </c>
      <c r="F12" s="280"/>
      <c r="G12" s="279">
        <v>1.58</v>
      </c>
      <c r="H12" s="281">
        <v>0</v>
      </c>
      <c r="I12" s="284">
        <v>0</v>
      </c>
      <c r="J12" s="284">
        <v>0</v>
      </c>
      <c r="K12" s="284">
        <v>0</v>
      </c>
      <c r="L12" s="284">
        <v>0</v>
      </c>
      <c r="M12" s="284">
        <v>0</v>
      </c>
      <c r="N12" s="284">
        <v>0</v>
      </c>
      <c r="O12" s="284">
        <v>0</v>
      </c>
      <c r="P12" s="284">
        <v>0</v>
      </c>
      <c r="Q12" s="284">
        <v>0</v>
      </c>
      <c r="R12" s="284">
        <v>0</v>
      </c>
      <c r="S12" s="284">
        <v>0</v>
      </c>
      <c r="T12" s="284">
        <v>0</v>
      </c>
      <c r="U12" s="284">
        <v>0</v>
      </c>
      <c r="V12" s="284">
        <v>0</v>
      </c>
      <c r="W12" s="284">
        <v>0</v>
      </c>
      <c r="X12" s="284">
        <v>0</v>
      </c>
      <c r="Y12" s="284">
        <v>0</v>
      </c>
      <c r="Z12" s="284">
        <v>0</v>
      </c>
      <c r="AA12" s="284">
        <v>0</v>
      </c>
      <c r="AB12" s="284">
        <v>0</v>
      </c>
      <c r="AC12" s="284">
        <v>0</v>
      </c>
      <c r="AD12" s="284">
        <v>0</v>
      </c>
      <c r="AE12" s="284">
        <v>0</v>
      </c>
      <c r="AF12" s="284">
        <v>0</v>
      </c>
      <c r="AG12" s="284">
        <v>0</v>
      </c>
      <c r="AH12" s="284">
        <v>0</v>
      </c>
      <c r="AI12" s="284">
        <v>0</v>
      </c>
      <c r="AJ12" s="284">
        <v>0</v>
      </c>
      <c r="AK12" s="284">
        <v>0</v>
      </c>
      <c r="AL12" s="284">
        <v>0</v>
      </c>
      <c r="AM12" s="284">
        <v>0</v>
      </c>
      <c r="AN12" s="284">
        <v>0</v>
      </c>
      <c r="AO12" s="284">
        <v>0</v>
      </c>
      <c r="AP12" s="284">
        <v>0</v>
      </c>
      <c r="AQ12" s="284">
        <v>0</v>
      </c>
      <c r="AR12" s="284">
        <v>0</v>
      </c>
      <c r="AS12" s="284">
        <v>0</v>
      </c>
      <c r="AT12" s="284">
        <v>0</v>
      </c>
      <c r="AU12" s="284">
        <v>0</v>
      </c>
      <c r="AV12" s="284">
        <v>0</v>
      </c>
      <c r="AW12" s="284">
        <v>0</v>
      </c>
      <c r="AX12" s="284">
        <v>0</v>
      </c>
      <c r="AY12" s="284">
        <v>0</v>
      </c>
      <c r="AZ12" s="284">
        <v>0</v>
      </c>
      <c r="BA12" s="284">
        <v>0</v>
      </c>
      <c r="BB12" s="284">
        <v>0</v>
      </c>
      <c r="BC12" s="284">
        <v>0</v>
      </c>
      <c r="BD12" s="284">
        <v>0</v>
      </c>
      <c r="BE12" s="284">
        <v>0</v>
      </c>
      <c r="BF12" s="284">
        <v>0</v>
      </c>
      <c r="BG12" s="284">
        <v>0</v>
      </c>
      <c r="BH12" s="284">
        <v>0</v>
      </c>
      <c r="BI12" s="284">
        <v>0</v>
      </c>
      <c r="BJ12" s="284">
        <v>0</v>
      </c>
      <c r="BK12" s="284">
        <v>0</v>
      </c>
      <c r="BL12" s="284">
        <v>0</v>
      </c>
      <c r="BM12" s="284">
        <v>0</v>
      </c>
      <c r="BN12" s="284">
        <v>0</v>
      </c>
      <c r="BO12" s="284">
        <v>0</v>
      </c>
      <c r="BP12" s="284">
        <v>0</v>
      </c>
      <c r="BQ12" s="284">
        <v>0</v>
      </c>
      <c r="BR12" s="284">
        <v>0</v>
      </c>
      <c r="BS12" s="284">
        <v>0</v>
      </c>
      <c r="BT12" s="284">
        <v>0</v>
      </c>
      <c r="BU12" s="284">
        <v>0</v>
      </c>
      <c r="BV12" s="284">
        <v>0</v>
      </c>
      <c r="BW12" s="284">
        <v>0</v>
      </c>
      <c r="BX12" s="284">
        <v>0</v>
      </c>
      <c r="BY12" s="284">
        <v>0</v>
      </c>
      <c r="BZ12" s="284">
        <v>0</v>
      </c>
      <c r="CA12" s="284">
        <v>0</v>
      </c>
      <c r="CB12" s="284">
        <v>0</v>
      </c>
      <c r="CC12" s="284">
        <v>0</v>
      </c>
      <c r="CD12" s="284">
        <v>0</v>
      </c>
      <c r="CE12" s="284">
        <v>0</v>
      </c>
      <c r="CF12" s="284">
        <v>0</v>
      </c>
      <c r="CG12" s="284">
        <v>0</v>
      </c>
      <c r="CH12" s="284">
        <v>0</v>
      </c>
      <c r="CI12" s="284">
        <v>0</v>
      </c>
      <c r="CJ12" s="284">
        <v>0</v>
      </c>
      <c r="CK12" s="284">
        <v>0</v>
      </c>
      <c r="CL12" s="284">
        <v>0</v>
      </c>
      <c r="CM12" s="284">
        <v>0</v>
      </c>
      <c r="CN12" s="284">
        <v>0</v>
      </c>
      <c r="CO12" s="284">
        <v>0</v>
      </c>
      <c r="CP12" s="284">
        <v>0</v>
      </c>
      <c r="CQ12" s="284">
        <v>0</v>
      </c>
      <c r="CR12" s="284">
        <v>0</v>
      </c>
      <c r="CS12" s="284">
        <v>0</v>
      </c>
      <c r="CT12" s="284">
        <v>0</v>
      </c>
      <c r="CU12" s="284">
        <v>0</v>
      </c>
      <c r="CV12" s="284">
        <v>0</v>
      </c>
      <c r="CW12" s="284">
        <v>0</v>
      </c>
      <c r="CX12" s="284">
        <v>0</v>
      </c>
      <c r="CY12" s="284">
        <v>0</v>
      </c>
      <c r="CZ12" s="284">
        <v>0</v>
      </c>
      <c r="DA12" s="284">
        <v>0</v>
      </c>
      <c r="DB12" s="284">
        <v>0</v>
      </c>
      <c r="DC12" s="284">
        <v>0</v>
      </c>
      <c r="DD12" s="284">
        <v>0</v>
      </c>
      <c r="DE12" s="284">
        <v>0</v>
      </c>
      <c r="DF12" s="284"/>
      <c r="DG12" s="284"/>
      <c r="DH12" s="284"/>
      <c r="DI12" s="284"/>
      <c r="DJ12" s="284"/>
      <c r="DK12" s="284"/>
      <c r="DL12" s="284"/>
    </row>
    <row r="13" spans="1:116" ht="15.75" customHeight="1" x14ac:dyDescent="0.25">
      <c r="A13" s="751"/>
      <c r="B13" s="751"/>
      <c r="C13" s="304" t="s">
        <v>223</v>
      </c>
      <c r="D13" s="431" t="s">
        <v>221</v>
      </c>
      <c r="E13" s="279" t="s">
        <v>378</v>
      </c>
      <c r="F13" s="441"/>
      <c r="G13" s="431"/>
      <c r="H13" s="481">
        <v>1324</v>
      </c>
      <c r="I13" s="434">
        <v>1324</v>
      </c>
      <c r="J13" s="434">
        <v>1324</v>
      </c>
      <c r="K13" s="434">
        <v>1324</v>
      </c>
      <c r="L13" s="434">
        <v>1324</v>
      </c>
      <c r="M13" s="434">
        <v>1324</v>
      </c>
      <c r="N13" s="434">
        <v>1324</v>
      </c>
      <c r="O13" s="434">
        <v>1324</v>
      </c>
      <c r="P13" s="434">
        <v>1324</v>
      </c>
      <c r="Q13" s="434">
        <v>1324</v>
      </c>
      <c r="R13" s="434">
        <v>1324</v>
      </c>
      <c r="S13" s="434">
        <v>1324</v>
      </c>
      <c r="T13" s="434">
        <v>1324</v>
      </c>
      <c r="U13" s="434">
        <v>1324</v>
      </c>
      <c r="V13" s="434">
        <v>1324</v>
      </c>
      <c r="W13" s="434">
        <v>1324</v>
      </c>
      <c r="X13" s="434">
        <v>1324</v>
      </c>
      <c r="Y13" s="434">
        <v>1324</v>
      </c>
      <c r="Z13" s="434">
        <v>1324</v>
      </c>
      <c r="AA13" s="434">
        <v>1324</v>
      </c>
      <c r="AB13" s="434">
        <v>1324</v>
      </c>
      <c r="AC13" s="434">
        <v>1324</v>
      </c>
      <c r="AD13" s="434">
        <v>1324</v>
      </c>
      <c r="AE13" s="434">
        <v>1324</v>
      </c>
      <c r="AF13" s="434">
        <v>1324</v>
      </c>
      <c r="AG13" s="434">
        <v>1324</v>
      </c>
      <c r="AH13" s="434">
        <v>1324</v>
      </c>
      <c r="AI13" s="434">
        <v>1324</v>
      </c>
      <c r="AJ13" s="434">
        <v>1324</v>
      </c>
      <c r="AK13" s="434">
        <v>1324</v>
      </c>
      <c r="AL13" s="434">
        <v>1324</v>
      </c>
      <c r="AM13" s="434">
        <v>1324</v>
      </c>
      <c r="AN13" s="434">
        <v>1324</v>
      </c>
      <c r="AO13" s="434">
        <v>1324</v>
      </c>
      <c r="AP13" s="434">
        <v>1324</v>
      </c>
      <c r="AQ13" s="434">
        <v>1324</v>
      </c>
      <c r="AR13" s="434">
        <v>1324</v>
      </c>
      <c r="AS13" s="434">
        <v>1324</v>
      </c>
      <c r="AT13" s="434">
        <v>1324</v>
      </c>
      <c r="AU13" s="434">
        <v>1324</v>
      </c>
      <c r="AV13" s="434">
        <v>1324</v>
      </c>
      <c r="AW13" s="434">
        <v>1324</v>
      </c>
      <c r="AX13" s="434">
        <v>1324</v>
      </c>
      <c r="AY13" s="434">
        <v>1324</v>
      </c>
      <c r="AZ13" s="434">
        <v>1324</v>
      </c>
      <c r="BA13" s="434">
        <v>1324</v>
      </c>
      <c r="BB13" s="434">
        <v>1324</v>
      </c>
      <c r="BC13" s="434">
        <v>1324</v>
      </c>
      <c r="BD13" s="434">
        <v>1324</v>
      </c>
      <c r="BE13" s="434">
        <v>1324</v>
      </c>
      <c r="BF13" s="434">
        <v>1324</v>
      </c>
      <c r="BG13" s="434">
        <v>1324</v>
      </c>
      <c r="BH13" s="434">
        <v>1324</v>
      </c>
      <c r="BI13" s="434">
        <v>1324</v>
      </c>
      <c r="BJ13" s="434">
        <v>1324</v>
      </c>
      <c r="BK13" s="434">
        <v>1324</v>
      </c>
      <c r="BL13" s="434">
        <v>1324</v>
      </c>
      <c r="BM13" s="434">
        <v>1324</v>
      </c>
      <c r="BN13" s="434">
        <v>1324</v>
      </c>
      <c r="BO13" s="434">
        <v>1324</v>
      </c>
      <c r="BP13" s="434">
        <v>1324</v>
      </c>
      <c r="BQ13" s="434">
        <v>1324</v>
      </c>
      <c r="BR13" s="434">
        <v>1324</v>
      </c>
      <c r="BS13" s="434">
        <v>1324</v>
      </c>
      <c r="BT13" s="434">
        <v>1324</v>
      </c>
      <c r="BU13" s="434">
        <v>1324</v>
      </c>
      <c r="BV13" s="434">
        <v>1324</v>
      </c>
      <c r="BW13" s="434">
        <v>1324</v>
      </c>
      <c r="BX13" s="434">
        <v>1324</v>
      </c>
      <c r="BY13" s="434">
        <v>1324</v>
      </c>
      <c r="BZ13" s="434">
        <v>1324</v>
      </c>
      <c r="CA13" s="434">
        <v>1324</v>
      </c>
      <c r="CB13" s="434">
        <v>1324</v>
      </c>
      <c r="CC13" s="434">
        <v>1324</v>
      </c>
      <c r="CD13" s="434">
        <v>1324</v>
      </c>
      <c r="CE13" s="434">
        <v>1324</v>
      </c>
      <c r="CF13" s="434">
        <v>1324</v>
      </c>
      <c r="CG13" s="434">
        <v>1324</v>
      </c>
      <c r="CH13" s="434">
        <v>1324</v>
      </c>
      <c r="CI13" s="434">
        <v>1324</v>
      </c>
      <c r="CJ13" s="434">
        <v>1324</v>
      </c>
      <c r="CK13" s="434">
        <v>1324</v>
      </c>
      <c r="CL13" s="434">
        <v>1324</v>
      </c>
      <c r="CM13" s="434">
        <v>1324</v>
      </c>
      <c r="CN13" s="434">
        <v>1324</v>
      </c>
      <c r="CO13" s="434">
        <v>1324</v>
      </c>
      <c r="CP13" s="434">
        <v>1324</v>
      </c>
      <c r="CQ13" s="434">
        <v>1324</v>
      </c>
      <c r="CR13" s="434">
        <v>1324</v>
      </c>
      <c r="CS13" s="434">
        <v>1324</v>
      </c>
      <c r="CT13" s="434">
        <v>1324</v>
      </c>
      <c r="CU13" s="434">
        <v>1324</v>
      </c>
      <c r="CV13" s="434">
        <v>1324</v>
      </c>
      <c r="CW13" s="434">
        <v>1324</v>
      </c>
      <c r="CX13" s="434">
        <v>1324</v>
      </c>
      <c r="CY13" s="434">
        <v>1324</v>
      </c>
      <c r="CZ13" s="434">
        <v>1324</v>
      </c>
      <c r="DA13" s="434">
        <v>1324</v>
      </c>
      <c r="DB13" s="434">
        <v>1324</v>
      </c>
      <c r="DC13" s="434">
        <v>1324</v>
      </c>
      <c r="DD13" s="434">
        <v>1324</v>
      </c>
      <c r="DE13" s="434">
        <v>1324</v>
      </c>
      <c r="DF13" s="434"/>
      <c r="DG13" s="434"/>
      <c r="DH13" s="434"/>
      <c r="DI13" s="434"/>
      <c r="DJ13" s="434"/>
      <c r="DK13" s="434"/>
      <c r="DL13" s="434"/>
    </row>
    <row r="14" spans="1:116" ht="15.75" customHeight="1" x14ac:dyDescent="0.25">
      <c r="A14" s="751"/>
      <c r="B14" s="751"/>
      <c r="C14" s="278" t="s">
        <v>224</v>
      </c>
      <c r="D14" s="279" t="s">
        <v>239</v>
      </c>
      <c r="E14" s="280"/>
      <c r="F14" s="280"/>
      <c r="G14" s="279"/>
      <c r="H14" s="313">
        <f>H13*'Unit Costs and Indicators'!$B$47</f>
        <v>210012880</v>
      </c>
      <c r="I14" s="296">
        <f>I13*'Unit Costs and Indicators'!$B$47</f>
        <v>210012880</v>
      </c>
      <c r="J14" s="296">
        <f>J13*'Unit Costs and Indicators'!$B$47</f>
        <v>210012880</v>
      </c>
      <c r="K14" s="296">
        <f>K13*'Unit Costs and Indicators'!$B$47</f>
        <v>210012880</v>
      </c>
      <c r="L14" s="296">
        <f>L13*'Unit Costs and Indicators'!$B$47</f>
        <v>210012880</v>
      </c>
      <c r="M14" s="296">
        <f>M13*'Unit Costs and Indicators'!$B$47</f>
        <v>210012880</v>
      </c>
      <c r="N14" s="296">
        <f>N13*'Unit Costs and Indicators'!$B$47</f>
        <v>210012880</v>
      </c>
      <c r="O14" s="296">
        <f>O13*'Unit Costs and Indicators'!$B$47</f>
        <v>210012880</v>
      </c>
      <c r="P14" s="296">
        <f>P13*'Unit Costs and Indicators'!$B$47</f>
        <v>210012880</v>
      </c>
      <c r="Q14" s="296">
        <f>Q13*'Unit Costs and Indicators'!$B$47</f>
        <v>210012880</v>
      </c>
      <c r="R14" s="296">
        <f>R13*'Unit Costs and Indicators'!$B$47</f>
        <v>210012880</v>
      </c>
      <c r="S14" s="296">
        <f>S13*'Unit Costs and Indicators'!$B$47</f>
        <v>210012880</v>
      </c>
      <c r="T14" s="296">
        <f>T13*'Unit Costs and Indicators'!$B$47</f>
        <v>210012880</v>
      </c>
      <c r="U14" s="296">
        <f>U13*'Unit Costs and Indicators'!$B$47</f>
        <v>210012880</v>
      </c>
      <c r="V14" s="296">
        <f>V13*'Unit Costs and Indicators'!$B$47</f>
        <v>210012880</v>
      </c>
      <c r="W14" s="296">
        <f>W13*'Unit Costs and Indicators'!$B$47</f>
        <v>210012880</v>
      </c>
      <c r="X14" s="296">
        <f>X13*'Unit Costs and Indicators'!$B$47</f>
        <v>210012880</v>
      </c>
      <c r="Y14" s="296">
        <f>Y13*'Unit Costs and Indicators'!$B$47</f>
        <v>210012880</v>
      </c>
      <c r="Z14" s="296">
        <f>Z13*'Unit Costs and Indicators'!$B$47</f>
        <v>210012880</v>
      </c>
      <c r="AA14" s="296">
        <f>AA13*'Unit Costs and Indicators'!$B$47</f>
        <v>210012880</v>
      </c>
      <c r="AB14" s="296">
        <f>AB13*'Unit Costs and Indicators'!$B$47</f>
        <v>210012880</v>
      </c>
      <c r="AC14" s="296">
        <f>AC13*'Unit Costs and Indicators'!$B$47</f>
        <v>210012880</v>
      </c>
      <c r="AD14" s="296">
        <f>AD13*'Unit Costs and Indicators'!$B$47</f>
        <v>210012880</v>
      </c>
      <c r="AE14" s="296">
        <f>AE13*'Unit Costs and Indicators'!$B$47</f>
        <v>210012880</v>
      </c>
      <c r="AF14" s="296">
        <f>AF13*'Unit Costs and Indicators'!$B$47</f>
        <v>210012880</v>
      </c>
      <c r="AG14" s="296">
        <f>AG13*'Unit Costs and Indicators'!$B$47</f>
        <v>210012880</v>
      </c>
      <c r="AH14" s="296">
        <f>AH13*'Unit Costs and Indicators'!$B$47</f>
        <v>210012880</v>
      </c>
      <c r="AI14" s="296">
        <f>AI13*'Unit Costs and Indicators'!$B$47</f>
        <v>210012880</v>
      </c>
      <c r="AJ14" s="296">
        <f>AJ13*'Unit Costs and Indicators'!$B$47</f>
        <v>210012880</v>
      </c>
      <c r="AK14" s="296">
        <f>AK13*'Unit Costs and Indicators'!$B$47</f>
        <v>210012880</v>
      </c>
      <c r="AL14" s="296">
        <f>AL13*'Unit Costs and Indicators'!$B$47</f>
        <v>210012880</v>
      </c>
      <c r="AM14" s="296">
        <f>AM13*'Unit Costs and Indicators'!$B$47</f>
        <v>210012880</v>
      </c>
      <c r="AN14" s="296">
        <f>AN13*'Unit Costs and Indicators'!$B$47</f>
        <v>210012880</v>
      </c>
      <c r="AO14" s="296">
        <f>AO13*'Unit Costs and Indicators'!$B$47</f>
        <v>210012880</v>
      </c>
      <c r="AP14" s="296">
        <f>AP13*'Unit Costs and Indicators'!$B$47</f>
        <v>210012880</v>
      </c>
      <c r="AQ14" s="296">
        <f>AQ13*'Unit Costs and Indicators'!$B$47</f>
        <v>210012880</v>
      </c>
      <c r="AR14" s="296">
        <f>AR13*'Unit Costs and Indicators'!$B$47</f>
        <v>210012880</v>
      </c>
      <c r="AS14" s="296">
        <f>AS13*'Unit Costs and Indicators'!$B$47</f>
        <v>210012880</v>
      </c>
      <c r="AT14" s="296">
        <f>AT13*'Unit Costs and Indicators'!$B$47</f>
        <v>210012880</v>
      </c>
      <c r="AU14" s="296">
        <f>AU13*'Unit Costs and Indicators'!$B$47</f>
        <v>210012880</v>
      </c>
      <c r="AV14" s="296">
        <f>AV13*'Unit Costs and Indicators'!$B$47</f>
        <v>210012880</v>
      </c>
      <c r="AW14" s="296">
        <f>AW13*'Unit Costs and Indicators'!$B$47</f>
        <v>210012880</v>
      </c>
      <c r="AX14" s="296">
        <f>AX13*'Unit Costs and Indicators'!$B$47</f>
        <v>210012880</v>
      </c>
      <c r="AY14" s="296">
        <f>AY13*'Unit Costs and Indicators'!$B$47</f>
        <v>210012880</v>
      </c>
      <c r="AZ14" s="296">
        <f>AZ13*'Unit Costs and Indicators'!$B$47</f>
        <v>210012880</v>
      </c>
      <c r="BA14" s="296">
        <f>BA13*'Unit Costs and Indicators'!$B$47</f>
        <v>210012880</v>
      </c>
      <c r="BB14" s="296">
        <f>BB13*'Unit Costs and Indicators'!$B$47</f>
        <v>210012880</v>
      </c>
      <c r="BC14" s="296">
        <f>BC13*'Unit Costs and Indicators'!$B$47</f>
        <v>210012880</v>
      </c>
      <c r="BD14" s="296">
        <f>BD13*'Unit Costs and Indicators'!$B$47</f>
        <v>210012880</v>
      </c>
      <c r="BE14" s="296">
        <f>BE13*'Unit Costs and Indicators'!$B$47</f>
        <v>210012880</v>
      </c>
      <c r="BF14" s="296">
        <f>BF13*'Unit Costs and Indicators'!$B$47</f>
        <v>210012880</v>
      </c>
      <c r="BG14" s="296">
        <f>BG13*'Unit Costs and Indicators'!$B$47</f>
        <v>210012880</v>
      </c>
      <c r="BH14" s="296">
        <f>BH13*'Unit Costs and Indicators'!$B$47</f>
        <v>210012880</v>
      </c>
      <c r="BI14" s="296">
        <f>BI13*'Unit Costs and Indicators'!$B$47</f>
        <v>210012880</v>
      </c>
      <c r="BJ14" s="296">
        <f>BJ13*'Unit Costs and Indicators'!$B$47</f>
        <v>210012880</v>
      </c>
      <c r="BK14" s="296">
        <f>BK13*'Unit Costs and Indicators'!$B$47</f>
        <v>210012880</v>
      </c>
      <c r="BL14" s="296">
        <f>BL13*'Unit Costs and Indicators'!$B$47</f>
        <v>210012880</v>
      </c>
      <c r="BM14" s="296">
        <f>BM13*'Unit Costs and Indicators'!$B$47</f>
        <v>210012880</v>
      </c>
      <c r="BN14" s="296">
        <f>BN13*'Unit Costs and Indicators'!$B$47</f>
        <v>210012880</v>
      </c>
      <c r="BO14" s="296">
        <f>BO13*'Unit Costs and Indicators'!$B$47</f>
        <v>210012880</v>
      </c>
      <c r="BP14" s="296">
        <f>BP13*'Unit Costs and Indicators'!$B$47</f>
        <v>210012880</v>
      </c>
      <c r="BQ14" s="296">
        <f>BQ13*'Unit Costs and Indicators'!$B$47</f>
        <v>210012880</v>
      </c>
      <c r="BR14" s="296">
        <f>BR13*'Unit Costs and Indicators'!$B$47</f>
        <v>210012880</v>
      </c>
      <c r="BS14" s="296">
        <f>BS13*'Unit Costs and Indicators'!$B$47</f>
        <v>210012880</v>
      </c>
      <c r="BT14" s="296">
        <f>BT13*'Unit Costs and Indicators'!$B$47</f>
        <v>210012880</v>
      </c>
      <c r="BU14" s="296">
        <f>BU13*'Unit Costs and Indicators'!$B$47</f>
        <v>210012880</v>
      </c>
      <c r="BV14" s="296">
        <f>BV13*'Unit Costs and Indicators'!$B$47</f>
        <v>210012880</v>
      </c>
      <c r="BW14" s="296">
        <f>BW13*'Unit Costs and Indicators'!$B$47</f>
        <v>210012880</v>
      </c>
      <c r="BX14" s="296">
        <f>BX13*'Unit Costs and Indicators'!$B$47</f>
        <v>210012880</v>
      </c>
      <c r="BY14" s="296">
        <f>BY13*'Unit Costs and Indicators'!$B$47</f>
        <v>210012880</v>
      </c>
      <c r="BZ14" s="296">
        <f>BZ13*'Unit Costs and Indicators'!$B$47</f>
        <v>210012880</v>
      </c>
      <c r="CA14" s="296">
        <f>CA13*'Unit Costs and Indicators'!$B$47</f>
        <v>210012880</v>
      </c>
      <c r="CB14" s="296">
        <f>CB13*'Unit Costs and Indicators'!$B$47</f>
        <v>210012880</v>
      </c>
      <c r="CC14" s="296">
        <f>CC13*'Unit Costs and Indicators'!$B$47</f>
        <v>210012880</v>
      </c>
      <c r="CD14" s="296">
        <f>CD13*'Unit Costs and Indicators'!$B$47</f>
        <v>210012880</v>
      </c>
      <c r="CE14" s="296">
        <f>CE13*'Unit Costs and Indicators'!$B$47</f>
        <v>210012880</v>
      </c>
      <c r="CF14" s="296">
        <f>CF13*'Unit Costs and Indicators'!$B$47</f>
        <v>210012880</v>
      </c>
      <c r="CG14" s="296">
        <f>CG13*'Unit Costs and Indicators'!$B$47</f>
        <v>210012880</v>
      </c>
      <c r="CH14" s="296">
        <f>CH13*'Unit Costs and Indicators'!$B$47</f>
        <v>210012880</v>
      </c>
      <c r="CI14" s="296">
        <f>CI13*'Unit Costs and Indicators'!$B$47</f>
        <v>210012880</v>
      </c>
      <c r="CJ14" s="296">
        <f>CJ13*'Unit Costs and Indicators'!$B$47</f>
        <v>210012880</v>
      </c>
      <c r="CK14" s="296">
        <f>CK13*'Unit Costs and Indicators'!$B$47</f>
        <v>210012880</v>
      </c>
      <c r="CL14" s="296">
        <f>CL13*'Unit Costs and Indicators'!$B$47</f>
        <v>210012880</v>
      </c>
      <c r="CM14" s="296">
        <f>CM13*'Unit Costs and Indicators'!$B$47</f>
        <v>210012880</v>
      </c>
      <c r="CN14" s="296">
        <f>CN13*'Unit Costs and Indicators'!$B$47</f>
        <v>210012880</v>
      </c>
      <c r="CO14" s="296">
        <f>CO13*'Unit Costs and Indicators'!$B$47</f>
        <v>210012880</v>
      </c>
      <c r="CP14" s="296">
        <f>CP13*'Unit Costs and Indicators'!$B$47</f>
        <v>210012880</v>
      </c>
      <c r="CQ14" s="296">
        <f>CQ13*'Unit Costs and Indicators'!$B$47</f>
        <v>210012880</v>
      </c>
      <c r="CR14" s="296">
        <f>CR13*'Unit Costs and Indicators'!$B$47</f>
        <v>210012880</v>
      </c>
      <c r="CS14" s="296">
        <f>CS13*'Unit Costs and Indicators'!$B$47</f>
        <v>210012880</v>
      </c>
      <c r="CT14" s="296">
        <f>CT13*'Unit Costs and Indicators'!$B$47</f>
        <v>210012880</v>
      </c>
      <c r="CU14" s="296">
        <f>CU13*'Unit Costs and Indicators'!$B$47</f>
        <v>210012880</v>
      </c>
      <c r="CV14" s="296">
        <f>CV13*'Unit Costs and Indicators'!$B$47</f>
        <v>210012880</v>
      </c>
      <c r="CW14" s="296">
        <f>CW13*'Unit Costs and Indicators'!$B$47</f>
        <v>210012880</v>
      </c>
      <c r="CX14" s="296">
        <f>CX13*'Unit Costs and Indicators'!$B$47</f>
        <v>210012880</v>
      </c>
      <c r="CY14" s="296">
        <f>CY13*'Unit Costs and Indicators'!$B$47</f>
        <v>210012880</v>
      </c>
      <c r="CZ14" s="296">
        <f>CZ13*'Unit Costs and Indicators'!$B$47</f>
        <v>210012880</v>
      </c>
      <c r="DA14" s="296">
        <f>DA13*'Unit Costs and Indicators'!$B$47</f>
        <v>210012880</v>
      </c>
      <c r="DB14" s="296">
        <f>DB13*'Unit Costs and Indicators'!$B$47</f>
        <v>210012880</v>
      </c>
      <c r="DC14" s="296">
        <f>DC13*'Unit Costs and Indicators'!$B$47</f>
        <v>210012880</v>
      </c>
      <c r="DD14" s="296">
        <f>DD13*'Unit Costs and Indicators'!$B$47</f>
        <v>210012880</v>
      </c>
      <c r="DE14" s="296">
        <f>DE13*'Unit Costs and Indicators'!$B$47</f>
        <v>210012880</v>
      </c>
      <c r="DF14" s="296"/>
      <c r="DG14" s="296"/>
      <c r="DH14" s="296"/>
      <c r="DI14" s="296"/>
      <c r="DJ14" s="296"/>
      <c r="DK14" s="296"/>
      <c r="DL14" s="296"/>
    </row>
    <row r="15" spans="1:116" ht="15.75" customHeight="1" x14ac:dyDescent="0.25">
      <c r="A15" s="751"/>
      <c r="B15" s="751"/>
      <c r="C15" s="304" t="s">
        <v>226</v>
      </c>
      <c r="D15" s="279"/>
      <c r="E15" s="280"/>
      <c r="F15" s="280"/>
      <c r="G15" s="279">
        <f>(SUM(H15:BQ15)/60)*0.335</f>
        <v>0</v>
      </c>
      <c r="H15" s="286">
        <f>((H12)*5280)*'Unit Costs and Indicators'!D19</f>
        <v>0</v>
      </c>
      <c r="I15" s="298">
        <f>((I12)*5280)*'Unit Costs and Indicators'!E19</f>
        <v>0</v>
      </c>
      <c r="J15" s="298">
        <f>((J12)*5280)*'Unit Costs and Indicators'!F19</f>
        <v>0</v>
      </c>
      <c r="K15" s="298">
        <f>((K12)*5280)*'Unit Costs and Indicators'!G19</f>
        <v>0</v>
      </c>
      <c r="L15" s="298">
        <f>((L12)*5280)*'Unit Costs and Indicators'!H19</f>
        <v>0</v>
      </c>
      <c r="M15" s="298">
        <f>((M12)*5280)*'Unit Costs and Indicators'!I19</f>
        <v>0</v>
      </c>
      <c r="N15" s="298">
        <f>((N12)*5280)*'Unit Costs and Indicators'!J19</f>
        <v>0</v>
      </c>
      <c r="O15" s="298">
        <f>((O12)*5280)*'Unit Costs and Indicators'!K19</f>
        <v>0</v>
      </c>
      <c r="P15" s="298">
        <f>((P12)*5280)*'Unit Costs and Indicators'!L19</f>
        <v>0</v>
      </c>
      <c r="Q15" s="298">
        <f>((Q12)*5280)*'Unit Costs and Indicators'!M19</f>
        <v>0</v>
      </c>
      <c r="R15" s="298">
        <f>((R12)*5280)*'Unit Costs and Indicators'!N19</f>
        <v>0</v>
      </c>
      <c r="S15" s="298">
        <f>((S12)*5280)*'Unit Costs and Indicators'!O19</f>
        <v>0</v>
      </c>
      <c r="T15" s="298">
        <f>((T12)*5280)*'Unit Costs and Indicators'!P19</f>
        <v>0</v>
      </c>
      <c r="U15" s="298">
        <f>((U12)*5280)*'Unit Costs and Indicators'!Q19</f>
        <v>0</v>
      </c>
      <c r="V15" s="298">
        <f>((V12)*5280)*'Unit Costs and Indicators'!R19</f>
        <v>0</v>
      </c>
      <c r="W15" s="298">
        <f>((W12)*5280)*'Unit Costs and Indicators'!S19</f>
        <v>0</v>
      </c>
      <c r="X15" s="298">
        <f>((X12)*5280)*'Unit Costs and Indicators'!T19</f>
        <v>0</v>
      </c>
      <c r="Y15" s="298">
        <f>((Y12)*5280)*'Unit Costs and Indicators'!U19</f>
        <v>0</v>
      </c>
      <c r="Z15" s="298">
        <f>((Z12)*5280)*'Unit Costs and Indicators'!V19</f>
        <v>0</v>
      </c>
      <c r="AA15" s="298">
        <f>((AA12)*5280)*'Unit Costs and Indicators'!W19</f>
        <v>0</v>
      </c>
      <c r="AB15" s="298">
        <f>((AB12)*5280)*'Unit Costs and Indicators'!X19</f>
        <v>0</v>
      </c>
      <c r="AC15" s="298">
        <f>((AC12)*5280)*'Unit Costs and Indicators'!Y19</f>
        <v>0</v>
      </c>
      <c r="AD15" s="298">
        <f>((AD12)*5280)*'Unit Costs and Indicators'!Z19</f>
        <v>0</v>
      </c>
      <c r="AE15" s="298">
        <f>((AE12)*5280)*'Unit Costs and Indicators'!AA19</f>
        <v>0</v>
      </c>
      <c r="AF15" s="298">
        <f>((AF12)*5280)*'Unit Costs and Indicators'!AB19</f>
        <v>0</v>
      </c>
      <c r="AG15" s="298">
        <f>((AG12)*5280)*'Unit Costs and Indicators'!AC19</f>
        <v>0</v>
      </c>
      <c r="AH15" s="298">
        <f>((AH12)*5280)*'Unit Costs and Indicators'!AD19</f>
        <v>0</v>
      </c>
      <c r="AI15" s="298">
        <f>((AI12)*5280)*'Unit Costs and Indicators'!AE19</f>
        <v>0</v>
      </c>
      <c r="AJ15" s="298">
        <f>((AJ12)*5280)*'Unit Costs and Indicators'!AF19</f>
        <v>0</v>
      </c>
      <c r="AK15" s="298">
        <f>((AK12)*5280)*'Unit Costs and Indicators'!AG19</f>
        <v>0</v>
      </c>
      <c r="AL15" s="298">
        <f>((AL12)*5280)*'Unit Costs and Indicators'!AH19</f>
        <v>0</v>
      </c>
      <c r="AM15" s="298">
        <f>((AM12)*5280)*'Unit Costs and Indicators'!AI19</f>
        <v>0</v>
      </c>
      <c r="AN15" s="298">
        <f>((AN12)*5280)*'Unit Costs and Indicators'!AJ19</f>
        <v>0</v>
      </c>
      <c r="AO15" s="298">
        <f>((AO12)*5280)*'Unit Costs and Indicators'!AK19</f>
        <v>0</v>
      </c>
      <c r="AP15" s="298">
        <f>((AP12)*5280)*'Unit Costs and Indicators'!AL19</f>
        <v>0</v>
      </c>
      <c r="AQ15" s="298">
        <f>((AQ12)*5280)*'Unit Costs and Indicators'!AM19</f>
        <v>0</v>
      </c>
      <c r="AR15" s="298">
        <f>((AR12)*5280)*'Unit Costs and Indicators'!AN19</f>
        <v>0</v>
      </c>
      <c r="AS15" s="298">
        <f>((AS12)*5280)*'Unit Costs and Indicators'!AO19</f>
        <v>0</v>
      </c>
      <c r="AT15" s="298">
        <f>((AT12)*5280)*'Unit Costs and Indicators'!AP19</f>
        <v>0</v>
      </c>
      <c r="AU15" s="298">
        <f>((AU12)*5280)*'Unit Costs and Indicators'!AQ19</f>
        <v>0</v>
      </c>
      <c r="AV15" s="298">
        <f>((AV12)*5280)*'Unit Costs and Indicators'!AR19</f>
        <v>0</v>
      </c>
      <c r="AW15" s="298">
        <f>((AW12)*5280)*'Unit Costs and Indicators'!AS19</f>
        <v>0</v>
      </c>
      <c r="AX15" s="298">
        <f>((AX12)*5280)*'Unit Costs and Indicators'!AT19</f>
        <v>0</v>
      </c>
      <c r="AY15" s="298">
        <f>((AY12)*5280)*'Unit Costs and Indicators'!AU19</f>
        <v>0</v>
      </c>
      <c r="AZ15" s="298">
        <f>((AZ12)*5280)*'Unit Costs and Indicators'!AV19</f>
        <v>0</v>
      </c>
      <c r="BA15" s="298">
        <f>((BA12)*5280)*'Unit Costs and Indicators'!AW19</f>
        <v>0</v>
      </c>
      <c r="BB15" s="298">
        <f>((BB12)*5280)*'Unit Costs and Indicators'!AX19</f>
        <v>0</v>
      </c>
      <c r="BC15" s="298">
        <f>((BC12)*5280)*'Unit Costs and Indicators'!AY19</f>
        <v>0</v>
      </c>
      <c r="BD15" s="298">
        <f>((BD12)*5280)*'Unit Costs and Indicators'!AZ19</f>
        <v>0</v>
      </c>
      <c r="BE15" s="298">
        <f>((BE12)*5280)*'Unit Costs and Indicators'!BA19</f>
        <v>0</v>
      </c>
      <c r="BF15" s="298">
        <f>((BF12)*5280)*'Unit Costs and Indicators'!BB19</f>
        <v>0</v>
      </c>
      <c r="BG15" s="298">
        <f>((BG12)*5280)*'Unit Costs and Indicators'!BC19</f>
        <v>0</v>
      </c>
      <c r="BH15" s="298">
        <f>((BH12)*5280)*'Unit Costs and Indicators'!BD19</f>
        <v>0</v>
      </c>
      <c r="BI15" s="298">
        <f>((BI12)*5280)*'Unit Costs and Indicators'!BE19</f>
        <v>0</v>
      </c>
      <c r="BJ15" s="298">
        <f>((BJ12)*5280)*'Unit Costs and Indicators'!BF19</f>
        <v>0</v>
      </c>
      <c r="BK15" s="298">
        <f>((BK12)*5280)*'Unit Costs and Indicators'!BG19</f>
        <v>0</v>
      </c>
      <c r="BL15" s="298">
        <f>((BL12)*5280)*'Unit Costs and Indicators'!BH19</f>
        <v>0</v>
      </c>
      <c r="BM15" s="298">
        <f>((BM12)*5280)*'Unit Costs and Indicators'!BI19</f>
        <v>0</v>
      </c>
      <c r="BN15" s="298">
        <f>((BN12)*5280)*'Unit Costs and Indicators'!BJ19</f>
        <v>0</v>
      </c>
      <c r="BO15" s="298">
        <f>((BO12)*5280)*'Unit Costs and Indicators'!BK19</f>
        <v>0</v>
      </c>
      <c r="BP15" s="298">
        <f>((BP12)*5280)*'Unit Costs and Indicators'!BL19</f>
        <v>0</v>
      </c>
      <c r="BQ15" s="298">
        <f>((BQ12)*5280)*'Unit Costs and Indicators'!BM19</f>
        <v>0</v>
      </c>
      <c r="BR15" s="298">
        <f>((BR12)*5280)*'Unit Costs and Indicators'!BN19</f>
        <v>0</v>
      </c>
      <c r="BS15" s="298">
        <f>((BS12)*5280)*'Unit Costs and Indicators'!BO19</f>
        <v>0</v>
      </c>
      <c r="BT15" s="298">
        <f>((BT12)*5280)*'Unit Costs and Indicators'!BP19</f>
        <v>0</v>
      </c>
      <c r="BU15" s="298">
        <f>((BU12)*5280)*'Unit Costs and Indicators'!BQ19</f>
        <v>0</v>
      </c>
      <c r="BV15" s="298">
        <f>((BV12)*5280)*'Unit Costs and Indicators'!BR19</f>
        <v>0</v>
      </c>
      <c r="BW15" s="298">
        <f>((BW12)*5280)*'Unit Costs and Indicators'!BS19</f>
        <v>0</v>
      </c>
      <c r="BX15" s="298">
        <f>((BX12)*5280)*'Unit Costs and Indicators'!BT19</f>
        <v>0</v>
      </c>
      <c r="BY15" s="298">
        <f>((BY12)*5280)*'Unit Costs and Indicators'!BU19</f>
        <v>0</v>
      </c>
      <c r="BZ15" s="298">
        <f>((BZ12)*5280)*'Unit Costs and Indicators'!BV19</f>
        <v>0</v>
      </c>
      <c r="CA15" s="298">
        <f>((CA12)*5280)*'Unit Costs and Indicators'!BW19</f>
        <v>0</v>
      </c>
      <c r="CB15" s="298">
        <f>((CB12)*5280)*'Unit Costs and Indicators'!BX19</f>
        <v>0</v>
      </c>
      <c r="CC15" s="298">
        <f>((CC12)*5280)*'Unit Costs and Indicators'!BY19</f>
        <v>0</v>
      </c>
      <c r="CD15" s="298">
        <f>((CD12)*5280)*'Unit Costs and Indicators'!BZ19</f>
        <v>0</v>
      </c>
      <c r="CE15" s="298">
        <f>((CE12)*5280)*'Unit Costs and Indicators'!CA19</f>
        <v>0</v>
      </c>
      <c r="CF15" s="298">
        <f>((CF12)*5280)*'Unit Costs and Indicators'!CB19</f>
        <v>0</v>
      </c>
      <c r="CG15" s="298">
        <f>((CG12)*5280)*'Unit Costs and Indicators'!CC19</f>
        <v>0</v>
      </c>
      <c r="CH15" s="298">
        <f>((CH12)*5280)*'Unit Costs and Indicators'!CD19</f>
        <v>0</v>
      </c>
      <c r="CI15" s="298">
        <f>((CI12)*5280)*'Unit Costs and Indicators'!CE19</f>
        <v>0</v>
      </c>
      <c r="CJ15" s="298">
        <f>((CJ12)*5280)*'Unit Costs and Indicators'!CF19</f>
        <v>0</v>
      </c>
      <c r="CK15" s="298">
        <f>((CK12)*5280)*'Unit Costs and Indicators'!CG19</f>
        <v>0</v>
      </c>
      <c r="CL15" s="298">
        <f>((CL12)*5280)*'Unit Costs and Indicators'!CH19</f>
        <v>0</v>
      </c>
      <c r="CM15" s="298">
        <f>((CM12)*5280)*'Unit Costs and Indicators'!CI19</f>
        <v>0</v>
      </c>
      <c r="CN15" s="298">
        <f>((CN12)*5280)*'Unit Costs and Indicators'!CJ19</f>
        <v>0</v>
      </c>
      <c r="CO15" s="298">
        <f>((CO12)*5280)*'Unit Costs and Indicators'!CK19</f>
        <v>0</v>
      </c>
      <c r="CP15" s="298">
        <f>((CP12)*5280)*'Unit Costs and Indicators'!CL19</f>
        <v>0</v>
      </c>
      <c r="CQ15" s="298">
        <f>((CQ12)*5280)*'Unit Costs and Indicators'!CM19</f>
        <v>0</v>
      </c>
      <c r="CR15" s="298">
        <f>((CR12)*5280)*'Unit Costs and Indicators'!CN19</f>
        <v>0</v>
      </c>
      <c r="CS15" s="298">
        <f>((CS12)*5280)*'Unit Costs and Indicators'!CO19</f>
        <v>0</v>
      </c>
      <c r="CT15" s="298">
        <f>((CT12)*5280)*'Unit Costs and Indicators'!CP19</f>
        <v>0</v>
      </c>
      <c r="CU15" s="298">
        <f>((CU12)*5280)*'Unit Costs and Indicators'!CQ19</f>
        <v>0</v>
      </c>
      <c r="CV15" s="298">
        <f>((CV12)*5280)*'Unit Costs and Indicators'!CR19</f>
        <v>0</v>
      </c>
      <c r="CW15" s="298">
        <f>((CW12)*5280)*'Unit Costs and Indicators'!CS19</f>
        <v>0</v>
      </c>
      <c r="CX15" s="298">
        <f>((CX12)*5280)*'Unit Costs and Indicators'!CT19</f>
        <v>0</v>
      </c>
      <c r="CY15" s="298">
        <f>((CY12)*5280)*'Unit Costs and Indicators'!CU19</f>
        <v>0</v>
      </c>
      <c r="CZ15" s="298">
        <f>((CZ12)*5280)*'Unit Costs and Indicators'!CV19</f>
        <v>0</v>
      </c>
      <c r="DA15" s="298">
        <f>((DA12)*5280)*'Unit Costs and Indicators'!CW19</f>
        <v>0</v>
      </c>
      <c r="DB15" s="298">
        <f>((DB12)*5280)*'Unit Costs and Indicators'!CX19</f>
        <v>0</v>
      </c>
      <c r="DC15" s="298">
        <f>((DC12)*5280)*'Unit Costs and Indicators'!CY19</f>
        <v>0</v>
      </c>
      <c r="DD15" s="298">
        <f>((DD12)*5280)*'Unit Costs and Indicators'!CZ19</f>
        <v>0</v>
      </c>
      <c r="DE15" s="298">
        <f>((DE12)*5280)*'Unit Costs and Indicators'!DA19</f>
        <v>0</v>
      </c>
      <c r="DF15" s="298"/>
      <c r="DG15" s="298"/>
      <c r="DH15" s="298"/>
      <c r="DI15" s="298"/>
      <c r="DJ15" s="298"/>
      <c r="DK15" s="298"/>
      <c r="DL15" s="298"/>
    </row>
    <row r="16" spans="1:116" ht="15.75" customHeight="1" x14ac:dyDescent="0.25">
      <c r="A16" s="751"/>
      <c r="B16" s="751"/>
      <c r="C16" s="304" t="s">
        <v>228</v>
      </c>
      <c r="D16" s="431"/>
      <c r="E16" s="280"/>
      <c r="F16" s="441"/>
      <c r="G16" s="431"/>
      <c r="H16" s="481">
        <f t="shared" ref="H16:DE16" si="3">(H11/3)+(H15)</f>
        <v>0</v>
      </c>
      <c r="I16" s="434">
        <f t="shared" si="3"/>
        <v>0</v>
      </c>
      <c r="J16" s="434">
        <f t="shared" si="3"/>
        <v>0</v>
      </c>
      <c r="K16" s="434">
        <f t="shared" si="3"/>
        <v>0</v>
      </c>
      <c r="L16" s="434">
        <f t="shared" si="3"/>
        <v>0</v>
      </c>
      <c r="M16" s="434">
        <f t="shared" si="3"/>
        <v>0</v>
      </c>
      <c r="N16" s="434">
        <f t="shared" si="3"/>
        <v>0</v>
      </c>
      <c r="O16" s="434">
        <f t="shared" si="3"/>
        <v>0</v>
      </c>
      <c r="P16" s="434">
        <f t="shared" si="3"/>
        <v>0</v>
      </c>
      <c r="Q16" s="434">
        <f t="shared" si="3"/>
        <v>0</v>
      </c>
      <c r="R16" s="434">
        <f t="shared" si="3"/>
        <v>0</v>
      </c>
      <c r="S16" s="434">
        <f t="shared" si="3"/>
        <v>0</v>
      </c>
      <c r="T16" s="434">
        <f t="shared" si="3"/>
        <v>0</v>
      </c>
      <c r="U16" s="434">
        <f t="shared" si="3"/>
        <v>0</v>
      </c>
      <c r="V16" s="434">
        <f t="shared" si="3"/>
        <v>0</v>
      </c>
      <c r="W16" s="434">
        <f t="shared" si="3"/>
        <v>0</v>
      </c>
      <c r="X16" s="434">
        <f t="shared" si="3"/>
        <v>0</v>
      </c>
      <c r="Y16" s="434">
        <f t="shared" si="3"/>
        <v>0</v>
      </c>
      <c r="Z16" s="434">
        <f t="shared" si="3"/>
        <v>0</v>
      </c>
      <c r="AA16" s="434">
        <f t="shared" si="3"/>
        <v>0</v>
      </c>
      <c r="AB16" s="434">
        <f t="shared" si="3"/>
        <v>0</v>
      </c>
      <c r="AC16" s="434">
        <f t="shared" si="3"/>
        <v>0</v>
      </c>
      <c r="AD16" s="434">
        <f t="shared" si="3"/>
        <v>0</v>
      </c>
      <c r="AE16" s="434">
        <f t="shared" si="3"/>
        <v>0</v>
      </c>
      <c r="AF16" s="434">
        <f t="shared" si="3"/>
        <v>0</v>
      </c>
      <c r="AG16" s="434">
        <f t="shared" si="3"/>
        <v>0</v>
      </c>
      <c r="AH16" s="434">
        <f t="shared" si="3"/>
        <v>0</v>
      </c>
      <c r="AI16" s="434">
        <f t="shared" si="3"/>
        <v>0</v>
      </c>
      <c r="AJ16" s="434">
        <f t="shared" si="3"/>
        <v>0</v>
      </c>
      <c r="AK16" s="434">
        <f t="shared" si="3"/>
        <v>0</v>
      </c>
      <c r="AL16" s="434">
        <f t="shared" si="3"/>
        <v>0</v>
      </c>
      <c r="AM16" s="434">
        <f t="shared" si="3"/>
        <v>0</v>
      </c>
      <c r="AN16" s="434">
        <f t="shared" si="3"/>
        <v>0</v>
      </c>
      <c r="AO16" s="434">
        <f t="shared" si="3"/>
        <v>0</v>
      </c>
      <c r="AP16" s="434">
        <f t="shared" si="3"/>
        <v>0</v>
      </c>
      <c r="AQ16" s="434">
        <f t="shared" si="3"/>
        <v>0</v>
      </c>
      <c r="AR16" s="434">
        <f t="shared" si="3"/>
        <v>0</v>
      </c>
      <c r="AS16" s="434">
        <f t="shared" si="3"/>
        <v>0</v>
      </c>
      <c r="AT16" s="434">
        <f t="shared" si="3"/>
        <v>0</v>
      </c>
      <c r="AU16" s="434">
        <f t="shared" si="3"/>
        <v>0</v>
      </c>
      <c r="AV16" s="434">
        <f t="shared" si="3"/>
        <v>0</v>
      </c>
      <c r="AW16" s="434">
        <f t="shared" si="3"/>
        <v>0</v>
      </c>
      <c r="AX16" s="434">
        <f t="shared" si="3"/>
        <v>0</v>
      </c>
      <c r="AY16" s="434">
        <f t="shared" si="3"/>
        <v>0</v>
      </c>
      <c r="AZ16" s="434">
        <f t="shared" si="3"/>
        <v>0</v>
      </c>
      <c r="BA16" s="434">
        <f t="shared" si="3"/>
        <v>0</v>
      </c>
      <c r="BB16" s="434">
        <f t="shared" si="3"/>
        <v>0</v>
      </c>
      <c r="BC16" s="434">
        <f t="shared" si="3"/>
        <v>0</v>
      </c>
      <c r="BD16" s="434">
        <f t="shared" si="3"/>
        <v>0</v>
      </c>
      <c r="BE16" s="434">
        <f t="shared" si="3"/>
        <v>0</v>
      </c>
      <c r="BF16" s="434">
        <f t="shared" si="3"/>
        <v>0</v>
      </c>
      <c r="BG16" s="434">
        <f t="shared" si="3"/>
        <v>0</v>
      </c>
      <c r="BH16" s="434">
        <f t="shared" si="3"/>
        <v>0</v>
      </c>
      <c r="BI16" s="434">
        <f t="shared" si="3"/>
        <v>0</v>
      </c>
      <c r="BJ16" s="434">
        <f t="shared" si="3"/>
        <v>0</v>
      </c>
      <c r="BK16" s="434">
        <f t="shared" si="3"/>
        <v>0</v>
      </c>
      <c r="BL16" s="434">
        <f t="shared" si="3"/>
        <v>0</v>
      </c>
      <c r="BM16" s="434">
        <f t="shared" si="3"/>
        <v>0</v>
      </c>
      <c r="BN16" s="434">
        <f t="shared" si="3"/>
        <v>0</v>
      </c>
      <c r="BO16" s="434">
        <f t="shared" si="3"/>
        <v>0</v>
      </c>
      <c r="BP16" s="434">
        <f t="shared" si="3"/>
        <v>0</v>
      </c>
      <c r="BQ16" s="434">
        <f t="shared" si="3"/>
        <v>0</v>
      </c>
      <c r="BR16" s="434">
        <f t="shared" si="3"/>
        <v>0</v>
      </c>
      <c r="BS16" s="434">
        <f t="shared" si="3"/>
        <v>0</v>
      </c>
      <c r="BT16" s="434">
        <f t="shared" si="3"/>
        <v>0</v>
      </c>
      <c r="BU16" s="434">
        <f t="shared" si="3"/>
        <v>0</v>
      </c>
      <c r="BV16" s="434">
        <f t="shared" si="3"/>
        <v>0</v>
      </c>
      <c r="BW16" s="434">
        <f t="shared" si="3"/>
        <v>0</v>
      </c>
      <c r="BX16" s="434">
        <f t="shared" si="3"/>
        <v>0</v>
      </c>
      <c r="BY16" s="434">
        <f t="shared" si="3"/>
        <v>0</v>
      </c>
      <c r="BZ16" s="434">
        <f t="shared" si="3"/>
        <v>0</v>
      </c>
      <c r="CA16" s="434">
        <f t="shared" si="3"/>
        <v>0</v>
      </c>
      <c r="CB16" s="434">
        <f t="shared" si="3"/>
        <v>0</v>
      </c>
      <c r="CC16" s="434">
        <f t="shared" si="3"/>
        <v>0</v>
      </c>
      <c r="CD16" s="434">
        <f t="shared" si="3"/>
        <v>0</v>
      </c>
      <c r="CE16" s="434">
        <f t="shared" si="3"/>
        <v>0</v>
      </c>
      <c r="CF16" s="434">
        <f t="shared" si="3"/>
        <v>0</v>
      </c>
      <c r="CG16" s="434">
        <f t="shared" si="3"/>
        <v>0</v>
      </c>
      <c r="CH16" s="434">
        <f t="shared" si="3"/>
        <v>0</v>
      </c>
      <c r="CI16" s="434">
        <f t="shared" si="3"/>
        <v>0</v>
      </c>
      <c r="CJ16" s="434">
        <f t="shared" si="3"/>
        <v>0</v>
      </c>
      <c r="CK16" s="434">
        <f t="shared" si="3"/>
        <v>0</v>
      </c>
      <c r="CL16" s="434">
        <f t="shared" si="3"/>
        <v>0</v>
      </c>
      <c r="CM16" s="434">
        <f t="shared" si="3"/>
        <v>0</v>
      </c>
      <c r="CN16" s="434">
        <f t="shared" si="3"/>
        <v>0</v>
      </c>
      <c r="CO16" s="434">
        <f t="shared" si="3"/>
        <v>0</v>
      </c>
      <c r="CP16" s="434">
        <f t="shared" si="3"/>
        <v>0</v>
      </c>
      <c r="CQ16" s="434">
        <f t="shared" si="3"/>
        <v>0</v>
      </c>
      <c r="CR16" s="434">
        <f t="shared" si="3"/>
        <v>0</v>
      </c>
      <c r="CS16" s="434">
        <f t="shared" si="3"/>
        <v>0</v>
      </c>
      <c r="CT16" s="434">
        <f t="shared" si="3"/>
        <v>0</v>
      </c>
      <c r="CU16" s="434">
        <f t="shared" si="3"/>
        <v>0</v>
      </c>
      <c r="CV16" s="434">
        <f t="shared" si="3"/>
        <v>0</v>
      </c>
      <c r="CW16" s="434">
        <f t="shared" si="3"/>
        <v>0</v>
      </c>
      <c r="CX16" s="434">
        <f t="shared" si="3"/>
        <v>0</v>
      </c>
      <c r="CY16" s="434">
        <f t="shared" si="3"/>
        <v>0</v>
      </c>
      <c r="CZ16" s="434">
        <f t="shared" si="3"/>
        <v>0</v>
      </c>
      <c r="DA16" s="434">
        <f t="shared" si="3"/>
        <v>0</v>
      </c>
      <c r="DB16" s="434">
        <f t="shared" si="3"/>
        <v>0</v>
      </c>
      <c r="DC16" s="434">
        <f t="shared" si="3"/>
        <v>0</v>
      </c>
      <c r="DD16" s="434">
        <f t="shared" si="3"/>
        <v>0</v>
      </c>
      <c r="DE16" s="434">
        <f t="shared" si="3"/>
        <v>0</v>
      </c>
      <c r="DF16" s="434"/>
      <c r="DG16" s="434"/>
      <c r="DH16" s="434"/>
      <c r="DI16" s="434"/>
      <c r="DJ16" s="434"/>
      <c r="DK16" s="434"/>
      <c r="DL16" s="434"/>
    </row>
    <row r="17" spans="1:116" ht="15.75" customHeight="1" x14ac:dyDescent="0.25">
      <c r="A17" s="751"/>
      <c r="B17" s="751"/>
      <c r="C17" s="304" t="s">
        <v>229</v>
      </c>
      <c r="D17" s="431" t="s">
        <v>204</v>
      </c>
      <c r="E17" s="492" t="s">
        <v>230</v>
      </c>
      <c r="F17" s="493"/>
      <c r="G17" s="431" t="s">
        <v>231</v>
      </c>
      <c r="H17" s="494">
        <f>'Unit Costs and Indicators'!$B$51*H16</f>
        <v>0</v>
      </c>
      <c r="I17" s="443">
        <f>('Unit Costs and Indicators'!$B$51*I16)</f>
        <v>0</v>
      </c>
      <c r="J17" s="443">
        <f>('Unit Costs and Indicators'!$B$51*J16)</f>
        <v>0</v>
      </c>
      <c r="K17" s="443">
        <f>('Unit Costs and Indicators'!$B$51*K16)</f>
        <v>0</v>
      </c>
      <c r="L17" s="443">
        <f>('Unit Costs and Indicators'!$B$51*L16)</f>
        <v>0</v>
      </c>
      <c r="M17" s="443">
        <f>('Unit Costs and Indicators'!$B$51*M16)</f>
        <v>0</v>
      </c>
      <c r="N17" s="443">
        <f>('Unit Costs and Indicators'!$B$51*N16)</f>
        <v>0</v>
      </c>
      <c r="O17" s="443">
        <f>('Unit Costs and Indicators'!$B$51*O16)</f>
        <v>0</v>
      </c>
      <c r="P17" s="443">
        <f>('Unit Costs and Indicators'!$B$51*P16)</f>
        <v>0</v>
      </c>
      <c r="Q17" s="443">
        <f>('Unit Costs and Indicators'!$B$51*Q16)</f>
        <v>0</v>
      </c>
      <c r="R17" s="443">
        <f>('Unit Costs and Indicators'!$B$51*R16)</f>
        <v>0</v>
      </c>
      <c r="S17" s="443">
        <f>('Unit Costs and Indicators'!$B$51*S16)</f>
        <v>0</v>
      </c>
      <c r="T17" s="443">
        <f>('Unit Costs and Indicators'!$B$51*T16)</f>
        <v>0</v>
      </c>
      <c r="U17" s="443">
        <f>('Unit Costs and Indicators'!$B$51*U16)</f>
        <v>0</v>
      </c>
      <c r="V17" s="443">
        <f>('Unit Costs and Indicators'!$B$51*V16)</f>
        <v>0</v>
      </c>
      <c r="W17" s="443">
        <f>('Unit Costs and Indicators'!$B$51*W16)</f>
        <v>0</v>
      </c>
      <c r="X17" s="443">
        <f>('Unit Costs and Indicators'!$B$51*X16)</f>
        <v>0</v>
      </c>
      <c r="Y17" s="443">
        <f>('Unit Costs and Indicators'!$B$51*Y16)</f>
        <v>0</v>
      </c>
      <c r="Z17" s="443">
        <f>('Unit Costs and Indicators'!$B$51*Z16)</f>
        <v>0</v>
      </c>
      <c r="AA17" s="443">
        <f>('Unit Costs and Indicators'!$B$51*AA16)</f>
        <v>0</v>
      </c>
      <c r="AB17" s="443">
        <f>('Unit Costs and Indicators'!$B$51*AB16)</f>
        <v>0</v>
      </c>
      <c r="AC17" s="443">
        <f>('Unit Costs and Indicators'!$B$51*AC16)</f>
        <v>0</v>
      </c>
      <c r="AD17" s="443">
        <f>('Unit Costs and Indicators'!$B$51*AD16)</f>
        <v>0</v>
      </c>
      <c r="AE17" s="443">
        <f>('Unit Costs and Indicators'!$B$51*AE16)</f>
        <v>0</v>
      </c>
      <c r="AF17" s="443">
        <f>('Unit Costs and Indicators'!$B$51*AF16)</f>
        <v>0</v>
      </c>
      <c r="AG17" s="443">
        <f>('Unit Costs and Indicators'!$B$51*AG16)</f>
        <v>0</v>
      </c>
      <c r="AH17" s="443">
        <f>('Unit Costs and Indicators'!$B$51*AH16)</f>
        <v>0</v>
      </c>
      <c r="AI17" s="443">
        <f>('Unit Costs and Indicators'!$B$51*AI16)</f>
        <v>0</v>
      </c>
      <c r="AJ17" s="443">
        <f>('Unit Costs and Indicators'!$B$51*AJ16)</f>
        <v>0</v>
      </c>
      <c r="AK17" s="443">
        <f>('Unit Costs and Indicators'!$B$51*AK16)</f>
        <v>0</v>
      </c>
      <c r="AL17" s="443">
        <f>('Unit Costs and Indicators'!$B$51*AL16)</f>
        <v>0</v>
      </c>
      <c r="AM17" s="443">
        <f>('Unit Costs and Indicators'!$B$51*AM16)</f>
        <v>0</v>
      </c>
      <c r="AN17" s="443">
        <f>('Unit Costs and Indicators'!$B$51*AN16)</f>
        <v>0</v>
      </c>
      <c r="AO17" s="443">
        <f>('Unit Costs and Indicators'!$B$51*AO16)</f>
        <v>0</v>
      </c>
      <c r="AP17" s="443">
        <f>('Unit Costs and Indicators'!$B$51*AP16)</f>
        <v>0</v>
      </c>
      <c r="AQ17" s="443">
        <f>('Unit Costs and Indicators'!$B$51*AQ16)</f>
        <v>0</v>
      </c>
      <c r="AR17" s="443">
        <f>('Unit Costs and Indicators'!$B$51*AR16)</f>
        <v>0</v>
      </c>
      <c r="AS17" s="443">
        <f>('Unit Costs and Indicators'!$B$51*AS16)</f>
        <v>0</v>
      </c>
      <c r="AT17" s="443">
        <f>('Unit Costs and Indicators'!$B$51*AT16)</f>
        <v>0</v>
      </c>
      <c r="AU17" s="443">
        <f>('Unit Costs and Indicators'!$B$51*AU16)</f>
        <v>0</v>
      </c>
      <c r="AV17" s="443">
        <f>('Unit Costs and Indicators'!$B$51*AV16)</f>
        <v>0</v>
      </c>
      <c r="AW17" s="443">
        <f>('Unit Costs and Indicators'!$B$51*AW16)</f>
        <v>0</v>
      </c>
      <c r="AX17" s="443">
        <f>('Unit Costs and Indicators'!$B$51*AX16)</f>
        <v>0</v>
      </c>
      <c r="AY17" s="443">
        <f>('Unit Costs and Indicators'!$B$51*AY16)</f>
        <v>0</v>
      </c>
      <c r="AZ17" s="443">
        <f>('Unit Costs and Indicators'!$B$51*AZ16)</f>
        <v>0</v>
      </c>
      <c r="BA17" s="443">
        <f>('Unit Costs and Indicators'!$B$51*BA16)</f>
        <v>0</v>
      </c>
      <c r="BB17" s="443">
        <f>('Unit Costs and Indicators'!$B$51*BB16)</f>
        <v>0</v>
      </c>
      <c r="BC17" s="443">
        <f>('Unit Costs and Indicators'!$B$51*BC16)</f>
        <v>0</v>
      </c>
      <c r="BD17" s="443">
        <f>('Unit Costs and Indicators'!$B$51*BD16)</f>
        <v>0</v>
      </c>
      <c r="BE17" s="443">
        <f>('Unit Costs and Indicators'!$B$51*BE16)</f>
        <v>0</v>
      </c>
      <c r="BF17" s="443">
        <f>('Unit Costs and Indicators'!$B$51*BF16)</f>
        <v>0</v>
      </c>
      <c r="BG17" s="443">
        <f>('Unit Costs and Indicators'!$B$51*BG16)</f>
        <v>0</v>
      </c>
      <c r="BH17" s="443">
        <f>('Unit Costs and Indicators'!$B$51*BH16)</f>
        <v>0</v>
      </c>
      <c r="BI17" s="443">
        <f>('Unit Costs and Indicators'!$B$51*BI16)</f>
        <v>0</v>
      </c>
      <c r="BJ17" s="443">
        <f>('Unit Costs and Indicators'!$B$51*BJ16)</f>
        <v>0</v>
      </c>
      <c r="BK17" s="443">
        <f>('Unit Costs and Indicators'!$B$51*BK16)</f>
        <v>0</v>
      </c>
      <c r="BL17" s="443">
        <f>('Unit Costs and Indicators'!$B$51*BL16)</f>
        <v>0</v>
      </c>
      <c r="BM17" s="443">
        <f>('Unit Costs and Indicators'!$B$51*BM16)</f>
        <v>0</v>
      </c>
      <c r="BN17" s="443">
        <f>('Unit Costs and Indicators'!$B$51*BN16)</f>
        <v>0</v>
      </c>
      <c r="BO17" s="443">
        <f>('Unit Costs and Indicators'!$B$51*BO16)</f>
        <v>0</v>
      </c>
      <c r="BP17" s="443">
        <f>('Unit Costs and Indicators'!$B$51*BP16)</f>
        <v>0</v>
      </c>
      <c r="BQ17" s="443">
        <f>('Unit Costs and Indicators'!$B$51*BQ16)</f>
        <v>0</v>
      </c>
      <c r="BR17" s="443">
        <f>('Unit Costs and Indicators'!$B$51*BR16)</f>
        <v>0</v>
      </c>
      <c r="BS17" s="443">
        <f>('Unit Costs and Indicators'!$B$51*BS16)</f>
        <v>0</v>
      </c>
      <c r="BT17" s="443">
        <f>('Unit Costs and Indicators'!$B$51*BT16)</f>
        <v>0</v>
      </c>
      <c r="BU17" s="443">
        <f>('Unit Costs and Indicators'!$B$51*BU16)</f>
        <v>0</v>
      </c>
      <c r="BV17" s="443">
        <f>('Unit Costs and Indicators'!$B$51*BV16)</f>
        <v>0</v>
      </c>
      <c r="BW17" s="443">
        <f>('Unit Costs and Indicators'!$B$51*BW16)</f>
        <v>0</v>
      </c>
      <c r="BX17" s="443">
        <f>('Unit Costs and Indicators'!$B$51*BX16)</f>
        <v>0</v>
      </c>
      <c r="BY17" s="443">
        <f>('Unit Costs and Indicators'!$B$51*BY16)</f>
        <v>0</v>
      </c>
      <c r="BZ17" s="443">
        <f>('Unit Costs and Indicators'!$B$51*BZ16)</f>
        <v>0</v>
      </c>
      <c r="CA17" s="443">
        <f>('Unit Costs and Indicators'!$B$51*CA16)</f>
        <v>0</v>
      </c>
      <c r="CB17" s="443">
        <f>('Unit Costs and Indicators'!$B$51*CB16)</f>
        <v>0</v>
      </c>
      <c r="CC17" s="443">
        <f>('Unit Costs and Indicators'!$B$51*CC16)</f>
        <v>0</v>
      </c>
      <c r="CD17" s="443">
        <f>('Unit Costs and Indicators'!$B$51*CD16)</f>
        <v>0</v>
      </c>
      <c r="CE17" s="443">
        <f>('Unit Costs and Indicators'!$B$51*CE16)</f>
        <v>0</v>
      </c>
      <c r="CF17" s="443">
        <f>('Unit Costs and Indicators'!$B$51*CF16)</f>
        <v>0</v>
      </c>
      <c r="CG17" s="443">
        <f>('Unit Costs and Indicators'!$B$51*CG16)</f>
        <v>0</v>
      </c>
      <c r="CH17" s="443">
        <f>('Unit Costs and Indicators'!$B$51*CH16)</f>
        <v>0</v>
      </c>
      <c r="CI17" s="443">
        <f>('Unit Costs and Indicators'!$B$51*CI16)</f>
        <v>0</v>
      </c>
      <c r="CJ17" s="443">
        <f>('Unit Costs and Indicators'!$B$51*CJ16)</f>
        <v>0</v>
      </c>
      <c r="CK17" s="443">
        <f>('Unit Costs and Indicators'!$B$51*CK16)</f>
        <v>0</v>
      </c>
      <c r="CL17" s="443">
        <f>('Unit Costs and Indicators'!$B$51*CL16)</f>
        <v>0</v>
      </c>
      <c r="CM17" s="443">
        <f>('Unit Costs and Indicators'!$B$51*CM16)</f>
        <v>0</v>
      </c>
      <c r="CN17" s="443">
        <f>('Unit Costs and Indicators'!$B$51*CN16)</f>
        <v>0</v>
      </c>
      <c r="CO17" s="443">
        <f>('Unit Costs and Indicators'!$B$51*CO16)</f>
        <v>0</v>
      </c>
      <c r="CP17" s="443">
        <f>('Unit Costs and Indicators'!$B$51*CP16)</f>
        <v>0</v>
      </c>
      <c r="CQ17" s="443">
        <f>('Unit Costs and Indicators'!$B$51*CQ16)</f>
        <v>0</v>
      </c>
      <c r="CR17" s="443">
        <f>('Unit Costs and Indicators'!$B$51*CR16)</f>
        <v>0</v>
      </c>
      <c r="CS17" s="443">
        <f>('Unit Costs and Indicators'!$B$51*CS16)</f>
        <v>0</v>
      </c>
      <c r="CT17" s="443">
        <f>('Unit Costs and Indicators'!$B$51*CT16)</f>
        <v>0</v>
      </c>
      <c r="CU17" s="443">
        <f>('Unit Costs and Indicators'!$B$51*CU16)</f>
        <v>0</v>
      </c>
      <c r="CV17" s="443">
        <f>('Unit Costs and Indicators'!$B$51*CV16)</f>
        <v>0</v>
      </c>
      <c r="CW17" s="443">
        <f>('Unit Costs and Indicators'!$B$51*CW16)</f>
        <v>0</v>
      </c>
      <c r="CX17" s="443">
        <f>('Unit Costs and Indicators'!$B$51*CX16)</f>
        <v>0</v>
      </c>
      <c r="CY17" s="443">
        <f>('Unit Costs and Indicators'!$B$51*CY16)</f>
        <v>0</v>
      </c>
      <c r="CZ17" s="443">
        <f>('Unit Costs and Indicators'!$B$51*CZ16)</f>
        <v>0</v>
      </c>
      <c r="DA17" s="443">
        <f>('Unit Costs and Indicators'!$B$51*DA16)</f>
        <v>0</v>
      </c>
      <c r="DB17" s="443">
        <f>('Unit Costs and Indicators'!$B$51*DB16)</f>
        <v>0</v>
      </c>
      <c r="DC17" s="443">
        <f>('Unit Costs and Indicators'!$B$51*DC16)</f>
        <v>0</v>
      </c>
      <c r="DD17" s="443">
        <f>('Unit Costs and Indicators'!$B$51*DD16)</f>
        <v>0</v>
      </c>
      <c r="DE17" s="443">
        <f>('Unit Costs and Indicators'!$B$51*DE16)</f>
        <v>0</v>
      </c>
      <c r="DF17" s="443"/>
      <c r="DG17" s="443"/>
      <c r="DH17" s="443"/>
      <c r="DI17" s="443"/>
      <c r="DJ17" s="443"/>
      <c r="DK17" s="443"/>
      <c r="DL17" s="443"/>
    </row>
    <row r="18" spans="1:116" ht="15.75" customHeight="1" x14ac:dyDescent="0.25">
      <c r="A18" s="751"/>
      <c r="B18" s="751"/>
      <c r="C18" s="278" t="s">
        <v>232</v>
      </c>
      <c r="D18" s="279"/>
      <c r="E18" s="280"/>
      <c r="F18" s="280"/>
      <c r="G18" s="279"/>
      <c r="H18" s="302">
        <f>'Unit Costs and Indicators'!D18</f>
        <v>0.28409090909090912</v>
      </c>
      <c r="I18" s="303">
        <f t="shared" ref="I18:DE18" si="4">H18</f>
        <v>0.28409090909090912</v>
      </c>
      <c r="J18" s="303">
        <f t="shared" si="4"/>
        <v>0.28409090909090912</v>
      </c>
      <c r="K18" s="303">
        <f t="shared" si="4"/>
        <v>0.28409090909090912</v>
      </c>
      <c r="L18" s="303">
        <f t="shared" si="4"/>
        <v>0.28409090909090912</v>
      </c>
      <c r="M18" s="303">
        <f t="shared" si="4"/>
        <v>0.28409090909090912</v>
      </c>
      <c r="N18" s="303">
        <f t="shared" si="4"/>
        <v>0.28409090909090912</v>
      </c>
      <c r="O18" s="303">
        <f t="shared" si="4"/>
        <v>0.28409090909090912</v>
      </c>
      <c r="P18" s="303">
        <f t="shared" si="4"/>
        <v>0.28409090909090912</v>
      </c>
      <c r="Q18" s="303">
        <f t="shared" si="4"/>
        <v>0.28409090909090912</v>
      </c>
      <c r="R18" s="303">
        <f t="shared" si="4"/>
        <v>0.28409090909090912</v>
      </c>
      <c r="S18" s="303">
        <f t="shared" si="4"/>
        <v>0.28409090909090912</v>
      </c>
      <c r="T18" s="303">
        <f t="shared" si="4"/>
        <v>0.28409090909090912</v>
      </c>
      <c r="U18" s="303">
        <f t="shared" si="4"/>
        <v>0.28409090909090912</v>
      </c>
      <c r="V18" s="303">
        <f t="shared" si="4"/>
        <v>0.28409090909090912</v>
      </c>
      <c r="W18" s="303">
        <f t="shared" si="4"/>
        <v>0.28409090909090912</v>
      </c>
      <c r="X18" s="303">
        <f t="shared" si="4"/>
        <v>0.28409090909090912</v>
      </c>
      <c r="Y18" s="303">
        <f t="shared" si="4"/>
        <v>0.28409090909090912</v>
      </c>
      <c r="Z18" s="303">
        <f t="shared" si="4"/>
        <v>0.28409090909090912</v>
      </c>
      <c r="AA18" s="303">
        <f t="shared" si="4"/>
        <v>0.28409090909090912</v>
      </c>
      <c r="AB18" s="303">
        <f t="shared" si="4"/>
        <v>0.28409090909090912</v>
      </c>
      <c r="AC18" s="303">
        <f t="shared" si="4"/>
        <v>0.28409090909090912</v>
      </c>
      <c r="AD18" s="303">
        <f t="shared" si="4"/>
        <v>0.28409090909090912</v>
      </c>
      <c r="AE18" s="303">
        <f t="shared" si="4"/>
        <v>0.28409090909090912</v>
      </c>
      <c r="AF18" s="303">
        <f t="shared" si="4"/>
        <v>0.28409090909090912</v>
      </c>
      <c r="AG18" s="303">
        <f t="shared" si="4"/>
        <v>0.28409090909090912</v>
      </c>
      <c r="AH18" s="303">
        <f t="shared" si="4"/>
        <v>0.28409090909090912</v>
      </c>
      <c r="AI18" s="303">
        <f t="shared" si="4"/>
        <v>0.28409090909090912</v>
      </c>
      <c r="AJ18" s="303">
        <f t="shared" si="4"/>
        <v>0.28409090909090912</v>
      </c>
      <c r="AK18" s="303">
        <f t="shared" si="4"/>
        <v>0.28409090909090912</v>
      </c>
      <c r="AL18" s="303">
        <f t="shared" si="4"/>
        <v>0.28409090909090912</v>
      </c>
      <c r="AM18" s="303">
        <f t="shared" si="4"/>
        <v>0.28409090909090912</v>
      </c>
      <c r="AN18" s="303">
        <f t="shared" si="4"/>
        <v>0.28409090909090912</v>
      </c>
      <c r="AO18" s="303">
        <f t="shared" si="4"/>
        <v>0.28409090909090912</v>
      </c>
      <c r="AP18" s="303">
        <f t="shared" si="4"/>
        <v>0.28409090909090912</v>
      </c>
      <c r="AQ18" s="303">
        <f t="shared" si="4"/>
        <v>0.28409090909090912</v>
      </c>
      <c r="AR18" s="303">
        <f t="shared" si="4"/>
        <v>0.28409090909090912</v>
      </c>
      <c r="AS18" s="303">
        <f t="shared" si="4"/>
        <v>0.28409090909090912</v>
      </c>
      <c r="AT18" s="303">
        <f t="shared" si="4"/>
        <v>0.28409090909090912</v>
      </c>
      <c r="AU18" s="303">
        <f t="shared" si="4"/>
        <v>0.28409090909090912</v>
      </c>
      <c r="AV18" s="303">
        <f t="shared" si="4"/>
        <v>0.28409090909090912</v>
      </c>
      <c r="AW18" s="303">
        <f t="shared" si="4"/>
        <v>0.28409090909090912</v>
      </c>
      <c r="AX18" s="303">
        <f t="shared" si="4"/>
        <v>0.28409090909090912</v>
      </c>
      <c r="AY18" s="303">
        <f t="shared" si="4"/>
        <v>0.28409090909090912</v>
      </c>
      <c r="AZ18" s="303">
        <f t="shared" si="4"/>
        <v>0.28409090909090912</v>
      </c>
      <c r="BA18" s="303">
        <f t="shared" si="4"/>
        <v>0.28409090909090912</v>
      </c>
      <c r="BB18" s="303">
        <f t="shared" si="4"/>
        <v>0.28409090909090912</v>
      </c>
      <c r="BC18" s="303">
        <f t="shared" si="4"/>
        <v>0.28409090909090912</v>
      </c>
      <c r="BD18" s="303">
        <f t="shared" si="4"/>
        <v>0.28409090909090912</v>
      </c>
      <c r="BE18" s="303">
        <f t="shared" si="4"/>
        <v>0.28409090909090912</v>
      </c>
      <c r="BF18" s="303">
        <f t="shared" si="4"/>
        <v>0.28409090909090912</v>
      </c>
      <c r="BG18" s="303">
        <f t="shared" si="4"/>
        <v>0.28409090909090912</v>
      </c>
      <c r="BH18" s="303">
        <f t="shared" si="4"/>
        <v>0.28409090909090912</v>
      </c>
      <c r="BI18" s="303">
        <f t="shared" si="4"/>
        <v>0.28409090909090912</v>
      </c>
      <c r="BJ18" s="303">
        <f t="shared" si="4"/>
        <v>0.28409090909090912</v>
      </c>
      <c r="BK18" s="303">
        <f t="shared" si="4"/>
        <v>0.28409090909090912</v>
      </c>
      <c r="BL18" s="303">
        <f t="shared" si="4"/>
        <v>0.28409090909090912</v>
      </c>
      <c r="BM18" s="303">
        <f t="shared" si="4"/>
        <v>0.28409090909090912</v>
      </c>
      <c r="BN18" s="303">
        <f t="shared" si="4"/>
        <v>0.28409090909090912</v>
      </c>
      <c r="BO18" s="303">
        <f t="shared" si="4"/>
        <v>0.28409090909090912</v>
      </c>
      <c r="BP18" s="303">
        <f t="shared" si="4"/>
        <v>0.28409090909090912</v>
      </c>
      <c r="BQ18" s="303">
        <f t="shared" si="4"/>
        <v>0.28409090909090912</v>
      </c>
      <c r="BR18" s="303">
        <f t="shared" si="4"/>
        <v>0.28409090909090912</v>
      </c>
      <c r="BS18" s="303">
        <f t="shared" si="4"/>
        <v>0.28409090909090912</v>
      </c>
      <c r="BT18" s="303">
        <f t="shared" si="4"/>
        <v>0.28409090909090912</v>
      </c>
      <c r="BU18" s="303">
        <f t="shared" si="4"/>
        <v>0.28409090909090912</v>
      </c>
      <c r="BV18" s="303">
        <f t="shared" si="4"/>
        <v>0.28409090909090912</v>
      </c>
      <c r="BW18" s="303">
        <f t="shared" si="4"/>
        <v>0.28409090909090912</v>
      </c>
      <c r="BX18" s="303">
        <f t="shared" si="4"/>
        <v>0.28409090909090912</v>
      </c>
      <c r="BY18" s="303">
        <f t="shared" si="4"/>
        <v>0.28409090909090912</v>
      </c>
      <c r="BZ18" s="303">
        <f t="shared" si="4"/>
        <v>0.28409090909090912</v>
      </c>
      <c r="CA18" s="303">
        <f t="shared" si="4"/>
        <v>0.28409090909090912</v>
      </c>
      <c r="CB18" s="303">
        <f t="shared" si="4"/>
        <v>0.28409090909090912</v>
      </c>
      <c r="CC18" s="303">
        <f t="shared" si="4"/>
        <v>0.28409090909090912</v>
      </c>
      <c r="CD18" s="303">
        <f t="shared" si="4"/>
        <v>0.28409090909090912</v>
      </c>
      <c r="CE18" s="303">
        <f t="shared" si="4"/>
        <v>0.28409090909090912</v>
      </c>
      <c r="CF18" s="303">
        <f t="shared" si="4"/>
        <v>0.28409090909090912</v>
      </c>
      <c r="CG18" s="303">
        <f t="shared" si="4"/>
        <v>0.28409090909090912</v>
      </c>
      <c r="CH18" s="303">
        <f t="shared" si="4"/>
        <v>0.28409090909090912</v>
      </c>
      <c r="CI18" s="303">
        <f t="shared" si="4"/>
        <v>0.28409090909090912</v>
      </c>
      <c r="CJ18" s="303">
        <f t="shared" si="4"/>
        <v>0.28409090909090912</v>
      </c>
      <c r="CK18" s="303">
        <f t="shared" si="4"/>
        <v>0.28409090909090912</v>
      </c>
      <c r="CL18" s="303">
        <f t="shared" si="4"/>
        <v>0.28409090909090912</v>
      </c>
      <c r="CM18" s="303">
        <f t="shared" si="4"/>
        <v>0.28409090909090912</v>
      </c>
      <c r="CN18" s="303">
        <f t="shared" si="4"/>
        <v>0.28409090909090912</v>
      </c>
      <c r="CO18" s="303">
        <f t="shared" si="4"/>
        <v>0.28409090909090912</v>
      </c>
      <c r="CP18" s="303">
        <f t="shared" si="4"/>
        <v>0.28409090909090912</v>
      </c>
      <c r="CQ18" s="303">
        <f t="shared" si="4"/>
        <v>0.28409090909090912</v>
      </c>
      <c r="CR18" s="303">
        <f t="shared" si="4"/>
        <v>0.28409090909090912</v>
      </c>
      <c r="CS18" s="303">
        <f t="shared" si="4"/>
        <v>0.28409090909090912</v>
      </c>
      <c r="CT18" s="303">
        <f t="shared" si="4"/>
        <v>0.28409090909090912</v>
      </c>
      <c r="CU18" s="303">
        <f t="shared" si="4"/>
        <v>0.28409090909090912</v>
      </c>
      <c r="CV18" s="303">
        <f t="shared" si="4"/>
        <v>0.28409090909090912</v>
      </c>
      <c r="CW18" s="303">
        <f t="shared" si="4"/>
        <v>0.28409090909090912</v>
      </c>
      <c r="CX18" s="303">
        <f t="shared" si="4"/>
        <v>0.28409090909090912</v>
      </c>
      <c r="CY18" s="303">
        <f t="shared" si="4"/>
        <v>0.28409090909090912</v>
      </c>
      <c r="CZ18" s="303">
        <f t="shared" si="4"/>
        <v>0.28409090909090912</v>
      </c>
      <c r="DA18" s="303">
        <f t="shared" si="4"/>
        <v>0.28409090909090912</v>
      </c>
      <c r="DB18" s="303">
        <f t="shared" si="4"/>
        <v>0.28409090909090912</v>
      </c>
      <c r="DC18" s="303">
        <f t="shared" si="4"/>
        <v>0.28409090909090912</v>
      </c>
      <c r="DD18" s="303">
        <f t="shared" si="4"/>
        <v>0.28409090909090912</v>
      </c>
      <c r="DE18" s="303">
        <f t="shared" si="4"/>
        <v>0.28409090909090912</v>
      </c>
      <c r="DF18" s="303"/>
      <c r="DG18" s="303"/>
      <c r="DH18" s="303"/>
      <c r="DI18" s="303"/>
      <c r="DJ18" s="303"/>
      <c r="DK18" s="303"/>
      <c r="DL18" s="303"/>
    </row>
    <row r="19" spans="1:116" ht="15.75" customHeight="1" x14ac:dyDescent="0.25">
      <c r="A19" s="751"/>
      <c r="B19" s="751"/>
      <c r="C19" s="495" t="s">
        <v>233</v>
      </c>
      <c r="D19" s="279" t="s">
        <v>204</v>
      </c>
      <c r="E19" s="280"/>
      <c r="F19" s="280"/>
      <c r="G19" s="279"/>
      <c r="H19" s="300">
        <f t="shared" ref="H19:DE19" si="5">(0.08*10)*H9</f>
        <v>0</v>
      </c>
      <c r="I19" s="301">
        <f t="shared" si="5"/>
        <v>0</v>
      </c>
      <c r="J19" s="301">
        <f t="shared" si="5"/>
        <v>0</v>
      </c>
      <c r="K19" s="301">
        <f t="shared" si="5"/>
        <v>0</v>
      </c>
      <c r="L19" s="301">
        <f t="shared" si="5"/>
        <v>0</v>
      </c>
      <c r="M19" s="301">
        <f t="shared" si="5"/>
        <v>0</v>
      </c>
      <c r="N19" s="301">
        <f t="shared" si="5"/>
        <v>0</v>
      </c>
      <c r="O19" s="301">
        <f t="shared" si="5"/>
        <v>0</v>
      </c>
      <c r="P19" s="301">
        <f t="shared" si="5"/>
        <v>0</v>
      </c>
      <c r="Q19" s="301">
        <f t="shared" si="5"/>
        <v>0</v>
      </c>
      <c r="R19" s="301">
        <f t="shared" si="5"/>
        <v>0</v>
      </c>
      <c r="S19" s="301">
        <f t="shared" si="5"/>
        <v>0</v>
      </c>
      <c r="T19" s="301">
        <f t="shared" si="5"/>
        <v>0</v>
      </c>
      <c r="U19" s="301">
        <f t="shared" si="5"/>
        <v>0</v>
      </c>
      <c r="V19" s="301">
        <f t="shared" si="5"/>
        <v>0</v>
      </c>
      <c r="W19" s="301">
        <f t="shared" si="5"/>
        <v>0</v>
      </c>
      <c r="X19" s="301">
        <f t="shared" si="5"/>
        <v>0</v>
      </c>
      <c r="Y19" s="301">
        <f t="shared" si="5"/>
        <v>0</v>
      </c>
      <c r="Z19" s="301">
        <f t="shared" si="5"/>
        <v>0</v>
      </c>
      <c r="AA19" s="301">
        <f t="shared" si="5"/>
        <v>0</v>
      </c>
      <c r="AB19" s="301">
        <f t="shared" si="5"/>
        <v>0</v>
      </c>
      <c r="AC19" s="301">
        <f t="shared" si="5"/>
        <v>0</v>
      </c>
      <c r="AD19" s="301">
        <f t="shared" si="5"/>
        <v>0</v>
      </c>
      <c r="AE19" s="301">
        <f t="shared" si="5"/>
        <v>0</v>
      </c>
      <c r="AF19" s="301">
        <f t="shared" si="5"/>
        <v>0</v>
      </c>
      <c r="AG19" s="301">
        <f t="shared" si="5"/>
        <v>0</v>
      </c>
      <c r="AH19" s="301">
        <f t="shared" si="5"/>
        <v>0</v>
      </c>
      <c r="AI19" s="301">
        <f t="shared" si="5"/>
        <v>0</v>
      </c>
      <c r="AJ19" s="301">
        <f t="shared" si="5"/>
        <v>0</v>
      </c>
      <c r="AK19" s="301">
        <f t="shared" si="5"/>
        <v>0</v>
      </c>
      <c r="AL19" s="301">
        <f t="shared" si="5"/>
        <v>0</v>
      </c>
      <c r="AM19" s="301">
        <f t="shared" si="5"/>
        <v>0</v>
      </c>
      <c r="AN19" s="301">
        <f t="shared" si="5"/>
        <v>0</v>
      </c>
      <c r="AO19" s="301">
        <f t="shared" si="5"/>
        <v>0</v>
      </c>
      <c r="AP19" s="301">
        <f t="shared" si="5"/>
        <v>0</v>
      </c>
      <c r="AQ19" s="301">
        <f t="shared" si="5"/>
        <v>0</v>
      </c>
      <c r="AR19" s="301">
        <f t="shared" si="5"/>
        <v>0</v>
      </c>
      <c r="AS19" s="301">
        <f t="shared" si="5"/>
        <v>0</v>
      </c>
      <c r="AT19" s="301">
        <f t="shared" si="5"/>
        <v>0</v>
      </c>
      <c r="AU19" s="301">
        <f t="shared" si="5"/>
        <v>0</v>
      </c>
      <c r="AV19" s="301">
        <f t="shared" si="5"/>
        <v>0</v>
      </c>
      <c r="AW19" s="301">
        <f t="shared" si="5"/>
        <v>0</v>
      </c>
      <c r="AX19" s="301">
        <f t="shared" si="5"/>
        <v>0</v>
      </c>
      <c r="AY19" s="301">
        <f t="shared" si="5"/>
        <v>0</v>
      </c>
      <c r="AZ19" s="301">
        <f t="shared" si="5"/>
        <v>0</v>
      </c>
      <c r="BA19" s="301">
        <f t="shared" si="5"/>
        <v>0</v>
      </c>
      <c r="BB19" s="301">
        <f t="shared" si="5"/>
        <v>0</v>
      </c>
      <c r="BC19" s="301">
        <f t="shared" si="5"/>
        <v>0</v>
      </c>
      <c r="BD19" s="301">
        <f t="shared" si="5"/>
        <v>0</v>
      </c>
      <c r="BE19" s="301">
        <f t="shared" si="5"/>
        <v>0</v>
      </c>
      <c r="BF19" s="301">
        <f t="shared" si="5"/>
        <v>0</v>
      </c>
      <c r="BG19" s="301">
        <f t="shared" si="5"/>
        <v>0</v>
      </c>
      <c r="BH19" s="301">
        <f t="shared" si="5"/>
        <v>0</v>
      </c>
      <c r="BI19" s="301">
        <f t="shared" si="5"/>
        <v>0</v>
      </c>
      <c r="BJ19" s="301">
        <f t="shared" si="5"/>
        <v>0</v>
      </c>
      <c r="BK19" s="301">
        <f t="shared" si="5"/>
        <v>0</v>
      </c>
      <c r="BL19" s="301">
        <f t="shared" si="5"/>
        <v>0</v>
      </c>
      <c r="BM19" s="301">
        <f t="shared" si="5"/>
        <v>0</v>
      </c>
      <c r="BN19" s="301">
        <f t="shared" si="5"/>
        <v>0</v>
      </c>
      <c r="BO19" s="301">
        <f t="shared" si="5"/>
        <v>0</v>
      </c>
      <c r="BP19" s="301">
        <f t="shared" si="5"/>
        <v>0</v>
      </c>
      <c r="BQ19" s="301">
        <f t="shared" si="5"/>
        <v>0</v>
      </c>
      <c r="BR19" s="301">
        <f t="shared" si="5"/>
        <v>0</v>
      </c>
      <c r="BS19" s="301">
        <f t="shared" si="5"/>
        <v>0</v>
      </c>
      <c r="BT19" s="301">
        <f t="shared" si="5"/>
        <v>0</v>
      </c>
      <c r="BU19" s="301">
        <f t="shared" si="5"/>
        <v>0</v>
      </c>
      <c r="BV19" s="301">
        <f t="shared" si="5"/>
        <v>0</v>
      </c>
      <c r="BW19" s="301">
        <f t="shared" si="5"/>
        <v>0</v>
      </c>
      <c r="BX19" s="301">
        <f t="shared" si="5"/>
        <v>0</v>
      </c>
      <c r="BY19" s="301">
        <f t="shared" si="5"/>
        <v>0</v>
      </c>
      <c r="BZ19" s="301">
        <f t="shared" si="5"/>
        <v>0</v>
      </c>
      <c r="CA19" s="301">
        <f t="shared" si="5"/>
        <v>0</v>
      </c>
      <c r="CB19" s="301">
        <f t="shared" si="5"/>
        <v>0</v>
      </c>
      <c r="CC19" s="301">
        <f t="shared" si="5"/>
        <v>0</v>
      </c>
      <c r="CD19" s="301">
        <f t="shared" si="5"/>
        <v>0</v>
      </c>
      <c r="CE19" s="301">
        <f t="shared" si="5"/>
        <v>0</v>
      </c>
      <c r="CF19" s="301">
        <f t="shared" si="5"/>
        <v>0</v>
      </c>
      <c r="CG19" s="301">
        <f t="shared" si="5"/>
        <v>0</v>
      </c>
      <c r="CH19" s="301">
        <f t="shared" si="5"/>
        <v>0</v>
      </c>
      <c r="CI19" s="301">
        <f t="shared" si="5"/>
        <v>0</v>
      </c>
      <c r="CJ19" s="301">
        <f t="shared" si="5"/>
        <v>0</v>
      </c>
      <c r="CK19" s="301">
        <f t="shared" si="5"/>
        <v>0</v>
      </c>
      <c r="CL19" s="301">
        <f t="shared" si="5"/>
        <v>0</v>
      </c>
      <c r="CM19" s="301">
        <f t="shared" si="5"/>
        <v>0</v>
      </c>
      <c r="CN19" s="301">
        <f t="shared" si="5"/>
        <v>0</v>
      </c>
      <c r="CO19" s="301">
        <f t="shared" si="5"/>
        <v>0</v>
      </c>
      <c r="CP19" s="301">
        <f t="shared" si="5"/>
        <v>0</v>
      </c>
      <c r="CQ19" s="301">
        <f t="shared" si="5"/>
        <v>0</v>
      </c>
      <c r="CR19" s="301">
        <f t="shared" si="5"/>
        <v>0</v>
      </c>
      <c r="CS19" s="301">
        <f t="shared" si="5"/>
        <v>0</v>
      </c>
      <c r="CT19" s="301">
        <f t="shared" si="5"/>
        <v>0</v>
      </c>
      <c r="CU19" s="301">
        <f t="shared" si="5"/>
        <v>0</v>
      </c>
      <c r="CV19" s="301">
        <f t="shared" si="5"/>
        <v>0</v>
      </c>
      <c r="CW19" s="301">
        <f t="shared" si="5"/>
        <v>0</v>
      </c>
      <c r="CX19" s="301">
        <f t="shared" si="5"/>
        <v>0</v>
      </c>
      <c r="CY19" s="301">
        <f t="shared" si="5"/>
        <v>0</v>
      </c>
      <c r="CZ19" s="301">
        <f t="shared" si="5"/>
        <v>0</v>
      </c>
      <c r="DA19" s="301">
        <f t="shared" si="5"/>
        <v>0</v>
      </c>
      <c r="DB19" s="301">
        <f t="shared" si="5"/>
        <v>0</v>
      </c>
      <c r="DC19" s="301">
        <f t="shared" si="5"/>
        <v>0</v>
      </c>
      <c r="DD19" s="301">
        <f t="shared" si="5"/>
        <v>0</v>
      </c>
      <c r="DE19" s="301">
        <f t="shared" si="5"/>
        <v>0</v>
      </c>
      <c r="DF19" s="301"/>
      <c r="DG19" s="301"/>
      <c r="DH19" s="301"/>
      <c r="DI19" s="301"/>
      <c r="DJ19" s="301"/>
      <c r="DK19" s="301"/>
      <c r="DL19" s="301"/>
    </row>
    <row r="20" spans="1:116" ht="15.75" customHeight="1" x14ac:dyDescent="0.25">
      <c r="A20" s="751"/>
      <c r="B20" s="751"/>
      <c r="C20" s="291" t="s">
        <v>379</v>
      </c>
      <c r="D20" s="292" t="s">
        <v>221</v>
      </c>
      <c r="E20" s="293" t="s">
        <v>237</v>
      </c>
      <c r="F20" s="293"/>
      <c r="G20" s="496">
        <f>12.8+(1324/1229)</f>
        <v>13.877298616761596</v>
      </c>
      <c r="H20" s="497">
        <f t="shared" ref="H20:I20" si="6">H18</f>
        <v>0.28409090909090912</v>
      </c>
      <c r="I20" s="498">
        <f t="shared" si="6"/>
        <v>0.28409090909090912</v>
      </c>
      <c r="J20" s="498">
        <v>0</v>
      </c>
      <c r="K20" s="498">
        <v>0</v>
      </c>
      <c r="L20" s="498">
        <v>0</v>
      </c>
      <c r="M20" s="498">
        <v>0</v>
      </c>
      <c r="N20" s="498">
        <v>0</v>
      </c>
      <c r="O20" s="498">
        <v>0</v>
      </c>
      <c r="P20" s="498">
        <v>0</v>
      </c>
      <c r="Q20" s="498">
        <v>0</v>
      </c>
      <c r="R20" s="498">
        <v>0</v>
      </c>
      <c r="S20" s="499">
        <v>0</v>
      </c>
      <c r="T20" s="499">
        <v>0</v>
      </c>
      <c r="U20" s="498">
        <v>0</v>
      </c>
      <c r="V20" s="499">
        <v>0</v>
      </c>
      <c r="W20" s="498">
        <f>W18</f>
        <v>0.28409090909090912</v>
      </c>
      <c r="X20" s="498">
        <v>0</v>
      </c>
      <c r="Y20" s="498">
        <v>0</v>
      </c>
      <c r="Z20" s="498">
        <v>0</v>
      </c>
      <c r="AA20" s="498">
        <v>0</v>
      </c>
      <c r="AB20" s="498">
        <v>0</v>
      </c>
      <c r="AC20" s="498">
        <v>0</v>
      </c>
      <c r="AD20" s="498">
        <v>0</v>
      </c>
      <c r="AE20" s="498">
        <v>0</v>
      </c>
      <c r="AF20" s="498">
        <v>0</v>
      </c>
      <c r="AG20" s="499">
        <v>0</v>
      </c>
      <c r="AH20" s="499">
        <v>0</v>
      </c>
      <c r="AI20" s="498">
        <v>0</v>
      </c>
      <c r="AJ20" s="499">
        <v>0</v>
      </c>
      <c r="AK20" s="498">
        <f>AK18</f>
        <v>0.28409090909090912</v>
      </c>
      <c r="AL20" s="498">
        <v>0</v>
      </c>
      <c r="AM20" s="498">
        <v>0</v>
      </c>
      <c r="AN20" s="498">
        <v>0</v>
      </c>
      <c r="AO20" s="498">
        <v>0</v>
      </c>
      <c r="AP20" s="498">
        <v>0</v>
      </c>
      <c r="AQ20" s="498">
        <v>0</v>
      </c>
      <c r="AR20" s="498">
        <v>0</v>
      </c>
      <c r="AS20" s="498">
        <v>0</v>
      </c>
      <c r="AT20" s="498">
        <v>0</v>
      </c>
      <c r="AU20" s="499">
        <v>0</v>
      </c>
      <c r="AV20" s="499">
        <v>0</v>
      </c>
      <c r="AW20" s="498">
        <v>0</v>
      </c>
      <c r="AX20" s="499">
        <v>0</v>
      </c>
      <c r="AY20" s="498">
        <f>AY18</f>
        <v>0.28409090909090912</v>
      </c>
      <c r="AZ20" s="498">
        <v>0</v>
      </c>
      <c r="BA20" s="498">
        <v>0</v>
      </c>
      <c r="BB20" s="498">
        <v>0</v>
      </c>
      <c r="BC20" s="498">
        <v>0</v>
      </c>
      <c r="BD20" s="498">
        <v>0</v>
      </c>
      <c r="BE20" s="498">
        <v>0</v>
      </c>
      <c r="BF20" s="498">
        <v>0</v>
      </c>
      <c r="BG20" s="498">
        <v>0</v>
      </c>
      <c r="BH20" s="498">
        <v>0</v>
      </c>
      <c r="BI20" s="499">
        <v>0</v>
      </c>
      <c r="BJ20" s="499">
        <v>0</v>
      </c>
      <c r="BK20" s="498">
        <v>0</v>
      </c>
      <c r="BL20" s="499">
        <v>0</v>
      </c>
      <c r="BM20" s="498">
        <f>BM18</f>
        <v>0.28409090909090912</v>
      </c>
      <c r="BN20" s="498">
        <v>0</v>
      </c>
      <c r="BO20" s="498">
        <v>0</v>
      </c>
      <c r="BP20" s="498">
        <v>0</v>
      </c>
      <c r="BQ20" s="498">
        <v>0</v>
      </c>
      <c r="BR20" s="498">
        <v>0</v>
      </c>
      <c r="BS20" s="498">
        <v>0</v>
      </c>
      <c r="BT20" s="498">
        <v>0</v>
      </c>
      <c r="BU20" s="498">
        <v>0</v>
      </c>
      <c r="BV20" s="498">
        <v>0</v>
      </c>
      <c r="BW20" s="499">
        <v>0</v>
      </c>
      <c r="BX20" s="499">
        <v>0</v>
      </c>
      <c r="BY20" s="498">
        <v>0</v>
      </c>
      <c r="BZ20" s="499">
        <v>0</v>
      </c>
      <c r="CA20" s="498">
        <f>CA18</f>
        <v>0.28409090909090912</v>
      </c>
      <c r="CB20" s="498">
        <v>0</v>
      </c>
      <c r="CC20" s="498">
        <v>0</v>
      </c>
      <c r="CD20" s="498">
        <v>0</v>
      </c>
      <c r="CE20" s="498">
        <v>0</v>
      </c>
      <c r="CF20" s="498">
        <v>0</v>
      </c>
      <c r="CG20" s="498">
        <v>0</v>
      </c>
      <c r="CH20" s="498">
        <v>0</v>
      </c>
      <c r="CI20" s="498">
        <v>0</v>
      </c>
      <c r="CJ20" s="498">
        <v>0</v>
      </c>
      <c r="CK20" s="499">
        <v>0</v>
      </c>
      <c r="CL20" s="499">
        <v>0</v>
      </c>
      <c r="CM20" s="498">
        <v>0</v>
      </c>
      <c r="CN20" s="499">
        <v>0</v>
      </c>
      <c r="CO20" s="498">
        <f>CO18</f>
        <v>0.28409090909090912</v>
      </c>
      <c r="CP20" s="498">
        <v>0</v>
      </c>
      <c r="CQ20" s="498">
        <v>0</v>
      </c>
      <c r="CR20" s="498">
        <v>0</v>
      </c>
      <c r="CS20" s="498">
        <v>0</v>
      </c>
      <c r="CT20" s="498">
        <v>0</v>
      </c>
      <c r="CU20" s="498">
        <v>0</v>
      </c>
      <c r="CV20" s="498">
        <v>0</v>
      </c>
      <c r="CW20" s="498">
        <v>0</v>
      </c>
      <c r="CX20" s="498">
        <v>0</v>
      </c>
      <c r="CY20" s="499">
        <v>0</v>
      </c>
      <c r="CZ20" s="499">
        <v>0</v>
      </c>
      <c r="DA20" s="498">
        <v>0</v>
      </c>
      <c r="DB20" s="499">
        <v>0</v>
      </c>
      <c r="DC20" s="498">
        <f>DC18</f>
        <v>0.28409090909090912</v>
      </c>
      <c r="DD20" s="498">
        <v>0</v>
      </c>
      <c r="DE20" s="498">
        <v>0</v>
      </c>
      <c r="DF20" s="309"/>
      <c r="DG20" s="309"/>
      <c r="DH20" s="309"/>
      <c r="DI20" s="309"/>
      <c r="DJ20" s="309"/>
      <c r="DK20" s="309"/>
      <c r="DL20" s="309"/>
    </row>
    <row r="21" spans="1:116" ht="15.75" customHeight="1" x14ac:dyDescent="0.25">
      <c r="A21" s="751"/>
      <c r="B21" s="751"/>
      <c r="C21" s="278" t="s">
        <v>238</v>
      </c>
      <c r="D21" s="279" t="s">
        <v>239</v>
      </c>
      <c r="E21" s="280" t="s">
        <v>240</v>
      </c>
      <c r="F21" s="280"/>
      <c r="G21" s="310">
        <f>SUM(H21:BQ21)</f>
        <v>9834440</v>
      </c>
      <c r="H21" s="300">
        <f>('Unit Costs and Indicators'!$B$47)</f>
        <v>158620</v>
      </c>
      <c r="I21" s="301">
        <f>('Unit Costs and Indicators'!$B$47)</f>
        <v>158620</v>
      </c>
      <c r="J21" s="301">
        <f>('Unit Costs and Indicators'!$B$47)</f>
        <v>158620</v>
      </c>
      <c r="K21" s="301">
        <f>('Unit Costs and Indicators'!$B$47)</f>
        <v>158620</v>
      </c>
      <c r="L21" s="301">
        <f>('Unit Costs and Indicators'!$B$47)</f>
        <v>158620</v>
      </c>
      <c r="M21" s="301">
        <f>('Unit Costs and Indicators'!$B$47)</f>
        <v>158620</v>
      </c>
      <c r="N21" s="301">
        <f>('Unit Costs and Indicators'!$B$47)</f>
        <v>158620</v>
      </c>
      <c r="O21" s="301">
        <f>('Unit Costs and Indicators'!$B$47)</f>
        <v>158620</v>
      </c>
      <c r="P21" s="301">
        <f>('Unit Costs and Indicators'!$B$47)</f>
        <v>158620</v>
      </c>
      <c r="Q21" s="301">
        <f>('Unit Costs and Indicators'!$B$47)</f>
        <v>158620</v>
      </c>
      <c r="R21" s="301">
        <f>('Unit Costs and Indicators'!$B$47)</f>
        <v>158620</v>
      </c>
      <c r="S21" s="301">
        <f>('Unit Costs and Indicators'!$B$47)</f>
        <v>158620</v>
      </c>
      <c r="T21" s="301">
        <f>('Unit Costs and Indicators'!$B$47)</f>
        <v>158620</v>
      </c>
      <c r="U21" s="301">
        <f>('Unit Costs and Indicators'!$B$47)</f>
        <v>158620</v>
      </c>
      <c r="V21" s="301">
        <f>('Unit Costs and Indicators'!$B$47)</f>
        <v>158620</v>
      </c>
      <c r="W21" s="301">
        <f>('Unit Costs and Indicators'!$B$47)</f>
        <v>158620</v>
      </c>
      <c r="X21" s="301">
        <f>('Unit Costs and Indicators'!$B$47)</f>
        <v>158620</v>
      </c>
      <c r="Y21" s="301">
        <f>('Unit Costs and Indicators'!$B$47)</f>
        <v>158620</v>
      </c>
      <c r="Z21" s="301">
        <f>('Unit Costs and Indicators'!$B$47)</f>
        <v>158620</v>
      </c>
      <c r="AA21" s="301">
        <f>('Unit Costs and Indicators'!$B$47)</f>
        <v>158620</v>
      </c>
      <c r="AB21" s="301">
        <f>('Unit Costs and Indicators'!$B$47)</f>
        <v>158620</v>
      </c>
      <c r="AC21" s="301">
        <f>('Unit Costs and Indicators'!$B$47)</f>
        <v>158620</v>
      </c>
      <c r="AD21" s="301">
        <f>('Unit Costs and Indicators'!$B$47)</f>
        <v>158620</v>
      </c>
      <c r="AE21" s="301">
        <f>('Unit Costs and Indicators'!$B$47)</f>
        <v>158620</v>
      </c>
      <c r="AF21" s="301">
        <f>('Unit Costs and Indicators'!$B$47)</f>
        <v>158620</v>
      </c>
      <c r="AG21" s="301">
        <f>('Unit Costs and Indicators'!$B$47)</f>
        <v>158620</v>
      </c>
      <c r="AH21" s="301">
        <f>('Unit Costs and Indicators'!$B$47)</f>
        <v>158620</v>
      </c>
      <c r="AI21" s="301">
        <f>('Unit Costs and Indicators'!$B$47)</f>
        <v>158620</v>
      </c>
      <c r="AJ21" s="301">
        <f>('Unit Costs and Indicators'!$B$47)</f>
        <v>158620</v>
      </c>
      <c r="AK21" s="301">
        <f>('Unit Costs and Indicators'!$B$47)</f>
        <v>158620</v>
      </c>
      <c r="AL21" s="301">
        <f>('Unit Costs and Indicators'!$B$47)</f>
        <v>158620</v>
      </c>
      <c r="AM21" s="301">
        <f>('Unit Costs and Indicators'!$B$47)</f>
        <v>158620</v>
      </c>
      <c r="AN21" s="301">
        <f>('Unit Costs and Indicators'!$B$47)</f>
        <v>158620</v>
      </c>
      <c r="AO21" s="301">
        <f>('Unit Costs and Indicators'!$B$47)</f>
        <v>158620</v>
      </c>
      <c r="AP21" s="301">
        <f>('Unit Costs and Indicators'!$B$47)</f>
        <v>158620</v>
      </c>
      <c r="AQ21" s="301">
        <f>('Unit Costs and Indicators'!$B$47)</f>
        <v>158620</v>
      </c>
      <c r="AR21" s="301">
        <f>('Unit Costs and Indicators'!$B$47)</f>
        <v>158620</v>
      </c>
      <c r="AS21" s="301">
        <f>('Unit Costs and Indicators'!$B$47)</f>
        <v>158620</v>
      </c>
      <c r="AT21" s="301">
        <f>('Unit Costs and Indicators'!$B$47)</f>
        <v>158620</v>
      </c>
      <c r="AU21" s="301">
        <f>('Unit Costs and Indicators'!$B$47)</f>
        <v>158620</v>
      </c>
      <c r="AV21" s="301">
        <f>('Unit Costs and Indicators'!$B$47)</f>
        <v>158620</v>
      </c>
      <c r="AW21" s="301">
        <f>('Unit Costs and Indicators'!$B$47)</f>
        <v>158620</v>
      </c>
      <c r="AX21" s="301">
        <f>('Unit Costs and Indicators'!$B$47)</f>
        <v>158620</v>
      </c>
      <c r="AY21" s="301">
        <f>('Unit Costs and Indicators'!$B$47)</f>
        <v>158620</v>
      </c>
      <c r="AZ21" s="301">
        <f>('Unit Costs and Indicators'!$B$47)</f>
        <v>158620</v>
      </c>
      <c r="BA21" s="301">
        <f>('Unit Costs and Indicators'!$B$47)</f>
        <v>158620</v>
      </c>
      <c r="BB21" s="301">
        <f>('Unit Costs and Indicators'!$B$47)</f>
        <v>158620</v>
      </c>
      <c r="BC21" s="301">
        <f>('Unit Costs and Indicators'!$B$47)</f>
        <v>158620</v>
      </c>
      <c r="BD21" s="301">
        <f>('Unit Costs and Indicators'!$B$47)</f>
        <v>158620</v>
      </c>
      <c r="BE21" s="301">
        <f>('Unit Costs and Indicators'!$B$47)</f>
        <v>158620</v>
      </c>
      <c r="BF21" s="301">
        <f>('Unit Costs and Indicators'!$B$47)</f>
        <v>158620</v>
      </c>
      <c r="BG21" s="301">
        <f>('Unit Costs and Indicators'!$B$47)</f>
        <v>158620</v>
      </c>
      <c r="BH21" s="301">
        <f>('Unit Costs and Indicators'!$B$47)</f>
        <v>158620</v>
      </c>
      <c r="BI21" s="301">
        <f>('Unit Costs and Indicators'!$B$47)</f>
        <v>158620</v>
      </c>
      <c r="BJ21" s="301">
        <f>('Unit Costs and Indicators'!$B$47)</f>
        <v>158620</v>
      </c>
      <c r="BK21" s="301">
        <f>('Unit Costs and Indicators'!$B$47)</f>
        <v>158620</v>
      </c>
      <c r="BL21" s="301">
        <f>('Unit Costs and Indicators'!$B$47)</f>
        <v>158620</v>
      </c>
      <c r="BM21" s="301">
        <f>('Unit Costs and Indicators'!$B$47)</f>
        <v>158620</v>
      </c>
      <c r="BN21" s="301">
        <f>('Unit Costs and Indicators'!$B$47)</f>
        <v>158620</v>
      </c>
      <c r="BO21" s="301">
        <f>('Unit Costs and Indicators'!$B$47)</f>
        <v>158620</v>
      </c>
      <c r="BP21" s="301">
        <f>('Unit Costs and Indicators'!$B$47)</f>
        <v>158620</v>
      </c>
      <c r="BQ21" s="301">
        <f>('Unit Costs and Indicators'!$B$47)</f>
        <v>158620</v>
      </c>
      <c r="BR21" s="301">
        <f>('Unit Costs and Indicators'!$B$47)</f>
        <v>158620</v>
      </c>
      <c r="BS21" s="301">
        <f>('Unit Costs and Indicators'!$B$47)</f>
        <v>158620</v>
      </c>
      <c r="BT21" s="301">
        <f>('Unit Costs and Indicators'!$B$47)</f>
        <v>158620</v>
      </c>
      <c r="BU21" s="301">
        <f>('Unit Costs and Indicators'!$B$47)</f>
        <v>158620</v>
      </c>
      <c r="BV21" s="301">
        <f>('Unit Costs and Indicators'!$B$47)</f>
        <v>158620</v>
      </c>
      <c r="BW21" s="301">
        <f>('Unit Costs and Indicators'!$B$47)</f>
        <v>158620</v>
      </c>
      <c r="BX21" s="301">
        <f>('Unit Costs and Indicators'!$B$47)</f>
        <v>158620</v>
      </c>
      <c r="BY21" s="301">
        <f>('Unit Costs and Indicators'!$B$47)</f>
        <v>158620</v>
      </c>
      <c r="BZ21" s="301">
        <f>('Unit Costs and Indicators'!$B$47)</f>
        <v>158620</v>
      </c>
      <c r="CA21" s="301">
        <f>('Unit Costs and Indicators'!$B$47)</f>
        <v>158620</v>
      </c>
      <c r="CB21" s="301">
        <f>('Unit Costs and Indicators'!$B$47)</f>
        <v>158620</v>
      </c>
      <c r="CC21" s="301">
        <f>('Unit Costs and Indicators'!$B$47)</f>
        <v>158620</v>
      </c>
      <c r="CD21" s="301">
        <f>('Unit Costs and Indicators'!$B$47)</f>
        <v>158620</v>
      </c>
      <c r="CE21" s="301">
        <f>('Unit Costs and Indicators'!$B$47)</f>
        <v>158620</v>
      </c>
      <c r="CF21" s="301">
        <f>('Unit Costs and Indicators'!$B$47)</f>
        <v>158620</v>
      </c>
      <c r="CG21" s="301">
        <f>('Unit Costs and Indicators'!$B$47)</f>
        <v>158620</v>
      </c>
      <c r="CH21" s="301">
        <f>('Unit Costs and Indicators'!$B$47)</f>
        <v>158620</v>
      </c>
      <c r="CI21" s="301">
        <f>('Unit Costs and Indicators'!$B$47)</f>
        <v>158620</v>
      </c>
      <c r="CJ21" s="301">
        <f>('Unit Costs and Indicators'!$B$47)</f>
        <v>158620</v>
      </c>
      <c r="CK21" s="301">
        <f>('Unit Costs and Indicators'!$B$47)</f>
        <v>158620</v>
      </c>
      <c r="CL21" s="301">
        <f>('Unit Costs and Indicators'!$B$47)</f>
        <v>158620</v>
      </c>
      <c r="CM21" s="301">
        <f>('Unit Costs and Indicators'!$B$47)</f>
        <v>158620</v>
      </c>
      <c r="CN21" s="301">
        <f>('Unit Costs and Indicators'!$B$47)</f>
        <v>158620</v>
      </c>
      <c r="CO21" s="301">
        <f>('Unit Costs and Indicators'!$B$47)</f>
        <v>158620</v>
      </c>
      <c r="CP21" s="301">
        <f>('Unit Costs and Indicators'!$B$47)</f>
        <v>158620</v>
      </c>
      <c r="CQ21" s="301">
        <f>('Unit Costs and Indicators'!$B$47)</f>
        <v>158620</v>
      </c>
      <c r="CR21" s="301">
        <f>('Unit Costs and Indicators'!$B$47)</f>
        <v>158620</v>
      </c>
      <c r="CS21" s="301">
        <f>('Unit Costs and Indicators'!$B$47)</f>
        <v>158620</v>
      </c>
      <c r="CT21" s="301">
        <f>('Unit Costs and Indicators'!$B$47)</f>
        <v>158620</v>
      </c>
      <c r="CU21" s="301">
        <f>('Unit Costs and Indicators'!$B$47)</f>
        <v>158620</v>
      </c>
      <c r="CV21" s="301">
        <f>('Unit Costs and Indicators'!$B$47)</f>
        <v>158620</v>
      </c>
      <c r="CW21" s="301">
        <f>('Unit Costs and Indicators'!$B$47)</f>
        <v>158620</v>
      </c>
      <c r="CX21" s="301">
        <f>('Unit Costs and Indicators'!$B$47)</f>
        <v>158620</v>
      </c>
      <c r="CY21" s="301">
        <f>('Unit Costs and Indicators'!$B$47)</f>
        <v>158620</v>
      </c>
      <c r="CZ21" s="301">
        <f>('Unit Costs and Indicators'!$B$47)</f>
        <v>158620</v>
      </c>
      <c r="DA21" s="301">
        <f>('Unit Costs and Indicators'!$B$47)</f>
        <v>158620</v>
      </c>
      <c r="DB21" s="301">
        <f>('Unit Costs and Indicators'!$B$47)</f>
        <v>158620</v>
      </c>
      <c r="DC21" s="301">
        <f>('Unit Costs and Indicators'!$B$47)</f>
        <v>158620</v>
      </c>
      <c r="DD21" s="301">
        <f>('Unit Costs and Indicators'!$B$47)</f>
        <v>158620</v>
      </c>
      <c r="DE21" s="301">
        <f>('Unit Costs and Indicators'!$B$47)</f>
        <v>158620</v>
      </c>
      <c r="DF21" s="301"/>
      <c r="DG21" s="301"/>
      <c r="DH21" s="301"/>
      <c r="DI21" s="301"/>
      <c r="DJ21" s="301"/>
      <c r="DK21" s="301"/>
      <c r="DL21" s="301"/>
    </row>
    <row r="22" spans="1:116" ht="15.75" customHeight="1" x14ac:dyDescent="0.25">
      <c r="A22" s="751"/>
      <c r="B22" s="500"/>
      <c r="C22" s="438" t="s">
        <v>244</v>
      </c>
      <c r="D22" s="356" t="s">
        <v>247</v>
      </c>
      <c r="E22" s="357"/>
      <c r="F22" s="316" t="s">
        <v>14</v>
      </c>
      <c r="G22" s="317">
        <f t="shared" ref="G22:G23" si="7">NPV($C$4, J22:DE22)+I22</f>
        <v>167800.22124330324</v>
      </c>
      <c r="H22" s="501"/>
      <c r="I22" s="360">
        <f>(I20*I21)+I17+I19</f>
        <v>45062.500000000007</v>
      </c>
      <c r="J22" s="360">
        <f t="shared" ref="J22:DE22" si="8">((J20*J21)+J17+J19)*(1 + $C$3)^(J5 - $I$5)</f>
        <v>0</v>
      </c>
      <c r="K22" s="360">
        <f t="shared" si="8"/>
        <v>0</v>
      </c>
      <c r="L22" s="360">
        <f t="shared" si="8"/>
        <v>0</v>
      </c>
      <c r="M22" s="360">
        <f t="shared" si="8"/>
        <v>0</v>
      </c>
      <c r="N22" s="360">
        <f t="shared" si="8"/>
        <v>0</v>
      </c>
      <c r="O22" s="360">
        <f t="shared" si="8"/>
        <v>0</v>
      </c>
      <c r="P22" s="360">
        <f t="shared" si="8"/>
        <v>0</v>
      </c>
      <c r="Q22" s="360">
        <f t="shared" si="8"/>
        <v>0</v>
      </c>
      <c r="R22" s="360">
        <f t="shared" si="8"/>
        <v>0</v>
      </c>
      <c r="S22" s="360">
        <f t="shared" si="8"/>
        <v>0</v>
      </c>
      <c r="T22" s="360">
        <f t="shared" si="8"/>
        <v>0</v>
      </c>
      <c r="U22" s="360">
        <f t="shared" si="8"/>
        <v>0</v>
      </c>
      <c r="V22" s="360">
        <f t="shared" si="8"/>
        <v>0</v>
      </c>
      <c r="W22" s="360">
        <f t="shared" si="8"/>
        <v>59459.011760520683</v>
      </c>
      <c r="X22" s="360">
        <f t="shared" si="8"/>
        <v>0</v>
      </c>
      <c r="Y22" s="360">
        <f t="shared" si="8"/>
        <v>0</v>
      </c>
      <c r="Z22" s="360">
        <f t="shared" si="8"/>
        <v>0</v>
      </c>
      <c r="AA22" s="360">
        <f t="shared" si="8"/>
        <v>0</v>
      </c>
      <c r="AB22" s="360">
        <f t="shared" si="8"/>
        <v>0</v>
      </c>
      <c r="AC22" s="360">
        <f t="shared" si="8"/>
        <v>0</v>
      </c>
      <c r="AD22" s="360">
        <f t="shared" si="8"/>
        <v>0</v>
      </c>
      <c r="AE22" s="360">
        <f t="shared" si="8"/>
        <v>0</v>
      </c>
      <c r="AF22" s="360">
        <f t="shared" si="8"/>
        <v>0</v>
      </c>
      <c r="AG22" s="360">
        <f t="shared" si="8"/>
        <v>0</v>
      </c>
      <c r="AH22" s="360">
        <f t="shared" si="8"/>
        <v>0</v>
      </c>
      <c r="AI22" s="360">
        <f t="shared" si="8"/>
        <v>0</v>
      </c>
      <c r="AJ22" s="360">
        <f t="shared" si="8"/>
        <v>0</v>
      </c>
      <c r="AK22" s="360">
        <f t="shared" si="8"/>
        <v>78454.903290712595</v>
      </c>
      <c r="AL22" s="360">
        <f t="shared" si="8"/>
        <v>0</v>
      </c>
      <c r="AM22" s="360">
        <f t="shared" si="8"/>
        <v>0</v>
      </c>
      <c r="AN22" s="360">
        <f t="shared" si="8"/>
        <v>0</v>
      </c>
      <c r="AO22" s="360">
        <f t="shared" si="8"/>
        <v>0</v>
      </c>
      <c r="AP22" s="360">
        <f t="shared" si="8"/>
        <v>0</v>
      </c>
      <c r="AQ22" s="360">
        <f t="shared" si="8"/>
        <v>0</v>
      </c>
      <c r="AR22" s="360">
        <f t="shared" si="8"/>
        <v>0</v>
      </c>
      <c r="AS22" s="360">
        <f t="shared" si="8"/>
        <v>0</v>
      </c>
      <c r="AT22" s="360">
        <f t="shared" si="8"/>
        <v>0</v>
      </c>
      <c r="AU22" s="360">
        <f t="shared" si="8"/>
        <v>0</v>
      </c>
      <c r="AV22" s="360">
        <f t="shared" si="8"/>
        <v>0</v>
      </c>
      <c r="AW22" s="360">
        <f t="shared" si="8"/>
        <v>0</v>
      </c>
      <c r="AX22" s="360">
        <f t="shared" si="8"/>
        <v>0</v>
      </c>
      <c r="AY22" s="360">
        <f t="shared" si="8"/>
        <v>103519.5787502467</v>
      </c>
      <c r="AZ22" s="360">
        <f t="shared" si="8"/>
        <v>0</v>
      </c>
      <c r="BA22" s="360">
        <f t="shared" si="8"/>
        <v>0</v>
      </c>
      <c r="BB22" s="360">
        <f t="shared" si="8"/>
        <v>0</v>
      </c>
      <c r="BC22" s="360">
        <f t="shared" si="8"/>
        <v>0</v>
      </c>
      <c r="BD22" s="360">
        <f t="shared" si="8"/>
        <v>0</v>
      </c>
      <c r="BE22" s="360">
        <f t="shared" si="8"/>
        <v>0</v>
      </c>
      <c r="BF22" s="360">
        <f t="shared" si="8"/>
        <v>0</v>
      </c>
      <c r="BG22" s="360">
        <f t="shared" si="8"/>
        <v>0</v>
      </c>
      <c r="BH22" s="360">
        <f t="shared" si="8"/>
        <v>0</v>
      </c>
      <c r="BI22" s="360">
        <f t="shared" si="8"/>
        <v>0</v>
      </c>
      <c r="BJ22" s="360">
        <f t="shared" si="8"/>
        <v>0</v>
      </c>
      <c r="BK22" s="360">
        <f t="shared" si="8"/>
        <v>0</v>
      </c>
      <c r="BL22" s="360">
        <f t="shared" si="8"/>
        <v>0</v>
      </c>
      <c r="BM22" s="360">
        <f t="shared" si="8"/>
        <v>136591.88572216505</v>
      </c>
      <c r="BN22" s="360">
        <f t="shared" si="8"/>
        <v>0</v>
      </c>
      <c r="BO22" s="360">
        <f t="shared" si="8"/>
        <v>0</v>
      </c>
      <c r="BP22" s="360">
        <f t="shared" si="8"/>
        <v>0</v>
      </c>
      <c r="BQ22" s="360">
        <f t="shared" si="8"/>
        <v>0</v>
      </c>
      <c r="BR22" s="360">
        <f t="shared" si="8"/>
        <v>0</v>
      </c>
      <c r="BS22" s="360">
        <f t="shared" si="8"/>
        <v>0</v>
      </c>
      <c r="BT22" s="360">
        <f t="shared" si="8"/>
        <v>0</v>
      </c>
      <c r="BU22" s="360">
        <f t="shared" si="8"/>
        <v>0</v>
      </c>
      <c r="BV22" s="360">
        <f t="shared" si="8"/>
        <v>0</v>
      </c>
      <c r="BW22" s="360">
        <f t="shared" si="8"/>
        <v>0</v>
      </c>
      <c r="BX22" s="360">
        <f t="shared" si="8"/>
        <v>0</v>
      </c>
      <c r="BY22" s="360">
        <f t="shared" si="8"/>
        <v>0</v>
      </c>
      <c r="BZ22" s="360">
        <f t="shared" si="8"/>
        <v>0</v>
      </c>
      <c r="CA22" s="360">
        <f t="shared" si="8"/>
        <v>180230.09241710757</v>
      </c>
      <c r="CB22" s="360">
        <f t="shared" si="8"/>
        <v>0</v>
      </c>
      <c r="CC22" s="360">
        <f t="shared" si="8"/>
        <v>0</v>
      </c>
      <c r="CD22" s="360">
        <f t="shared" si="8"/>
        <v>0</v>
      </c>
      <c r="CE22" s="360">
        <f t="shared" si="8"/>
        <v>0</v>
      </c>
      <c r="CF22" s="360">
        <f t="shared" si="8"/>
        <v>0</v>
      </c>
      <c r="CG22" s="360">
        <f t="shared" si="8"/>
        <v>0</v>
      </c>
      <c r="CH22" s="360">
        <f t="shared" si="8"/>
        <v>0</v>
      </c>
      <c r="CI22" s="360">
        <f t="shared" si="8"/>
        <v>0</v>
      </c>
      <c r="CJ22" s="360">
        <f t="shared" si="8"/>
        <v>0</v>
      </c>
      <c r="CK22" s="360">
        <f t="shared" si="8"/>
        <v>0</v>
      </c>
      <c r="CL22" s="360">
        <f t="shared" si="8"/>
        <v>0</v>
      </c>
      <c r="CM22" s="360">
        <f t="shared" si="8"/>
        <v>0</v>
      </c>
      <c r="CN22" s="360">
        <f t="shared" si="8"/>
        <v>0</v>
      </c>
      <c r="CO22" s="360">
        <f t="shared" si="8"/>
        <v>237809.7794092322</v>
      </c>
      <c r="CP22" s="360">
        <f t="shared" si="8"/>
        <v>0</v>
      </c>
      <c r="CQ22" s="360">
        <f t="shared" si="8"/>
        <v>0</v>
      </c>
      <c r="CR22" s="360">
        <f t="shared" si="8"/>
        <v>0</v>
      </c>
      <c r="CS22" s="360">
        <f t="shared" si="8"/>
        <v>0</v>
      </c>
      <c r="CT22" s="360">
        <f t="shared" si="8"/>
        <v>0</v>
      </c>
      <c r="CU22" s="360">
        <f t="shared" si="8"/>
        <v>0</v>
      </c>
      <c r="CV22" s="360">
        <f t="shared" si="8"/>
        <v>0</v>
      </c>
      <c r="CW22" s="360">
        <f t="shared" si="8"/>
        <v>0</v>
      </c>
      <c r="CX22" s="360">
        <f t="shared" si="8"/>
        <v>0</v>
      </c>
      <c r="CY22" s="360">
        <f t="shared" si="8"/>
        <v>0</v>
      </c>
      <c r="CZ22" s="360">
        <f t="shared" si="8"/>
        <v>0</v>
      </c>
      <c r="DA22" s="360">
        <f t="shared" si="8"/>
        <v>0</v>
      </c>
      <c r="DB22" s="360">
        <f t="shared" si="8"/>
        <v>0</v>
      </c>
      <c r="DC22" s="360">
        <f t="shared" si="8"/>
        <v>313784.95357914816</v>
      </c>
      <c r="DD22" s="360">
        <f t="shared" si="8"/>
        <v>0</v>
      </c>
      <c r="DE22" s="360">
        <f t="shared" si="8"/>
        <v>0</v>
      </c>
      <c r="DF22" s="360"/>
      <c r="DG22" s="360"/>
      <c r="DH22" s="360"/>
      <c r="DI22" s="360"/>
      <c r="DJ22" s="360"/>
      <c r="DK22" s="360"/>
      <c r="DL22" s="360"/>
    </row>
    <row r="23" spans="1:116" ht="18" customHeight="1" x14ac:dyDescent="0.25">
      <c r="A23" s="502"/>
      <c r="B23" s="503"/>
      <c r="C23" s="504" t="s">
        <v>380</v>
      </c>
      <c r="D23" s="314" t="s">
        <v>247</v>
      </c>
      <c r="E23" s="451"/>
      <c r="F23" s="316" t="s">
        <v>14</v>
      </c>
      <c r="G23" s="317">
        <f t="shared" si="7"/>
        <v>167800.22124330324</v>
      </c>
      <c r="H23" s="505"/>
      <c r="I23" s="319">
        <f t="shared" ref="I23:DL23" si="9">I22</f>
        <v>45062.500000000007</v>
      </c>
      <c r="J23" s="319">
        <f t="shared" si="9"/>
        <v>0</v>
      </c>
      <c r="K23" s="319">
        <f t="shared" si="9"/>
        <v>0</v>
      </c>
      <c r="L23" s="319">
        <f t="shared" si="9"/>
        <v>0</v>
      </c>
      <c r="M23" s="319">
        <f t="shared" si="9"/>
        <v>0</v>
      </c>
      <c r="N23" s="319">
        <f t="shared" si="9"/>
        <v>0</v>
      </c>
      <c r="O23" s="319">
        <f t="shared" si="9"/>
        <v>0</v>
      </c>
      <c r="P23" s="319">
        <f t="shared" si="9"/>
        <v>0</v>
      </c>
      <c r="Q23" s="319">
        <f t="shared" si="9"/>
        <v>0</v>
      </c>
      <c r="R23" s="319">
        <f t="shared" si="9"/>
        <v>0</v>
      </c>
      <c r="S23" s="319">
        <f t="shared" si="9"/>
        <v>0</v>
      </c>
      <c r="T23" s="319">
        <f t="shared" si="9"/>
        <v>0</v>
      </c>
      <c r="U23" s="319">
        <f t="shared" si="9"/>
        <v>0</v>
      </c>
      <c r="V23" s="319">
        <f t="shared" si="9"/>
        <v>0</v>
      </c>
      <c r="W23" s="319">
        <f t="shared" si="9"/>
        <v>59459.011760520683</v>
      </c>
      <c r="X23" s="319">
        <f t="shared" si="9"/>
        <v>0</v>
      </c>
      <c r="Y23" s="319">
        <f t="shared" si="9"/>
        <v>0</v>
      </c>
      <c r="Z23" s="319">
        <f t="shared" si="9"/>
        <v>0</v>
      </c>
      <c r="AA23" s="319">
        <f t="shared" si="9"/>
        <v>0</v>
      </c>
      <c r="AB23" s="319">
        <f t="shared" si="9"/>
        <v>0</v>
      </c>
      <c r="AC23" s="319">
        <f t="shared" si="9"/>
        <v>0</v>
      </c>
      <c r="AD23" s="319">
        <f t="shared" si="9"/>
        <v>0</v>
      </c>
      <c r="AE23" s="319">
        <f t="shared" si="9"/>
        <v>0</v>
      </c>
      <c r="AF23" s="319">
        <f t="shared" si="9"/>
        <v>0</v>
      </c>
      <c r="AG23" s="319">
        <f t="shared" si="9"/>
        <v>0</v>
      </c>
      <c r="AH23" s="319">
        <f t="shared" si="9"/>
        <v>0</v>
      </c>
      <c r="AI23" s="319">
        <f t="shared" si="9"/>
        <v>0</v>
      </c>
      <c r="AJ23" s="319">
        <f t="shared" si="9"/>
        <v>0</v>
      </c>
      <c r="AK23" s="319">
        <f t="shared" si="9"/>
        <v>78454.903290712595</v>
      </c>
      <c r="AL23" s="319">
        <f t="shared" si="9"/>
        <v>0</v>
      </c>
      <c r="AM23" s="319">
        <f t="shared" si="9"/>
        <v>0</v>
      </c>
      <c r="AN23" s="319">
        <f t="shared" si="9"/>
        <v>0</v>
      </c>
      <c r="AO23" s="319">
        <f t="shared" si="9"/>
        <v>0</v>
      </c>
      <c r="AP23" s="319">
        <f t="shared" si="9"/>
        <v>0</v>
      </c>
      <c r="AQ23" s="319">
        <f t="shared" si="9"/>
        <v>0</v>
      </c>
      <c r="AR23" s="319">
        <f t="shared" si="9"/>
        <v>0</v>
      </c>
      <c r="AS23" s="319">
        <f t="shared" si="9"/>
        <v>0</v>
      </c>
      <c r="AT23" s="319">
        <f t="shared" si="9"/>
        <v>0</v>
      </c>
      <c r="AU23" s="319">
        <f t="shared" si="9"/>
        <v>0</v>
      </c>
      <c r="AV23" s="319">
        <f t="shared" si="9"/>
        <v>0</v>
      </c>
      <c r="AW23" s="319">
        <f t="shared" si="9"/>
        <v>0</v>
      </c>
      <c r="AX23" s="319">
        <f t="shared" si="9"/>
        <v>0</v>
      </c>
      <c r="AY23" s="319">
        <f t="shared" si="9"/>
        <v>103519.5787502467</v>
      </c>
      <c r="AZ23" s="319">
        <f t="shared" si="9"/>
        <v>0</v>
      </c>
      <c r="BA23" s="319">
        <f t="shared" si="9"/>
        <v>0</v>
      </c>
      <c r="BB23" s="319">
        <f t="shared" si="9"/>
        <v>0</v>
      </c>
      <c r="BC23" s="319">
        <f t="shared" si="9"/>
        <v>0</v>
      </c>
      <c r="BD23" s="319">
        <f t="shared" si="9"/>
        <v>0</v>
      </c>
      <c r="BE23" s="319">
        <f t="shared" si="9"/>
        <v>0</v>
      </c>
      <c r="BF23" s="319">
        <f t="shared" si="9"/>
        <v>0</v>
      </c>
      <c r="BG23" s="319">
        <f t="shared" si="9"/>
        <v>0</v>
      </c>
      <c r="BH23" s="319">
        <f t="shared" si="9"/>
        <v>0</v>
      </c>
      <c r="BI23" s="319">
        <f t="shared" si="9"/>
        <v>0</v>
      </c>
      <c r="BJ23" s="319">
        <f t="shared" si="9"/>
        <v>0</v>
      </c>
      <c r="BK23" s="319">
        <f t="shared" si="9"/>
        <v>0</v>
      </c>
      <c r="BL23" s="319">
        <f t="shared" si="9"/>
        <v>0</v>
      </c>
      <c r="BM23" s="319">
        <f t="shared" si="9"/>
        <v>136591.88572216505</v>
      </c>
      <c r="BN23" s="319">
        <f t="shared" si="9"/>
        <v>0</v>
      </c>
      <c r="BO23" s="319">
        <f t="shared" si="9"/>
        <v>0</v>
      </c>
      <c r="BP23" s="319">
        <f t="shared" si="9"/>
        <v>0</v>
      </c>
      <c r="BQ23" s="319">
        <f t="shared" si="9"/>
        <v>0</v>
      </c>
      <c r="BR23" s="319">
        <f t="shared" si="9"/>
        <v>0</v>
      </c>
      <c r="BS23" s="319">
        <f t="shared" si="9"/>
        <v>0</v>
      </c>
      <c r="BT23" s="319">
        <f t="shared" si="9"/>
        <v>0</v>
      </c>
      <c r="BU23" s="319">
        <f t="shared" si="9"/>
        <v>0</v>
      </c>
      <c r="BV23" s="319">
        <f t="shared" si="9"/>
        <v>0</v>
      </c>
      <c r="BW23" s="319">
        <f t="shared" si="9"/>
        <v>0</v>
      </c>
      <c r="BX23" s="319">
        <f t="shared" si="9"/>
        <v>0</v>
      </c>
      <c r="BY23" s="319">
        <f t="shared" si="9"/>
        <v>0</v>
      </c>
      <c r="BZ23" s="319">
        <f t="shared" si="9"/>
        <v>0</v>
      </c>
      <c r="CA23" s="319">
        <f t="shared" si="9"/>
        <v>180230.09241710757</v>
      </c>
      <c r="CB23" s="319">
        <f t="shared" si="9"/>
        <v>0</v>
      </c>
      <c r="CC23" s="319">
        <f t="shared" si="9"/>
        <v>0</v>
      </c>
      <c r="CD23" s="319">
        <f t="shared" si="9"/>
        <v>0</v>
      </c>
      <c r="CE23" s="319">
        <f t="shared" si="9"/>
        <v>0</v>
      </c>
      <c r="CF23" s="319">
        <f t="shared" si="9"/>
        <v>0</v>
      </c>
      <c r="CG23" s="319">
        <f t="shared" si="9"/>
        <v>0</v>
      </c>
      <c r="CH23" s="319">
        <f t="shared" si="9"/>
        <v>0</v>
      </c>
      <c r="CI23" s="319">
        <f t="shared" si="9"/>
        <v>0</v>
      </c>
      <c r="CJ23" s="319">
        <f t="shared" si="9"/>
        <v>0</v>
      </c>
      <c r="CK23" s="319">
        <f t="shared" si="9"/>
        <v>0</v>
      </c>
      <c r="CL23" s="319">
        <f t="shared" si="9"/>
        <v>0</v>
      </c>
      <c r="CM23" s="319">
        <f t="shared" si="9"/>
        <v>0</v>
      </c>
      <c r="CN23" s="319">
        <f t="shared" si="9"/>
        <v>0</v>
      </c>
      <c r="CO23" s="319">
        <f t="shared" si="9"/>
        <v>237809.7794092322</v>
      </c>
      <c r="CP23" s="319">
        <f t="shared" si="9"/>
        <v>0</v>
      </c>
      <c r="CQ23" s="319">
        <f t="shared" si="9"/>
        <v>0</v>
      </c>
      <c r="CR23" s="319">
        <f t="shared" si="9"/>
        <v>0</v>
      </c>
      <c r="CS23" s="319">
        <f t="shared" si="9"/>
        <v>0</v>
      </c>
      <c r="CT23" s="319">
        <f t="shared" si="9"/>
        <v>0</v>
      </c>
      <c r="CU23" s="319">
        <f t="shared" si="9"/>
        <v>0</v>
      </c>
      <c r="CV23" s="319">
        <f t="shared" si="9"/>
        <v>0</v>
      </c>
      <c r="CW23" s="319">
        <f t="shared" si="9"/>
        <v>0</v>
      </c>
      <c r="CX23" s="319">
        <f t="shared" si="9"/>
        <v>0</v>
      </c>
      <c r="CY23" s="319">
        <f t="shared" si="9"/>
        <v>0</v>
      </c>
      <c r="CZ23" s="319">
        <f t="shared" si="9"/>
        <v>0</v>
      </c>
      <c r="DA23" s="319">
        <f t="shared" si="9"/>
        <v>0</v>
      </c>
      <c r="DB23" s="319">
        <f t="shared" si="9"/>
        <v>0</v>
      </c>
      <c r="DC23" s="319">
        <f t="shared" si="9"/>
        <v>313784.95357914816</v>
      </c>
      <c r="DD23" s="319">
        <f t="shared" si="9"/>
        <v>0</v>
      </c>
      <c r="DE23" s="319">
        <f t="shared" si="9"/>
        <v>0</v>
      </c>
      <c r="DF23" s="319">
        <f t="shared" si="9"/>
        <v>0</v>
      </c>
      <c r="DG23" s="319">
        <f t="shared" si="9"/>
        <v>0</v>
      </c>
      <c r="DH23" s="319">
        <f t="shared" si="9"/>
        <v>0</v>
      </c>
      <c r="DI23" s="319">
        <f t="shared" si="9"/>
        <v>0</v>
      </c>
      <c r="DJ23" s="319">
        <f t="shared" si="9"/>
        <v>0</v>
      </c>
      <c r="DK23" s="319">
        <f t="shared" si="9"/>
        <v>0</v>
      </c>
      <c r="DL23" s="319">
        <f t="shared" si="9"/>
        <v>0</v>
      </c>
    </row>
    <row r="24" spans="1:116" ht="15.75" customHeight="1" x14ac:dyDescent="0.25">
      <c r="A24" s="763" t="s">
        <v>48</v>
      </c>
      <c r="B24" s="758" t="s">
        <v>79</v>
      </c>
      <c r="C24" s="321" t="s">
        <v>248</v>
      </c>
      <c r="D24" s="322"/>
      <c r="E24" s="506" t="s">
        <v>249</v>
      </c>
      <c r="F24" s="506"/>
      <c r="G24" s="279" t="s">
        <v>250</v>
      </c>
      <c r="H24" s="507">
        <v>2651.5151515151515</v>
      </c>
      <c r="I24" s="284">
        <f>H24*(1+'Unit Costs and Indicators'!$D$145%)</f>
        <v>2651.5151515151515</v>
      </c>
      <c r="J24" s="284">
        <f>I24*(1+'Unit Costs and Indicators'!$D$145%)</f>
        <v>2651.5151515151515</v>
      </c>
      <c r="K24" s="284">
        <f>J24*(1+'Unit Costs and Indicators'!$D$145%)</f>
        <v>2651.5151515151515</v>
      </c>
      <c r="L24" s="284">
        <f>K24*(1+'Unit Costs and Indicators'!$D$145%)</f>
        <v>2651.5151515151515</v>
      </c>
      <c r="M24" s="284">
        <f>L24*(1+'Unit Costs and Indicators'!$D$145%)</f>
        <v>2651.5151515151515</v>
      </c>
      <c r="N24" s="284">
        <f>M24*(1+'Unit Costs and Indicators'!$D$145%)</f>
        <v>2651.5151515151515</v>
      </c>
      <c r="O24" s="284">
        <f>N24*(1+'Unit Costs and Indicators'!$D$145%)</f>
        <v>2651.5151515151515</v>
      </c>
      <c r="P24" s="284">
        <f>O24*(1+'Unit Costs and Indicators'!$D$145%)</f>
        <v>2651.5151515151515</v>
      </c>
      <c r="Q24" s="284">
        <f>P24*(1+'Unit Costs and Indicators'!$D$145%)</f>
        <v>2651.5151515151515</v>
      </c>
      <c r="R24" s="284">
        <f>Q24*(1+'Unit Costs and Indicators'!$D$145%)</f>
        <v>2651.5151515151515</v>
      </c>
      <c r="S24" s="284">
        <f>R24*(1+'Unit Costs and Indicators'!$D$145%)</f>
        <v>2651.5151515151515</v>
      </c>
      <c r="T24" s="284">
        <f>S24*(1+'Unit Costs and Indicators'!$D$145%)</f>
        <v>2651.5151515151515</v>
      </c>
      <c r="U24" s="284">
        <f>T24*(1+'Unit Costs and Indicators'!$D$145%)</f>
        <v>2651.5151515151515</v>
      </c>
      <c r="V24" s="284">
        <f>U24*(1+'Unit Costs and Indicators'!$D$145%)</f>
        <v>2651.5151515151515</v>
      </c>
      <c r="W24" s="284">
        <f>V24*(1+'Unit Costs and Indicators'!$D$145%)</f>
        <v>2651.5151515151515</v>
      </c>
      <c r="X24" s="284">
        <f>W24*(1+'Unit Costs and Indicators'!$D$145%)</f>
        <v>2651.5151515151515</v>
      </c>
      <c r="Y24" s="284">
        <f>X24*(1+'Unit Costs and Indicators'!$D$145%)</f>
        <v>2651.5151515151515</v>
      </c>
      <c r="Z24" s="284">
        <f>Y24*(1+'Unit Costs and Indicators'!$D$145%)</f>
        <v>2651.5151515151515</v>
      </c>
      <c r="AA24" s="284">
        <f>Z24*(1+'Unit Costs and Indicators'!$D$145%)</f>
        <v>2651.5151515151515</v>
      </c>
      <c r="AB24" s="284">
        <f>AA24*(1+'Unit Costs and Indicators'!$D$145%)</f>
        <v>2651.5151515151515</v>
      </c>
      <c r="AC24" s="284">
        <f>AB24*(1+'Unit Costs and Indicators'!$D$145%)</f>
        <v>2651.5151515151515</v>
      </c>
      <c r="AD24" s="284">
        <f>AC24*(1+'Unit Costs and Indicators'!$D$145%)</f>
        <v>2651.5151515151515</v>
      </c>
      <c r="AE24" s="284">
        <f>AD24*(1+'Unit Costs and Indicators'!$D$145%)</f>
        <v>2651.5151515151515</v>
      </c>
      <c r="AF24" s="284">
        <f>AE24*(1+'Unit Costs and Indicators'!$D$145%)</f>
        <v>2651.5151515151515</v>
      </c>
      <c r="AG24" s="284">
        <f>AF24*(1+'Unit Costs and Indicators'!$D$145%)</f>
        <v>2651.5151515151515</v>
      </c>
      <c r="AH24" s="284">
        <f>AG24*(1+'Unit Costs and Indicators'!$D$145%)</f>
        <v>2651.5151515151515</v>
      </c>
      <c r="AI24" s="284">
        <f>AH24*(1+'Unit Costs and Indicators'!$D$145%)</f>
        <v>2651.5151515151515</v>
      </c>
      <c r="AJ24" s="284">
        <f>AI24*(1+'Unit Costs and Indicators'!$D$145%)</f>
        <v>2651.5151515151515</v>
      </c>
      <c r="AK24" s="284">
        <f>AJ24*(1+'Unit Costs and Indicators'!$D$145%)</f>
        <v>2651.5151515151515</v>
      </c>
      <c r="AL24" s="284">
        <f>AK24*(1+'Unit Costs and Indicators'!$D$145%)</f>
        <v>2651.5151515151515</v>
      </c>
      <c r="AM24" s="284">
        <f>AL24*(1+'Unit Costs and Indicators'!$D$145%)</f>
        <v>2651.5151515151515</v>
      </c>
      <c r="AN24" s="284">
        <f>AM24*(1+'Unit Costs and Indicators'!$D$145%)</f>
        <v>2651.5151515151515</v>
      </c>
      <c r="AO24" s="284">
        <f>AN24*(1+'Unit Costs and Indicators'!$D$145%)</f>
        <v>2651.5151515151515</v>
      </c>
      <c r="AP24" s="284">
        <f>AO24*(1+'Unit Costs and Indicators'!$D$145%)</f>
        <v>2651.5151515151515</v>
      </c>
      <c r="AQ24" s="284">
        <f>AP24*(1+'Unit Costs and Indicators'!$D$145%)</f>
        <v>2651.5151515151515</v>
      </c>
      <c r="AR24" s="284">
        <f>AQ24*(1+'Unit Costs and Indicators'!$D$145%)</f>
        <v>2651.5151515151515</v>
      </c>
      <c r="AS24" s="284">
        <f>AR24*(1+'Unit Costs and Indicators'!$D$145%)</f>
        <v>2651.5151515151515</v>
      </c>
      <c r="AT24" s="284">
        <f>AS24*(1+'Unit Costs and Indicators'!$D$145%)</f>
        <v>2651.5151515151515</v>
      </c>
      <c r="AU24" s="284">
        <f>AT24*(1+'Unit Costs and Indicators'!$D$145%)</f>
        <v>2651.5151515151515</v>
      </c>
      <c r="AV24" s="284">
        <f>AU24*(1+'Unit Costs and Indicators'!$D$145%)</f>
        <v>2651.5151515151515</v>
      </c>
      <c r="AW24" s="284">
        <f>AV24*(1+'Unit Costs and Indicators'!$D$145%)</f>
        <v>2651.5151515151515</v>
      </c>
      <c r="AX24" s="284">
        <f>AW24*(1+'Unit Costs and Indicators'!$D$145%)</f>
        <v>2651.5151515151515</v>
      </c>
      <c r="AY24" s="284">
        <f>AX24*(1+'Unit Costs and Indicators'!$D$145%)</f>
        <v>2651.5151515151515</v>
      </c>
      <c r="AZ24" s="284">
        <f>AY24*(1+'Unit Costs and Indicators'!$D$145%)</f>
        <v>2651.5151515151515</v>
      </c>
      <c r="BA24" s="284">
        <f>AZ24*(1+'Unit Costs and Indicators'!$D$145%)</f>
        <v>2651.5151515151515</v>
      </c>
      <c r="BB24" s="284">
        <f>BA24*(1+'Unit Costs and Indicators'!$D$145%)</f>
        <v>2651.5151515151515</v>
      </c>
      <c r="BC24" s="284">
        <f>BB24*(1+'Unit Costs and Indicators'!$D$145%)</f>
        <v>2651.5151515151515</v>
      </c>
      <c r="BD24" s="284">
        <f>BC24*(1+'Unit Costs and Indicators'!$D$145%)</f>
        <v>2651.5151515151515</v>
      </c>
      <c r="BE24" s="284">
        <f>BD24*(1+'Unit Costs and Indicators'!$D$145%)</f>
        <v>2651.5151515151515</v>
      </c>
      <c r="BF24" s="284">
        <f>BE24*(1+'Unit Costs and Indicators'!$D$145%)</f>
        <v>2651.5151515151515</v>
      </c>
      <c r="BG24" s="284">
        <f>BF24*(1+'Unit Costs and Indicators'!$D$145%)</f>
        <v>2651.5151515151515</v>
      </c>
      <c r="BH24" s="284">
        <f>BG24*(1+'Unit Costs and Indicators'!$D$145%)</f>
        <v>2651.5151515151515</v>
      </c>
      <c r="BI24" s="284">
        <f>BH24*(1+'Unit Costs and Indicators'!$D$145%)</f>
        <v>2651.5151515151515</v>
      </c>
      <c r="BJ24" s="284">
        <f>BI24*(1+'Unit Costs and Indicators'!$D$145%)</f>
        <v>2651.5151515151515</v>
      </c>
      <c r="BK24" s="284">
        <f>BJ24*(1+'Unit Costs and Indicators'!$D$145%)</f>
        <v>2651.5151515151515</v>
      </c>
      <c r="BL24" s="284">
        <f>BK24*(1+'Unit Costs and Indicators'!$D$145%)</f>
        <v>2651.5151515151515</v>
      </c>
      <c r="BM24" s="284">
        <f>BL24*(1+'Unit Costs and Indicators'!$D$145%)</f>
        <v>2651.5151515151515</v>
      </c>
      <c r="BN24" s="284">
        <f>BM24*(1+'Unit Costs and Indicators'!$D$145%)</f>
        <v>2651.5151515151515</v>
      </c>
      <c r="BO24" s="284">
        <f>BN24*(1+'Unit Costs and Indicators'!$D$145%)</f>
        <v>2651.5151515151515</v>
      </c>
      <c r="BP24" s="284">
        <f>BO24*(1+'Unit Costs and Indicators'!$D$145%)</f>
        <v>2651.5151515151515</v>
      </c>
      <c r="BQ24" s="284">
        <f>BP24*(1+'Unit Costs and Indicators'!$D$145%)</f>
        <v>2651.5151515151515</v>
      </c>
      <c r="BR24" s="284">
        <f>BQ24*(1+'Unit Costs and Indicators'!$D$145%)</f>
        <v>2651.5151515151515</v>
      </c>
      <c r="BS24" s="284">
        <f>BR24*(1+'Unit Costs and Indicators'!$D$145%)</f>
        <v>2651.5151515151515</v>
      </c>
      <c r="BT24" s="284">
        <f>BS24*(1+'Unit Costs and Indicators'!$D$145%)</f>
        <v>2651.5151515151515</v>
      </c>
      <c r="BU24" s="284">
        <f>BT24*(1+'Unit Costs and Indicators'!$D$145%)</f>
        <v>2651.5151515151515</v>
      </c>
      <c r="BV24" s="284">
        <f>BU24*(1+'Unit Costs and Indicators'!$D$145%)</f>
        <v>2651.5151515151515</v>
      </c>
      <c r="BW24" s="284">
        <f>BV24*(1+'Unit Costs and Indicators'!$D$145%)</f>
        <v>2651.5151515151515</v>
      </c>
      <c r="BX24" s="284">
        <f>BW24*(1+'Unit Costs and Indicators'!$D$145%)</f>
        <v>2651.5151515151515</v>
      </c>
      <c r="BY24" s="284">
        <f>BX24*(1+'Unit Costs and Indicators'!$D$145%)</f>
        <v>2651.5151515151515</v>
      </c>
      <c r="BZ24" s="284">
        <f>BY24*(1+'Unit Costs and Indicators'!$D$145%)</f>
        <v>2651.5151515151515</v>
      </c>
      <c r="CA24" s="284">
        <f>BZ24*(1+'Unit Costs and Indicators'!$D$145%)</f>
        <v>2651.5151515151515</v>
      </c>
      <c r="CB24" s="284">
        <f>CA24*(1+'Unit Costs and Indicators'!$D$145%)</f>
        <v>2651.5151515151515</v>
      </c>
      <c r="CC24" s="284">
        <f>CB24*(1+'Unit Costs and Indicators'!$D$145%)</f>
        <v>2651.5151515151515</v>
      </c>
      <c r="CD24" s="284">
        <f>CC24*(1+'Unit Costs and Indicators'!$D$145%)</f>
        <v>2651.5151515151515</v>
      </c>
      <c r="CE24" s="284">
        <f>CD24*(1+'Unit Costs and Indicators'!$D$145%)</f>
        <v>2651.5151515151515</v>
      </c>
      <c r="CF24" s="284">
        <f>CE24*(1+'Unit Costs and Indicators'!$D$145%)</f>
        <v>2651.5151515151515</v>
      </c>
      <c r="CG24" s="284">
        <f>CF24*(1+'Unit Costs and Indicators'!$D$145%)</f>
        <v>2651.5151515151515</v>
      </c>
      <c r="CH24" s="284">
        <f>CG24*(1+'Unit Costs and Indicators'!$D$145%)</f>
        <v>2651.5151515151515</v>
      </c>
      <c r="CI24" s="284">
        <f>CH24*(1+'Unit Costs and Indicators'!$D$145%)</f>
        <v>2651.5151515151515</v>
      </c>
      <c r="CJ24" s="284">
        <f>CI24*(1+'Unit Costs and Indicators'!$D$145%)</f>
        <v>2651.5151515151515</v>
      </c>
      <c r="CK24" s="284">
        <f>CJ24*(1+'Unit Costs and Indicators'!$D$145%)</f>
        <v>2651.5151515151515</v>
      </c>
      <c r="CL24" s="284">
        <f>CK24*(1+'Unit Costs and Indicators'!$D$145%)</f>
        <v>2651.5151515151515</v>
      </c>
      <c r="CM24" s="284">
        <f>CL24*(1+'Unit Costs and Indicators'!$D$145%)</f>
        <v>2651.5151515151515</v>
      </c>
      <c r="CN24" s="284">
        <f>CM24*(1+'Unit Costs and Indicators'!$D$145%)</f>
        <v>2651.5151515151515</v>
      </c>
      <c r="CO24" s="284">
        <f>CN24*(1+'Unit Costs and Indicators'!$D$145%)</f>
        <v>2651.5151515151515</v>
      </c>
      <c r="CP24" s="284">
        <f>CO24*(1+'Unit Costs and Indicators'!$D$145%)</f>
        <v>2651.5151515151515</v>
      </c>
      <c r="CQ24" s="284">
        <f>CP24*(1+'Unit Costs and Indicators'!$D$145%)</f>
        <v>2651.5151515151515</v>
      </c>
      <c r="CR24" s="284">
        <f>CQ24*(1+'Unit Costs and Indicators'!$D$145%)</f>
        <v>2651.5151515151515</v>
      </c>
      <c r="CS24" s="284">
        <f>CR24*(1+'Unit Costs and Indicators'!$D$145%)</f>
        <v>2651.5151515151515</v>
      </c>
      <c r="CT24" s="284">
        <f>CS24*(1+'Unit Costs and Indicators'!$D$145%)</f>
        <v>2651.5151515151515</v>
      </c>
      <c r="CU24" s="284">
        <f>CT24*(1+'Unit Costs and Indicators'!$D$145%)</f>
        <v>2651.5151515151515</v>
      </c>
      <c r="CV24" s="284">
        <f>CU24*(1+'Unit Costs and Indicators'!$D$145%)</f>
        <v>2651.5151515151515</v>
      </c>
      <c r="CW24" s="284">
        <f>CV24*(1+'Unit Costs and Indicators'!$D$145%)</f>
        <v>2651.5151515151515</v>
      </c>
      <c r="CX24" s="284">
        <f>CW24*(1+'Unit Costs and Indicators'!$D$145%)</f>
        <v>2651.5151515151515</v>
      </c>
      <c r="CY24" s="284">
        <f>CX24*(1+'Unit Costs and Indicators'!$D$145%)</f>
        <v>2651.5151515151515</v>
      </c>
      <c r="CZ24" s="284">
        <f>CY24*(1+'Unit Costs and Indicators'!$D$145%)</f>
        <v>2651.5151515151515</v>
      </c>
      <c r="DA24" s="284">
        <f>CZ24*(1+'Unit Costs and Indicators'!$D$145%)</f>
        <v>2651.5151515151515</v>
      </c>
      <c r="DB24" s="284">
        <f>DA24*(1+'Unit Costs and Indicators'!$D$145%)</f>
        <v>2651.5151515151515</v>
      </c>
      <c r="DC24" s="284">
        <f>DB24*(1+'Unit Costs and Indicators'!$D$145%)</f>
        <v>2651.5151515151515</v>
      </c>
      <c r="DD24" s="284">
        <f>DC24*(1+'Unit Costs and Indicators'!$D$145%)</f>
        <v>2651.5151515151515</v>
      </c>
      <c r="DE24" s="284">
        <f>DD24*(1+'Unit Costs and Indicators'!$D$145%)</f>
        <v>2651.5151515151515</v>
      </c>
      <c r="DF24" s="279"/>
      <c r="DG24" s="279"/>
      <c r="DH24" s="279"/>
      <c r="DI24" s="279"/>
      <c r="DJ24" s="279"/>
      <c r="DK24" s="279"/>
      <c r="DL24" s="279"/>
    </row>
    <row r="25" spans="1:116" ht="15.75" customHeight="1" x14ac:dyDescent="0.25">
      <c r="A25" s="751"/>
      <c r="B25" s="751"/>
      <c r="C25" s="321" t="s">
        <v>381</v>
      </c>
      <c r="D25" s="322"/>
      <c r="E25" s="506"/>
      <c r="F25" s="506"/>
      <c r="G25" s="279"/>
      <c r="H25" s="507"/>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4"/>
      <c r="BG25" s="284"/>
      <c r="BH25" s="284"/>
      <c r="BI25" s="284"/>
      <c r="BJ25" s="284"/>
      <c r="BK25" s="284"/>
      <c r="BL25" s="284"/>
      <c r="BM25" s="284"/>
      <c r="BN25" s="284"/>
      <c r="BO25" s="284"/>
      <c r="BP25" s="284"/>
      <c r="BQ25" s="284"/>
      <c r="BR25" s="284"/>
      <c r="BS25" s="284"/>
      <c r="BT25" s="284"/>
      <c r="BU25" s="284"/>
      <c r="BV25" s="284"/>
      <c r="BW25" s="284"/>
      <c r="BX25" s="284"/>
      <c r="BY25" s="284"/>
      <c r="BZ25" s="284"/>
      <c r="CA25" s="284"/>
      <c r="CB25" s="284"/>
      <c r="CC25" s="284"/>
      <c r="CD25" s="284"/>
      <c r="CE25" s="284"/>
      <c r="CF25" s="284"/>
      <c r="CG25" s="284"/>
      <c r="CH25" s="284"/>
      <c r="CI25" s="284"/>
      <c r="CJ25" s="284"/>
      <c r="CK25" s="284"/>
      <c r="CL25" s="284"/>
      <c r="CM25" s="284"/>
      <c r="CN25" s="284"/>
      <c r="CO25" s="284"/>
      <c r="CP25" s="284"/>
      <c r="CQ25" s="284"/>
      <c r="CR25" s="284"/>
      <c r="CS25" s="284"/>
      <c r="CT25" s="284"/>
      <c r="CU25" s="284"/>
      <c r="CV25" s="284"/>
      <c r="CW25" s="284"/>
      <c r="CX25" s="284"/>
      <c r="CY25" s="284"/>
      <c r="CZ25" s="284"/>
      <c r="DA25" s="284"/>
      <c r="DB25" s="284"/>
      <c r="DC25" s="284"/>
      <c r="DD25" s="284"/>
      <c r="DE25" s="284"/>
      <c r="DF25" s="279"/>
      <c r="DG25" s="279"/>
      <c r="DH25" s="279"/>
      <c r="DI25" s="279"/>
      <c r="DJ25" s="279"/>
      <c r="DK25" s="279"/>
      <c r="DL25" s="279"/>
    </row>
    <row r="26" spans="1:116" ht="15.75" customHeight="1" x14ac:dyDescent="0.25">
      <c r="A26" s="751"/>
      <c r="B26" s="751"/>
      <c r="C26" s="321" t="s">
        <v>382</v>
      </c>
      <c r="D26" s="324" t="s">
        <v>383</v>
      </c>
      <c r="E26" s="506" t="s">
        <v>384</v>
      </c>
      <c r="F26" s="506"/>
      <c r="G26" s="4">
        <f>1.1/(100)</f>
        <v>1.1000000000000001E-2</v>
      </c>
      <c r="H26" s="325">
        <f>'Unit Costs and Indicators'!$L$10*H24*0.011</f>
        <v>2.4411571523313942E-3</v>
      </c>
      <c r="I26" s="326">
        <f>'Unit Costs and Indicators'!$L$10*I24*0.011</f>
        <v>2.4411571523313942E-3</v>
      </c>
      <c r="J26" s="326">
        <f>'Unit Costs and Indicators'!$L$10*J24*0.011</f>
        <v>2.4411571523313942E-3</v>
      </c>
      <c r="K26" s="326">
        <f>'Unit Costs and Indicators'!$L$10*K24*0.011</f>
        <v>2.4411571523313942E-3</v>
      </c>
      <c r="L26" s="326">
        <f>'Unit Costs and Indicators'!$L$10*L24*0.011</f>
        <v>2.4411571523313942E-3</v>
      </c>
      <c r="M26" s="326">
        <f>'Unit Costs and Indicators'!$L$10*M24*0.011</f>
        <v>2.4411571523313942E-3</v>
      </c>
      <c r="N26" s="326">
        <f>'Unit Costs and Indicators'!$L$10*N24*0.011</f>
        <v>2.4411571523313942E-3</v>
      </c>
      <c r="O26" s="326">
        <f>'Unit Costs and Indicators'!$L$10*O24*0.011</f>
        <v>2.4411571523313942E-3</v>
      </c>
      <c r="P26" s="326">
        <f>'Unit Costs and Indicators'!$L$10*P24*0.011</f>
        <v>2.4411571523313942E-3</v>
      </c>
      <c r="Q26" s="326">
        <f>'Unit Costs and Indicators'!$L$10*Q24*0.011</f>
        <v>2.4411571523313942E-3</v>
      </c>
      <c r="R26" s="326">
        <f>'Unit Costs and Indicators'!$L$10*R24*0.011</f>
        <v>2.4411571523313942E-3</v>
      </c>
      <c r="S26" s="326">
        <f>'Unit Costs and Indicators'!$L$10*S24*0.011</f>
        <v>2.4411571523313942E-3</v>
      </c>
      <c r="T26" s="326">
        <f>'Unit Costs and Indicators'!$L$10*T24*0.011</f>
        <v>2.4411571523313942E-3</v>
      </c>
      <c r="U26" s="326">
        <f>'Unit Costs and Indicators'!$L$10*U24*0.011</f>
        <v>2.4411571523313942E-3</v>
      </c>
      <c r="V26" s="326">
        <f>'Unit Costs and Indicators'!$L$10*V24*0.011</f>
        <v>2.4411571523313942E-3</v>
      </c>
      <c r="W26" s="326">
        <f>'Unit Costs and Indicators'!$L$10*W24*0.011</f>
        <v>2.4411571523313942E-3</v>
      </c>
      <c r="X26" s="326">
        <f>'Unit Costs and Indicators'!$L$10*X24*0.011</f>
        <v>2.4411571523313942E-3</v>
      </c>
      <c r="Y26" s="326">
        <f>'Unit Costs and Indicators'!$L$10*Y24*0.011</f>
        <v>2.4411571523313942E-3</v>
      </c>
      <c r="Z26" s="326">
        <f>'Unit Costs and Indicators'!$L$10*Z24*0.011</f>
        <v>2.4411571523313942E-3</v>
      </c>
      <c r="AA26" s="326">
        <f>'Unit Costs and Indicators'!$L$10*AA24*0.011</f>
        <v>2.4411571523313942E-3</v>
      </c>
      <c r="AB26" s="326">
        <f>'Unit Costs and Indicators'!$L$10*AB24*0.011</f>
        <v>2.4411571523313942E-3</v>
      </c>
      <c r="AC26" s="326">
        <f>'Unit Costs and Indicators'!$L$10*AC24*0.011</f>
        <v>2.4411571523313942E-3</v>
      </c>
      <c r="AD26" s="326">
        <f>'Unit Costs and Indicators'!$L$10*AD24*0.011</f>
        <v>2.4411571523313942E-3</v>
      </c>
      <c r="AE26" s="326">
        <f>'Unit Costs and Indicators'!$L$10*AE24*0.011</f>
        <v>2.4411571523313942E-3</v>
      </c>
      <c r="AF26" s="326">
        <f>'Unit Costs and Indicators'!$L$10*AF24*0.011</f>
        <v>2.4411571523313942E-3</v>
      </c>
      <c r="AG26" s="326">
        <f>'Unit Costs and Indicators'!$L$10*AG24*0.011</f>
        <v>2.4411571523313942E-3</v>
      </c>
      <c r="AH26" s="326">
        <f>'Unit Costs and Indicators'!$L$10*AH24*0.011</f>
        <v>2.4411571523313942E-3</v>
      </c>
      <c r="AI26" s="326">
        <f>'Unit Costs and Indicators'!$L$10*AI24*0.011</f>
        <v>2.4411571523313942E-3</v>
      </c>
      <c r="AJ26" s="326">
        <f>'Unit Costs and Indicators'!$L$10*AJ24*0.011</f>
        <v>2.4411571523313942E-3</v>
      </c>
      <c r="AK26" s="326">
        <f>'Unit Costs and Indicators'!$L$10*AK24*0.011</f>
        <v>2.4411571523313942E-3</v>
      </c>
      <c r="AL26" s="326">
        <f>'Unit Costs and Indicators'!$L$10*AL24*0.011</f>
        <v>2.4411571523313942E-3</v>
      </c>
      <c r="AM26" s="326">
        <f>'Unit Costs and Indicators'!$L$10*AM24*0.011</f>
        <v>2.4411571523313942E-3</v>
      </c>
      <c r="AN26" s="326">
        <f>'Unit Costs and Indicators'!$L$10*AN24*0.011</f>
        <v>2.4411571523313942E-3</v>
      </c>
      <c r="AO26" s="326">
        <f>'Unit Costs and Indicators'!$L$10*AO24*0.011</f>
        <v>2.4411571523313942E-3</v>
      </c>
      <c r="AP26" s="326">
        <f>'Unit Costs and Indicators'!$L$10*AP24*0.011</f>
        <v>2.4411571523313942E-3</v>
      </c>
      <c r="AQ26" s="326">
        <f>'Unit Costs and Indicators'!$L$10*AQ24*0.011</f>
        <v>2.4411571523313942E-3</v>
      </c>
      <c r="AR26" s="326">
        <f>'Unit Costs and Indicators'!$L$10*AR24*0.011</f>
        <v>2.4411571523313942E-3</v>
      </c>
      <c r="AS26" s="326">
        <f>'Unit Costs and Indicators'!$L$10*AS24*0.011</f>
        <v>2.4411571523313942E-3</v>
      </c>
      <c r="AT26" s="326">
        <f>'Unit Costs and Indicators'!$L$10*AT24*0.011</f>
        <v>2.4411571523313942E-3</v>
      </c>
      <c r="AU26" s="326">
        <f>'Unit Costs and Indicators'!$L$10*AU24*0.011</f>
        <v>2.4411571523313942E-3</v>
      </c>
      <c r="AV26" s="326">
        <f>'Unit Costs and Indicators'!$L$10*AV24*0.011</f>
        <v>2.4411571523313942E-3</v>
      </c>
      <c r="AW26" s="326">
        <f>'Unit Costs and Indicators'!$L$10*AW24*0.011</f>
        <v>2.4411571523313942E-3</v>
      </c>
      <c r="AX26" s="326">
        <f>'Unit Costs and Indicators'!$L$10*AX24*0.011</f>
        <v>2.4411571523313942E-3</v>
      </c>
      <c r="AY26" s="326">
        <f>'Unit Costs and Indicators'!$L$10*AY24*0.011</f>
        <v>2.4411571523313942E-3</v>
      </c>
      <c r="AZ26" s="326">
        <f>'Unit Costs and Indicators'!$L$10*AZ24*0.011</f>
        <v>2.4411571523313942E-3</v>
      </c>
      <c r="BA26" s="326">
        <f>'Unit Costs and Indicators'!$L$10*BA24*0.011</f>
        <v>2.4411571523313942E-3</v>
      </c>
      <c r="BB26" s="326">
        <f>'Unit Costs and Indicators'!$L$10*BB24*0.011</f>
        <v>2.4411571523313942E-3</v>
      </c>
      <c r="BC26" s="326">
        <f>'Unit Costs and Indicators'!$L$10*BC24*0.011</f>
        <v>2.4411571523313942E-3</v>
      </c>
      <c r="BD26" s="326">
        <f>'Unit Costs and Indicators'!$L$10*BD24*0.011</f>
        <v>2.4411571523313942E-3</v>
      </c>
      <c r="BE26" s="326">
        <f>'Unit Costs and Indicators'!$L$10*BE24*0.011</f>
        <v>2.4411571523313942E-3</v>
      </c>
      <c r="BF26" s="326">
        <f>'Unit Costs and Indicators'!$L$10*BF24*0.011</f>
        <v>2.4411571523313942E-3</v>
      </c>
      <c r="BG26" s="326">
        <f>'Unit Costs and Indicators'!$L$10*BG24*0.011</f>
        <v>2.4411571523313942E-3</v>
      </c>
      <c r="BH26" s="326">
        <f>'Unit Costs and Indicators'!$L$10*BH24*0.011</f>
        <v>2.4411571523313942E-3</v>
      </c>
      <c r="BI26" s="326">
        <f>'Unit Costs and Indicators'!$L$10*BI24*0.011</f>
        <v>2.4411571523313942E-3</v>
      </c>
      <c r="BJ26" s="326">
        <f>'Unit Costs and Indicators'!$L$10*BJ24*0.011</f>
        <v>2.4411571523313942E-3</v>
      </c>
      <c r="BK26" s="326">
        <f>'Unit Costs and Indicators'!$L$10*BK24*0.011</f>
        <v>2.4411571523313942E-3</v>
      </c>
      <c r="BL26" s="326">
        <f>'Unit Costs and Indicators'!$L$10*BL24*0.011</f>
        <v>2.4411571523313942E-3</v>
      </c>
      <c r="BM26" s="326">
        <f>'Unit Costs and Indicators'!$L$10*BM24*0.011</f>
        <v>2.4411571523313942E-3</v>
      </c>
      <c r="BN26" s="326">
        <f>'Unit Costs and Indicators'!$L$10*BN24*0.011</f>
        <v>2.4411571523313942E-3</v>
      </c>
      <c r="BO26" s="326">
        <f>'Unit Costs and Indicators'!$L$10*BO24*0.011</f>
        <v>2.4411571523313942E-3</v>
      </c>
      <c r="BP26" s="326">
        <f>'Unit Costs and Indicators'!$L$10*BP24*0.011</f>
        <v>2.4411571523313942E-3</v>
      </c>
      <c r="BQ26" s="326">
        <f>'Unit Costs and Indicators'!$L$10*BQ24*0.011</f>
        <v>2.4411571523313942E-3</v>
      </c>
      <c r="BR26" s="326">
        <f>'Unit Costs and Indicators'!$L$10*BR24*0.011</f>
        <v>2.4411571523313942E-3</v>
      </c>
      <c r="BS26" s="326">
        <f>'Unit Costs and Indicators'!$L$10*BS24*0.011</f>
        <v>2.4411571523313942E-3</v>
      </c>
      <c r="BT26" s="326">
        <f>'Unit Costs and Indicators'!$L$10*BT24*0.011</f>
        <v>2.4411571523313942E-3</v>
      </c>
      <c r="BU26" s="326">
        <f>'Unit Costs and Indicators'!$L$10*BU24*0.011</f>
        <v>2.4411571523313942E-3</v>
      </c>
      <c r="BV26" s="326">
        <f>'Unit Costs and Indicators'!$L$10*BV24*0.011</f>
        <v>2.4411571523313942E-3</v>
      </c>
      <c r="BW26" s="326">
        <f>'Unit Costs and Indicators'!$L$10*BW24*0.011</f>
        <v>2.4411571523313942E-3</v>
      </c>
      <c r="BX26" s="326">
        <f>'Unit Costs and Indicators'!$L$10*BX24*0.011</f>
        <v>2.4411571523313942E-3</v>
      </c>
      <c r="BY26" s="326">
        <f>'Unit Costs and Indicators'!$L$10*BY24*0.011</f>
        <v>2.4411571523313942E-3</v>
      </c>
      <c r="BZ26" s="326">
        <f>'Unit Costs and Indicators'!$L$10*BZ24*0.011</f>
        <v>2.4411571523313942E-3</v>
      </c>
      <c r="CA26" s="326">
        <f>'Unit Costs and Indicators'!$L$10*CA24*0.011</f>
        <v>2.4411571523313942E-3</v>
      </c>
      <c r="CB26" s="326">
        <f>'Unit Costs and Indicators'!$L$10*CB24*0.011</f>
        <v>2.4411571523313942E-3</v>
      </c>
      <c r="CC26" s="326">
        <f>'Unit Costs and Indicators'!$L$10*CC24*0.011</f>
        <v>2.4411571523313942E-3</v>
      </c>
      <c r="CD26" s="326">
        <f>'Unit Costs and Indicators'!$L$10*CD24*0.011</f>
        <v>2.4411571523313942E-3</v>
      </c>
      <c r="CE26" s="326">
        <f>'Unit Costs and Indicators'!$L$10*CE24*0.011</f>
        <v>2.4411571523313942E-3</v>
      </c>
      <c r="CF26" s="326">
        <f>'Unit Costs and Indicators'!$L$10*CF24*0.011</f>
        <v>2.4411571523313942E-3</v>
      </c>
      <c r="CG26" s="326">
        <f>'Unit Costs and Indicators'!$L$10*CG24*0.011</f>
        <v>2.4411571523313942E-3</v>
      </c>
      <c r="CH26" s="326">
        <f>'Unit Costs and Indicators'!$L$10*CH24*0.011</f>
        <v>2.4411571523313942E-3</v>
      </c>
      <c r="CI26" s="326">
        <f>'Unit Costs and Indicators'!$L$10*CI24*0.011</f>
        <v>2.4411571523313942E-3</v>
      </c>
      <c r="CJ26" s="326">
        <f>'Unit Costs and Indicators'!$L$10*CJ24*0.011</f>
        <v>2.4411571523313942E-3</v>
      </c>
      <c r="CK26" s="326">
        <f>'Unit Costs and Indicators'!$L$10*CK24*0.011</f>
        <v>2.4411571523313942E-3</v>
      </c>
      <c r="CL26" s="326">
        <f>'Unit Costs and Indicators'!$L$10*CL24*0.011</f>
        <v>2.4411571523313942E-3</v>
      </c>
      <c r="CM26" s="326">
        <f>'Unit Costs and Indicators'!$L$10*CM24*0.011</f>
        <v>2.4411571523313942E-3</v>
      </c>
      <c r="CN26" s="326">
        <f>'Unit Costs and Indicators'!$L$10*CN24*0.011</f>
        <v>2.4411571523313942E-3</v>
      </c>
      <c r="CO26" s="326">
        <f>'Unit Costs and Indicators'!$L$10*CO24*0.011</f>
        <v>2.4411571523313942E-3</v>
      </c>
      <c r="CP26" s="326">
        <f>'Unit Costs and Indicators'!$L$10*CP24*0.011</f>
        <v>2.4411571523313942E-3</v>
      </c>
      <c r="CQ26" s="326">
        <f>'Unit Costs and Indicators'!$L$10*CQ24*0.011</f>
        <v>2.4411571523313942E-3</v>
      </c>
      <c r="CR26" s="326">
        <f>'Unit Costs and Indicators'!$L$10*CR24*0.011</f>
        <v>2.4411571523313942E-3</v>
      </c>
      <c r="CS26" s="326">
        <f>'Unit Costs and Indicators'!$L$10*CS24*0.011</f>
        <v>2.4411571523313942E-3</v>
      </c>
      <c r="CT26" s="326">
        <f>'Unit Costs and Indicators'!$L$10*CT24*0.011</f>
        <v>2.4411571523313942E-3</v>
      </c>
      <c r="CU26" s="326">
        <f>'Unit Costs and Indicators'!$L$10*CU24*0.011</f>
        <v>2.4411571523313942E-3</v>
      </c>
      <c r="CV26" s="326">
        <f>'Unit Costs and Indicators'!$L$10*CV24*0.011</f>
        <v>2.4411571523313942E-3</v>
      </c>
      <c r="CW26" s="326">
        <f>'Unit Costs and Indicators'!$L$10*CW24*0.011</f>
        <v>2.4411571523313942E-3</v>
      </c>
      <c r="CX26" s="326">
        <f>'Unit Costs and Indicators'!$L$10*CX24*0.011</f>
        <v>2.4411571523313942E-3</v>
      </c>
      <c r="CY26" s="326">
        <f>'Unit Costs and Indicators'!$L$10*CY24*0.011</f>
        <v>2.4411571523313942E-3</v>
      </c>
      <c r="CZ26" s="326">
        <f>'Unit Costs and Indicators'!$L$10*CZ24*0.011</f>
        <v>2.4411571523313942E-3</v>
      </c>
      <c r="DA26" s="326">
        <f>'Unit Costs and Indicators'!$L$10*DA24*0.011</f>
        <v>2.4411571523313942E-3</v>
      </c>
      <c r="DB26" s="326">
        <f>'Unit Costs and Indicators'!$L$10*DB24*0.011</f>
        <v>2.4411571523313942E-3</v>
      </c>
      <c r="DC26" s="326">
        <f>'Unit Costs and Indicators'!$L$10*DC24*0.011</f>
        <v>2.4411571523313942E-3</v>
      </c>
      <c r="DD26" s="326">
        <f>'Unit Costs and Indicators'!$L$10*DD24*0.011</f>
        <v>2.4411571523313942E-3</v>
      </c>
      <c r="DE26" s="326">
        <f>'Unit Costs and Indicators'!$L$10*DE24*0.011</f>
        <v>2.4411571523313942E-3</v>
      </c>
      <c r="DF26" s="326"/>
      <c r="DG26" s="326"/>
      <c r="DH26" s="326"/>
      <c r="DI26" s="326"/>
      <c r="DJ26" s="326"/>
      <c r="DK26" s="326"/>
      <c r="DL26" s="326"/>
    </row>
    <row r="27" spans="1:116" ht="15.75" customHeight="1" x14ac:dyDescent="0.25">
      <c r="A27" s="751"/>
      <c r="B27" s="751"/>
      <c r="C27" s="321" t="s">
        <v>253</v>
      </c>
      <c r="D27" s="3"/>
      <c r="E27" s="492" t="s">
        <v>230</v>
      </c>
      <c r="F27" s="493"/>
      <c r="G27" s="327">
        <v>5.4</v>
      </c>
      <c r="H27" s="302">
        <v>5.4</v>
      </c>
      <c r="I27" s="303">
        <f>H27*(1+'Unit Costs and Indicators'!$D$136)</f>
        <v>5.4</v>
      </c>
      <c r="J27" s="303">
        <f>I27*(1+'Unit Costs and Indicators'!$D$136)</f>
        <v>5.4</v>
      </c>
      <c r="K27" s="303">
        <f>J27*(1+'Unit Costs and Indicators'!$D$136)</f>
        <v>5.4</v>
      </c>
      <c r="L27" s="303">
        <f>K27*(1+'Unit Costs and Indicators'!$D$136)</f>
        <v>5.4</v>
      </c>
      <c r="M27" s="303">
        <f>L27*(1+'Unit Costs and Indicators'!$D$136)</f>
        <v>5.4</v>
      </c>
      <c r="N27" s="303">
        <f>M27*(1+'Unit Costs and Indicators'!$D$136)</f>
        <v>5.4</v>
      </c>
      <c r="O27" s="303">
        <f>N27*(1+'Unit Costs and Indicators'!$D$136)</f>
        <v>5.4</v>
      </c>
      <c r="P27" s="303">
        <f>O27*(1+'Unit Costs and Indicators'!$D$136)</f>
        <v>5.4</v>
      </c>
      <c r="Q27" s="303">
        <f>P27*(1+'Unit Costs and Indicators'!$D$136)</f>
        <v>5.4</v>
      </c>
      <c r="R27" s="303">
        <f>Q27*(1+'Unit Costs and Indicators'!$D$136)</f>
        <v>5.4</v>
      </c>
      <c r="S27" s="303">
        <f>R27*(1+'Unit Costs and Indicators'!$D$136)</f>
        <v>5.4</v>
      </c>
      <c r="T27" s="303">
        <f>S27*(1+'Unit Costs and Indicators'!$D$136)</f>
        <v>5.4</v>
      </c>
      <c r="U27" s="303">
        <f>T27*(1+'Unit Costs and Indicators'!$D$136)</f>
        <v>5.4</v>
      </c>
      <c r="V27" s="303">
        <f>U27*(1+'Unit Costs and Indicators'!$D$136)</f>
        <v>5.4</v>
      </c>
      <c r="W27" s="303">
        <f>V27*(1+'Unit Costs and Indicators'!$D$136)</f>
        <v>5.4</v>
      </c>
      <c r="X27" s="303">
        <f>W27*(1+'Unit Costs and Indicators'!$D$136)</f>
        <v>5.4</v>
      </c>
      <c r="Y27" s="303">
        <f>X27*(1+'Unit Costs and Indicators'!$D$136)</f>
        <v>5.4</v>
      </c>
      <c r="Z27" s="303">
        <f>Y27*(1+'Unit Costs and Indicators'!$D$136)</f>
        <v>5.4</v>
      </c>
      <c r="AA27" s="303">
        <f>Z27*(1+'Unit Costs and Indicators'!$D$136)</f>
        <v>5.4</v>
      </c>
      <c r="AB27" s="303">
        <f>AA27*(1+'Unit Costs and Indicators'!$D$136)</f>
        <v>5.4</v>
      </c>
      <c r="AC27" s="303">
        <f>AB27*(1+'Unit Costs and Indicators'!$D$136)</f>
        <v>5.4</v>
      </c>
      <c r="AD27" s="303">
        <f>AC27*(1+'Unit Costs and Indicators'!$D$136)</f>
        <v>5.4</v>
      </c>
      <c r="AE27" s="303">
        <f>AD27*(1+'Unit Costs and Indicators'!$D$136)</f>
        <v>5.4</v>
      </c>
      <c r="AF27" s="303">
        <f>AE27*(1+'Unit Costs and Indicators'!$D$136)</f>
        <v>5.4</v>
      </c>
      <c r="AG27" s="303">
        <f>AF27*(1+'Unit Costs and Indicators'!$D$136)</f>
        <v>5.4</v>
      </c>
      <c r="AH27" s="303">
        <f>AG27*(1+'Unit Costs and Indicators'!$D$136)</f>
        <v>5.4</v>
      </c>
      <c r="AI27" s="303">
        <f>AH27*(1+'Unit Costs and Indicators'!$D$136)</f>
        <v>5.4</v>
      </c>
      <c r="AJ27" s="303">
        <f>AI27*(1+'Unit Costs and Indicators'!$D$136)</f>
        <v>5.4</v>
      </c>
      <c r="AK27" s="303">
        <f>AJ27*(1+'Unit Costs and Indicators'!$D$136)</f>
        <v>5.4</v>
      </c>
      <c r="AL27" s="303">
        <f>AK27*(1+'Unit Costs and Indicators'!$D$136)</f>
        <v>5.4</v>
      </c>
      <c r="AM27" s="303">
        <f>AL27*(1+'Unit Costs and Indicators'!$D$136)</f>
        <v>5.4</v>
      </c>
      <c r="AN27" s="303">
        <f>AM27*(1+'Unit Costs and Indicators'!$D$136)</f>
        <v>5.4</v>
      </c>
      <c r="AO27" s="303">
        <f>AN27*(1+'Unit Costs and Indicators'!$D$136)</f>
        <v>5.4</v>
      </c>
      <c r="AP27" s="303">
        <f>AO27*(1+'Unit Costs and Indicators'!$D$136)</f>
        <v>5.4</v>
      </c>
      <c r="AQ27" s="303">
        <f>AP27*(1+'Unit Costs and Indicators'!$D$136)</f>
        <v>5.4</v>
      </c>
      <c r="AR27" s="303">
        <f>AQ27*(1+'Unit Costs and Indicators'!$D$136)</f>
        <v>5.4</v>
      </c>
      <c r="AS27" s="303">
        <f>AR27*(1+'Unit Costs and Indicators'!$D$136)</f>
        <v>5.4</v>
      </c>
      <c r="AT27" s="303">
        <f>AS27*(1+'Unit Costs and Indicators'!$D$136)</f>
        <v>5.4</v>
      </c>
      <c r="AU27" s="303">
        <f>AT27*(1+'Unit Costs and Indicators'!$D$136)</f>
        <v>5.4</v>
      </c>
      <c r="AV27" s="303">
        <f>AU27*(1+'Unit Costs and Indicators'!$D$136)</f>
        <v>5.4</v>
      </c>
      <c r="AW27" s="303">
        <f>AV27*(1+'Unit Costs and Indicators'!$D$136)</f>
        <v>5.4</v>
      </c>
      <c r="AX27" s="303">
        <f>AW27*(1+'Unit Costs and Indicators'!$D$136)</f>
        <v>5.4</v>
      </c>
      <c r="AY27" s="303">
        <f>AX27*(1+'Unit Costs and Indicators'!$D$136)</f>
        <v>5.4</v>
      </c>
      <c r="AZ27" s="303">
        <f>AY27*(1+'Unit Costs and Indicators'!$D$136)</f>
        <v>5.4</v>
      </c>
      <c r="BA27" s="303">
        <f>AZ27*(1+'Unit Costs and Indicators'!$D$136)</f>
        <v>5.4</v>
      </c>
      <c r="BB27" s="303">
        <f>BA27*(1+'Unit Costs and Indicators'!$D$136)</f>
        <v>5.4</v>
      </c>
      <c r="BC27" s="303">
        <f>BB27*(1+'Unit Costs and Indicators'!$D$136)</f>
        <v>5.4</v>
      </c>
      <c r="BD27" s="303">
        <f>BC27*(1+'Unit Costs and Indicators'!$D$136)</f>
        <v>5.4</v>
      </c>
      <c r="BE27" s="303">
        <f>BD27*(1+'Unit Costs and Indicators'!$D$136)</f>
        <v>5.4</v>
      </c>
      <c r="BF27" s="303">
        <f>BE27*(1+'Unit Costs and Indicators'!$D$136)</f>
        <v>5.4</v>
      </c>
      <c r="BG27" s="303">
        <f>BF27*(1+'Unit Costs and Indicators'!$D$136)</f>
        <v>5.4</v>
      </c>
      <c r="BH27" s="303">
        <f>BG27*(1+'Unit Costs and Indicators'!$D$136)</f>
        <v>5.4</v>
      </c>
      <c r="BI27" s="303">
        <f>BH27*(1+'Unit Costs and Indicators'!$D$136)</f>
        <v>5.4</v>
      </c>
      <c r="BJ27" s="303">
        <f>BI27*(1+'Unit Costs and Indicators'!$D$136)</f>
        <v>5.4</v>
      </c>
      <c r="BK27" s="303">
        <f>BJ27*(1+'Unit Costs and Indicators'!$D$136)</f>
        <v>5.4</v>
      </c>
      <c r="BL27" s="303">
        <f>BK27*(1+'Unit Costs and Indicators'!$D$136)</f>
        <v>5.4</v>
      </c>
      <c r="BM27" s="303">
        <f>BL27*(1+'Unit Costs and Indicators'!$D$136)</f>
        <v>5.4</v>
      </c>
      <c r="BN27" s="303">
        <f>BM27*(1+'Unit Costs and Indicators'!$D$136)</f>
        <v>5.4</v>
      </c>
      <c r="BO27" s="303">
        <f>BN27*(1+'Unit Costs and Indicators'!$D$136)</f>
        <v>5.4</v>
      </c>
      <c r="BP27" s="303">
        <f>BO27*(1+'Unit Costs and Indicators'!$D$136)</f>
        <v>5.4</v>
      </c>
      <c r="BQ27" s="303">
        <f>BP27*(1+'Unit Costs and Indicators'!$D$136)</f>
        <v>5.4</v>
      </c>
      <c r="BR27" s="303">
        <f>BQ27*(1+'Unit Costs and Indicators'!$D$136)</f>
        <v>5.4</v>
      </c>
      <c r="BS27" s="303">
        <f>BR27*(1+'Unit Costs and Indicators'!$D$136)</f>
        <v>5.4</v>
      </c>
      <c r="BT27" s="303">
        <f>BS27*(1+'Unit Costs and Indicators'!$D$136)</f>
        <v>5.4</v>
      </c>
      <c r="BU27" s="303">
        <f>BT27*(1+'Unit Costs and Indicators'!$D$136)</f>
        <v>5.4</v>
      </c>
      <c r="BV27" s="303">
        <f>BU27*(1+'Unit Costs and Indicators'!$D$136)</f>
        <v>5.4</v>
      </c>
      <c r="BW27" s="303">
        <f>BV27*(1+'Unit Costs and Indicators'!$D$136)</f>
        <v>5.4</v>
      </c>
      <c r="BX27" s="303">
        <f>BW27*(1+'Unit Costs and Indicators'!$D$136)</f>
        <v>5.4</v>
      </c>
      <c r="BY27" s="303">
        <f>BX27*(1+'Unit Costs and Indicators'!$D$136)</f>
        <v>5.4</v>
      </c>
      <c r="BZ27" s="303">
        <f>BY27*(1+'Unit Costs and Indicators'!$D$136)</f>
        <v>5.4</v>
      </c>
      <c r="CA27" s="303">
        <f>BZ27*(1+'Unit Costs and Indicators'!$D$136)</f>
        <v>5.4</v>
      </c>
      <c r="CB27" s="303">
        <f>CA27*(1+'Unit Costs and Indicators'!$D$136)</f>
        <v>5.4</v>
      </c>
      <c r="CC27" s="303">
        <f>CB27*(1+'Unit Costs and Indicators'!$D$136)</f>
        <v>5.4</v>
      </c>
      <c r="CD27" s="303">
        <f>CC27*(1+'Unit Costs and Indicators'!$D$136)</f>
        <v>5.4</v>
      </c>
      <c r="CE27" s="303">
        <f>CD27*(1+'Unit Costs and Indicators'!$D$136)</f>
        <v>5.4</v>
      </c>
      <c r="CF27" s="303">
        <f>CE27*(1+'Unit Costs and Indicators'!$D$136)</f>
        <v>5.4</v>
      </c>
      <c r="CG27" s="303">
        <f>CF27*(1+'Unit Costs and Indicators'!$D$136)</f>
        <v>5.4</v>
      </c>
      <c r="CH27" s="303">
        <f>CG27*(1+'Unit Costs and Indicators'!$D$136)</f>
        <v>5.4</v>
      </c>
      <c r="CI27" s="303">
        <f>CH27*(1+'Unit Costs and Indicators'!$D$136)</f>
        <v>5.4</v>
      </c>
      <c r="CJ27" s="303">
        <f>CI27*(1+'Unit Costs and Indicators'!$D$136)</f>
        <v>5.4</v>
      </c>
      <c r="CK27" s="303">
        <f>CJ27*(1+'Unit Costs and Indicators'!$D$136)</f>
        <v>5.4</v>
      </c>
      <c r="CL27" s="303">
        <f>CK27*(1+'Unit Costs and Indicators'!$D$136)</f>
        <v>5.4</v>
      </c>
      <c r="CM27" s="303">
        <f>CL27*(1+'Unit Costs and Indicators'!$D$136)</f>
        <v>5.4</v>
      </c>
      <c r="CN27" s="303">
        <f>CM27*(1+'Unit Costs and Indicators'!$D$136)</f>
        <v>5.4</v>
      </c>
      <c r="CO27" s="303">
        <f>CN27*(1+'Unit Costs and Indicators'!$D$136)</f>
        <v>5.4</v>
      </c>
      <c r="CP27" s="303">
        <f>CO27*(1+'Unit Costs and Indicators'!$D$136)</f>
        <v>5.4</v>
      </c>
      <c r="CQ27" s="303">
        <f>CP27*(1+'Unit Costs and Indicators'!$D$136)</f>
        <v>5.4</v>
      </c>
      <c r="CR27" s="303">
        <f>CQ27*(1+'Unit Costs and Indicators'!$D$136)</f>
        <v>5.4</v>
      </c>
      <c r="CS27" s="303">
        <f>CR27*(1+'Unit Costs and Indicators'!$D$136)</f>
        <v>5.4</v>
      </c>
      <c r="CT27" s="303">
        <f>CS27*(1+'Unit Costs and Indicators'!$D$136)</f>
        <v>5.4</v>
      </c>
      <c r="CU27" s="303">
        <f>CT27*(1+'Unit Costs and Indicators'!$D$136)</f>
        <v>5.4</v>
      </c>
      <c r="CV27" s="303">
        <f>CU27*(1+'Unit Costs and Indicators'!$D$136)</f>
        <v>5.4</v>
      </c>
      <c r="CW27" s="303">
        <f>CV27*(1+'Unit Costs and Indicators'!$D$136)</f>
        <v>5.4</v>
      </c>
      <c r="CX27" s="303">
        <f>CW27*(1+'Unit Costs and Indicators'!$D$136)</f>
        <v>5.4</v>
      </c>
      <c r="CY27" s="303">
        <f>CX27*(1+'Unit Costs and Indicators'!$D$136)</f>
        <v>5.4</v>
      </c>
      <c r="CZ27" s="303">
        <f>CY27*(1+'Unit Costs and Indicators'!$D$136)</f>
        <v>5.4</v>
      </c>
      <c r="DA27" s="303">
        <f>CZ27*(1+'Unit Costs and Indicators'!$D$136)</f>
        <v>5.4</v>
      </c>
      <c r="DB27" s="303">
        <f>DA27*(1+'Unit Costs and Indicators'!$D$136)</f>
        <v>5.4</v>
      </c>
      <c r="DC27" s="303">
        <f>DB27*(1+'Unit Costs and Indicators'!$D$136)</f>
        <v>5.4</v>
      </c>
      <c r="DD27" s="303">
        <f>DC27*(1+'Unit Costs and Indicators'!$D$136)</f>
        <v>5.4</v>
      </c>
      <c r="DE27" s="303">
        <f>DD27*(1+'Unit Costs and Indicators'!$D$136)</f>
        <v>5.4</v>
      </c>
      <c r="DF27" s="308"/>
      <c r="DG27" s="308"/>
      <c r="DH27" s="308"/>
      <c r="DI27" s="308"/>
      <c r="DJ27" s="308"/>
      <c r="DK27" s="308"/>
      <c r="DL27" s="308"/>
    </row>
    <row r="28" spans="1:116" ht="15.75" customHeight="1" x14ac:dyDescent="0.25">
      <c r="A28" s="751"/>
      <c r="B28" s="751"/>
      <c r="C28" s="321" t="s">
        <v>255</v>
      </c>
      <c r="D28" s="3"/>
      <c r="E28" s="280"/>
      <c r="F28" s="280"/>
      <c r="G28" s="4">
        <v>16</v>
      </c>
      <c r="H28" s="508">
        <v>16</v>
      </c>
      <c r="I28" s="287">
        <v>16</v>
      </c>
      <c r="J28" s="287">
        <v>16</v>
      </c>
      <c r="K28" s="287">
        <v>16</v>
      </c>
      <c r="L28" s="287">
        <v>16</v>
      </c>
      <c r="M28" s="287">
        <v>16</v>
      </c>
      <c r="N28" s="287">
        <v>16</v>
      </c>
      <c r="O28" s="287">
        <v>16</v>
      </c>
      <c r="P28" s="287">
        <v>16</v>
      </c>
      <c r="Q28" s="287">
        <v>16</v>
      </c>
      <c r="R28" s="287">
        <v>16</v>
      </c>
      <c r="S28" s="287">
        <v>16</v>
      </c>
      <c r="T28" s="287">
        <v>16</v>
      </c>
      <c r="U28" s="287">
        <v>16</v>
      </c>
      <c r="V28" s="287">
        <v>16</v>
      </c>
      <c r="W28" s="287">
        <v>16</v>
      </c>
      <c r="X28" s="287">
        <v>16</v>
      </c>
      <c r="Y28" s="287">
        <v>16</v>
      </c>
      <c r="Z28" s="287">
        <v>16</v>
      </c>
      <c r="AA28" s="287">
        <v>16</v>
      </c>
      <c r="AB28" s="287">
        <v>16</v>
      </c>
      <c r="AC28" s="287">
        <v>16</v>
      </c>
      <c r="AD28" s="287">
        <v>16</v>
      </c>
      <c r="AE28" s="287">
        <v>16</v>
      </c>
      <c r="AF28" s="287">
        <v>16</v>
      </c>
      <c r="AG28" s="287">
        <v>16</v>
      </c>
      <c r="AH28" s="287">
        <v>16</v>
      </c>
      <c r="AI28" s="287">
        <v>16</v>
      </c>
      <c r="AJ28" s="287">
        <v>16</v>
      </c>
      <c r="AK28" s="287">
        <v>16</v>
      </c>
      <c r="AL28" s="287">
        <v>16</v>
      </c>
      <c r="AM28" s="287">
        <v>16</v>
      </c>
      <c r="AN28" s="287">
        <v>16</v>
      </c>
      <c r="AO28" s="287">
        <v>16</v>
      </c>
      <c r="AP28" s="287">
        <v>16</v>
      </c>
      <c r="AQ28" s="287">
        <v>16</v>
      </c>
      <c r="AR28" s="287">
        <v>16</v>
      </c>
      <c r="AS28" s="287">
        <v>16</v>
      </c>
      <c r="AT28" s="287">
        <v>16</v>
      </c>
      <c r="AU28" s="287">
        <v>16</v>
      </c>
      <c r="AV28" s="287">
        <v>16</v>
      </c>
      <c r="AW28" s="287">
        <v>16</v>
      </c>
      <c r="AX28" s="287">
        <v>16</v>
      </c>
      <c r="AY28" s="287">
        <v>16</v>
      </c>
      <c r="AZ28" s="287">
        <v>16</v>
      </c>
      <c r="BA28" s="287">
        <v>16</v>
      </c>
      <c r="BB28" s="287">
        <v>16</v>
      </c>
      <c r="BC28" s="287">
        <v>16</v>
      </c>
      <c r="BD28" s="287">
        <v>16</v>
      </c>
      <c r="BE28" s="287">
        <v>16</v>
      </c>
      <c r="BF28" s="287">
        <v>16</v>
      </c>
      <c r="BG28" s="287">
        <v>16</v>
      </c>
      <c r="BH28" s="287">
        <v>16</v>
      </c>
      <c r="BI28" s="287">
        <v>16</v>
      </c>
      <c r="BJ28" s="287">
        <v>16</v>
      </c>
      <c r="BK28" s="287">
        <v>16</v>
      </c>
      <c r="BL28" s="287">
        <v>16</v>
      </c>
      <c r="BM28" s="287">
        <v>16</v>
      </c>
      <c r="BN28" s="287">
        <v>16</v>
      </c>
      <c r="BO28" s="287">
        <v>16</v>
      </c>
      <c r="BP28" s="287">
        <v>16</v>
      </c>
      <c r="BQ28" s="287">
        <v>16</v>
      </c>
      <c r="BR28" s="287">
        <v>16</v>
      </c>
      <c r="BS28" s="287">
        <v>16</v>
      </c>
      <c r="BT28" s="287">
        <v>16</v>
      </c>
      <c r="BU28" s="287">
        <v>16</v>
      </c>
      <c r="BV28" s="287">
        <v>16</v>
      </c>
      <c r="BW28" s="287">
        <v>16</v>
      </c>
      <c r="BX28" s="287">
        <v>16</v>
      </c>
      <c r="BY28" s="287">
        <v>16</v>
      </c>
      <c r="BZ28" s="287">
        <v>16</v>
      </c>
      <c r="CA28" s="287">
        <v>16</v>
      </c>
      <c r="CB28" s="287">
        <v>16</v>
      </c>
      <c r="CC28" s="287">
        <v>16</v>
      </c>
      <c r="CD28" s="287">
        <v>16</v>
      </c>
      <c r="CE28" s="287">
        <v>16</v>
      </c>
      <c r="CF28" s="287">
        <v>16</v>
      </c>
      <c r="CG28" s="287">
        <v>16</v>
      </c>
      <c r="CH28" s="287">
        <v>16</v>
      </c>
      <c r="CI28" s="287">
        <v>16</v>
      </c>
      <c r="CJ28" s="287">
        <v>16</v>
      </c>
      <c r="CK28" s="287">
        <v>16</v>
      </c>
      <c r="CL28" s="287">
        <v>16</v>
      </c>
      <c r="CM28" s="287">
        <v>16</v>
      </c>
      <c r="CN28" s="287">
        <v>16</v>
      </c>
      <c r="CO28" s="287">
        <v>16</v>
      </c>
      <c r="CP28" s="287">
        <v>16</v>
      </c>
      <c r="CQ28" s="287">
        <v>16</v>
      </c>
      <c r="CR28" s="287">
        <v>16</v>
      </c>
      <c r="CS28" s="287">
        <v>16</v>
      </c>
      <c r="CT28" s="287">
        <v>16</v>
      </c>
      <c r="CU28" s="287">
        <v>16</v>
      </c>
      <c r="CV28" s="287">
        <v>16</v>
      </c>
      <c r="CW28" s="287">
        <v>16</v>
      </c>
      <c r="CX28" s="287">
        <v>16</v>
      </c>
      <c r="CY28" s="287">
        <v>16</v>
      </c>
      <c r="CZ28" s="287">
        <v>16</v>
      </c>
      <c r="DA28" s="287">
        <v>16</v>
      </c>
      <c r="DB28" s="287">
        <v>16</v>
      </c>
      <c r="DC28" s="287">
        <v>16</v>
      </c>
      <c r="DD28" s="287">
        <v>16</v>
      </c>
      <c r="DE28" s="287">
        <v>16</v>
      </c>
      <c r="DF28" s="4"/>
      <c r="DG28" s="4"/>
      <c r="DH28" s="4"/>
      <c r="DI28" s="4"/>
      <c r="DJ28" s="4"/>
      <c r="DK28" s="4"/>
      <c r="DL28" s="4"/>
    </row>
    <row r="29" spans="1:116" ht="15.75" customHeight="1" x14ac:dyDescent="0.25">
      <c r="A29" s="751"/>
      <c r="B29" s="751"/>
      <c r="C29" s="4" t="s">
        <v>385</v>
      </c>
      <c r="D29" s="3"/>
      <c r="E29" s="3"/>
      <c r="F29" s="3"/>
      <c r="G29" s="327"/>
      <c r="H29" s="302">
        <f t="shared" ref="H29:DE29" si="10">H28+H27</f>
        <v>21.4</v>
      </c>
      <c r="I29" s="303">
        <f t="shared" si="10"/>
        <v>21.4</v>
      </c>
      <c r="J29" s="303">
        <f t="shared" si="10"/>
        <v>21.4</v>
      </c>
      <c r="K29" s="303">
        <f t="shared" si="10"/>
        <v>21.4</v>
      </c>
      <c r="L29" s="303">
        <f t="shared" si="10"/>
        <v>21.4</v>
      </c>
      <c r="M29" s="303">
        <f t="shared" si="10"/>
        <v>21.4</v>
      </c>
      <c r="N29" s="303">
        <f t="shared" si="10"/>
        <v>21.4</v>
      </c>
      <c r="O29" s="303">
        <f t="shared" si="10"/>
        <v>21.4</v>
      </c>
      <c r="P29" s="303">
        <f t="shared" si="10"/>
        <v>21.4</v>
      </c>
      <c r="Q29" s="303">
        <f t="shared" si="10"/>
        <v>21.4</v>
      </c>
      <c r="R29" s="303">
        <f t="shared" si="10"/>
        <v>21.4</v>
      </c>
      <c r="S29" s="303">
        <f t="shared" si="10"/>
        <v>21.4</v>
      </c>
      <c r="T29" s="303">
        <f t="shared" si="10"/>
        <v>21.4</v>
      </c>
      <c r="U29" s="303">
        <f t="shared" si="10"/>
        <v>21.4</v>
      </c>
      <c r="V29" s="303">
        <f t="shared" si="10"/>
        <v>21.4</v>
      </c>
      <c r="W29" s="303">
        <f t="shared" si="10"/>
        <v>21.4</v>
      </c>
      <c r="X29" s="303">
        <f t="shared" si="10"/>
        <v>21.4</v>
      </c>
      <c r="Y29" s="303">
        <f t="shared" si="10"/>
        <v>21.4</v>
      </c>
      <c r="Z29" s="303">
        <f t="shared" si="10"/>
        <v>21.4</v>
      </c>
      <c r="AA29" s="303">
        <f t="shared" si="10"/>
        <v>21.4</v>
      </c>
      <c r="AB29" s="303">
        <f t="shared" si="10"/>
        <v>21.4</v>
      </c>
      <c r="AC29" s="303">
        <f t="shared" si="10"/>
        <v>21.4</v>
      </c>
      <c r="AD29" s="303">
        <f t="shared" si="10"/>
        <v>21.4</v>
      </c>
      <c r="AE29" s="303">
        <f t="shared" si="10"/>
        <v>21.4</v>
      </c>
      <c r="AF29" s="303">
        <f t="shared" si="10"/>
        <v>21.4</v>
      </c>
      <c r="AG29" s="303">
        <f t="shared" si="10"/>
        <v>21.4</v>
      </c>
      <c r="AH29" s="303">
        <f t="shared" si="10"/>
        <v>21.4</v>
      </c>
      <c r="AI29" s="303">
        <f t="shared" si="10"/>
        <v>21.4</v>
      </c>
      <c r="AJ29" s="303">
        <f t="shared" si="10"/>
        <v>21.4</v>
      </c>
      <c r="AK29" s="303">
        <f t="shared" si="10"/>
        <v>21.4</v>
      </c>
      <c r="AL29" s="303">
        <f t="shared" si="10"/>
        <v>21.4</v>
      </c>
      <c r="AM29" s="303">
        <f t="shared" si="10"/>
        <v>21.4</v>
      </c>
      <c r="AN29" s="303">
        <f t="shared" si="10"/>
        <v>21.4</v>
      </c>
      <c r="AO29" s="303">
        <f t="shared" si="10"/>
        <v>21.4</v>
      </c>
      <c r="AP29" s="303">
        <f t="shared" si="10"/>
        <v>21.4</v>
      </c>
      <c r="AQ29" s="303">
        <f t="shared" si="10"/>
        <v>21.4</v>
      </c>
      <c r="AR29" s="303">
        <f t="shared" si="10"/>
        <v>21.4</v>
      </c>
      <c r="AS29" s="303">
        <f t="shared" si="10"/>
        <v>21.4</v>
      </c>
      <c r="AT29" s="303">
        <f t="shared" si="10"/>
        <v>21.4</v>
      </c>
      <c r="AU29" s="303">
        <f t="shared" si="10"/>
        <v>21.4</v>
      </c>
      <c r="AV29" s="303">
        <f t="shared" si="10"/>
        <v>21.4</v>
      </c>
      <c r="AW29" s="303">
        <f t="shared" si="10"/>
        <v>21.4</v>
      </c>
      <c r="AX29" s="303">
        <f t="shared" si="10"/>
        <v>21.4</v>
      </c>
      <c r="AY29" s="303">
        <f t="shared" si="10"/>
        <v>21.4</v>
      </c>
      <c r="AZ29" s="303">
        <f t="shared" si="10"/>
        <v>21.4</v>
      </c>
      <c r="BA29" s="303">
        <f t="shared" si="10"/>
        <v>21.4</v>
      </c>
      <c r="BB29" s="303">
        <f t="shared" si="10"/>
        <v>21.4</v>
      </c>
      <c r="BC29" s="303">
        <f t="shared" si="10"/>
        <v>21.4</v>
      </c>
      <c r="BD29" s="303">
        <f t="shared" si="10"/>
        <v>21.4</v>
      </c>
      <c r="BE29" s="303">
        <f t="shared" si="10"/>
        <v>21.4</v>
      </c>
      <c r="BF29" s="303">
        <f t="shared" si="10"/>
        <v>21.4</v>
      </c>
      <c r="BG29" s="303">
        <f t="shared" si="10"/>
        <v>21.4</v>
      </c>
      <c r="BH29" s="303">
        <f t="shared" si="10"/>
        <v>21.4</v>
      </c>
      <c r="BI29" s="303">
        <f t="shared" si="10"/>
        <v>21.4</v>
      </c>
      <c r="BJ29" s="303">
        <f t="shared" si="10"/>
        <v>21.4</v>
      </c>
      <c r="BK29" s="303">
        <f t="shared" si="10"/>
        <v>21.4</v>
      </c>
      <c r="BL29" s="303">
        <f t="shared" si="10"/>
        <v>21.4</v>
      </c>
      <c r="BM29" s="303">
        <f t="shared" si="10"/>
        <v>21.4</v>
      </c>
      <c r="BN29" s="303">
        <f t="shared" si="10"/>
        <v>21.4</v>
      </c>
      <c r="BO29" s="303">
        <f t="shared" si="10"/>
        <v>21.4</v>
      </c>
      <c r="BP29" s="303">
        <f t="shared" si="10"/>
        <v>21.4</v>
      </c>
      <c r="BQ29" s="303">
        <f t="shared" si="10"/>
        <v>21.4</v>
      </c>
      <c r="BR29" s="303">
        <f t="shared" si="10"/>
        <v>21.4</v>
      </c>
      <c r="BS29" s="303">
        <f t="shared" si="10"/>
        <v>21.4</v>
      </c>
      <c r="BT29" s="303">
        <f t="shared" si="10"/>
        <v>21.4</v>
      </c>
      <c r="BU29" s="303">
        <f t="shared" si="10"/>
        <v>21.4</v>
      </c>
      <c r="BV29" s="303">
        <f t="shared" si="10"/>
        <v>21.4</v>
      </c>
      <c r="BW29" s="303">
        <f t="shared" si="10"/>
        <v>21.4</v>
      </c>
      <c r="BX29" s="303">
        <f t="shared" si="10"/>
        <v>21.4</v>
      </c>
      <c r="BY29" s="303">
        <f t="shared" si="10"/>
        <v>21.4</v>
      </c>
      <c r="BZ29" s="303">
        <f t="shared" si="10"/>
        <v>21.4</v>
      </c>
      <c r="CA29" s="303">
        <f t="shared" si="10"/>
        <v>21.4</v>
      </c>
      <c r="CB29" s="303">
        <f t="shared" si="10"/>
        <v>21.4</v>
      </c>
      <c r="CC29" s="303">
        <f t="shared" si="10"/>
        <v>21.4</v>
      </c>
      <c r="CD29" s="303">
        <f t="shared" si="10"/>
        <v>21.4</v>
      </c>
      <c r="CE29" s="303">
        <f t="shared" si="10"/>
        <v>21.4</v>
      </c>
      <c r="CF29" s="303">
        <f t="shared" si="10"/>
        <v>21.4</v>
      </c>
      <c r="CG29" s="303">
        <f t="shared" si="10"/>
        <v>21.4</v>
      </c>
      <c r="CH29" s="303">
        <f t="shared" si="10"/>
        <v>21.4</v>
      </c>
      <c r="CI29" s="303">
        <f t="shared" si="10"/>
        <v>21.4</v>
      </c>
      <c r="CJ29" s="303">
        <f t="shared" si="10"/>
        <v>21.4</v>
      </c>
      <c r="CK29" s="303">
        <f t="shared" si="10"/>
        <v>21.4</v>
      </c>
      <c r="CL29" s="303">
        <f t="shared" si="10"/>
        <v>21.4</v>
      </c>
      <c r="CM29" s="303">
        <f t="shared" si="10"/>
        <v>21.4</v>
      </c>
      <c r="CN29" s="303">
        <f t="shared" si="10"/>
        <v>21.4</v>
      </c>
      <c r="CO29" s="303">
        <f t="shared" si="10"/>
        <v>21.4</v>
      </c>
      <c r="CP29" s="303">
        <f t="shared" si="10"/>
        <v>21.4</v>
      </c>
      <c r="CQ29" s="303">
        <f t="shared" si="10"/>
        <v>21.4</v>
      </c>
      <c r="CR29" s="303">
        <f t="shared" si="10"/>
        <v>21.4</v>
      </c>
      <c r="CS29" s="303">
        <f t="shared" si="10"/>
        <v>21.4</v>
      </c>
      <c r="CT29" s="303">
        <f t="shared" si="10"/>
        <v>21.4</v>
      </c>
      <c r="CU29" s="303">
        <f t="shared" si="10"/>
        <v>21.4</v>
      </c>
      <c r="CV29" s="303">
        <f t="shared" si="10"/>
        <v>21.4</v>
      </c>
      <c r="CW29" s="303">
        <f t="shared" si="10"/>
        <v>21.4</v>
      </c>
      <c r="CX29" s="303">
        <f t="shared" si="10"/>
        <v>21.4</v>
      </c>
      <c r="CY29" s="303">
        <f t="shared" si="10"/>
        <v>21.4</v>
      </c>
      <c r="CZ29" s="303">
        <f t="shared" si="10"/>
        <v>21.4</v>
      </c>
      <c r="DA29" s="303">
        <f t="shared" si="10"/>
        <v>21.4</v>
      </c>
      <c r="DB29" s="303">
        <f t="shared" si="10"/>
        <v>21.4</v>
      </c>
      <c r="DC29" s="303">
        <f t="shared" si="10"/>
        <v>21.4</v>
      </c>
      <c r="DD29" s="303">
        <f t="shared" si="10"/>
        <v>21.4</v>
      </c>
      <c r="DE29" s="303">
        <f t="shared" si="10"/>
        <v>21.4</v>
      </c>
      <c r="DF29" s="303"/>
      <c r="DG29" s="303"/>
      <c r="DH29" s="303"/>
      <c r="DI29" s="303"/>
      <c r="DJ29" s="303"/>
      <c r="DK29" s="303"/>
      <c r="DL29" s="303"/>
    </row>
    <row r="30" spans="1:116" ht="15.75" customHeight="1" x14ac:dyDescent="0.25">
      <c r="A30" s="751"/>
      <c r="B30" s="751"/>
      <c r="C30" s="4" t="s">
        <v>386</v>
      </c>
      <c r="D30" s="3"/>
      <c r="E30" s="3"/>
      <c r="F30" s="3"/>
      <c r="G30" s="327"/>
      <c r="H30" s="302">
        <f t="shared" ref="H30:DE30" si="11">H29*H26</f>
        <v>5.224076305989183E-2</v>
      </c>
      <c r="I30" s="303">
        <f t="shared" si="11"/>
        <v>5.224076305989183E-2</v>
      </c>
      <c r="J30" s="303">
        <f t="shared" si="11"/>
        <v>5.224076305989183E-2</v>
      </c>
      <c r="K30" s="303">
        <f t="shared" si="11"/>
        <v>5.224076305989183E-2</v>
      </c>
      <c r="L30" s="303">
        <f t="shared" si="11"/>
        <v>5.224076305989183E-2</v>
      </c>
      <c r="M30" s="303">
        <f t="shared" si="11"/>
        <v>5.224076305989183E-2</v>
      </c>
      <c r="N30" s="303">
        <f t="shared" si="11"/>
        <v>5.224076305989183E-2</v>
      </c>
      <c r="O30" s="303">
        <f t="shared" si="11"/>
        <v>5.224076305989183E-2</v>
      </c>
      <c r="P30" s="303">
        <f t="shared" si="11"/>
        <v>5.224076305989183E-2</v>
      </c>
      <c r="Q30" s="303">
        <f t="shared" si="11"/>
        <v>5.224076305989183E-2</v>
      </c>
      <c r="R30" s="303">
        <f t="shared" si="11"/>
        <v>5.224076305989183E-2</v>
      </c>
      <c r="S30" s="303">
        <f t="shared" si="11"/>
        <v>5.224076305989183E-2</v>
      </c>
      <c r="T30" s="303">
        <f t="shared" si="11"/>
        <v>5.224076305989183E-2</v>
      </c>
      <c r="U30" s="303">
        <f t="shared" si="11"/>
        <v>5.224076305989183E-2</v>
      </c>
      <c r="V30" s="303">
        <f t="shared" si="11"/>
        <v>5.224076305989183E-2</v>
      </c>
      <c r="W30" s="303">
        <f t="shared" si="11"/>
        <v>5.224076305989183E-2</v>
      </c>
      <c r="X30" s="303">
        <f t="shared" si="11"/>
        <v>5.224076305989183E-2</v>
      </c>
      <c r="Y30" s="303">
        <f t="shared" si="11"/>
        <v>5.224076305989183E-2</v>
      </c>
      <c r="Z30" s="303">
        <f t="shared" si="11"/>
        <v>5.224076305989183E-2</v>
      </c>
      <c r="AA30" s="303">
        <f t="shared" si="11"/>
        <v>5.224076305989183E-2</v>
      </c>
      <c r="AB30" s="303">
        <f t="shared" si="11"/>
        <v>5.224076305989183E-2</v>
      </c>
      <c r="AC30" s="303">
        <f t="shared" si="11"/>
        <v>5.224076305989183E-2</v>
      </c>
      <c r="AD30" s="303">
        <f t="shared" si="11"/>
        <v>5.224076305989183E-2</v>
      </c>
      <c r="AE30" s="303">
        <f t="shared" si="11"/>
        <v>5.224076305989183E-2</v>
      </c>
      <c r="AF30" s="303">
        <f t="shared" si="11"/>
        <v>5.224076305989183E-2</v>
      </c>
      <c r="AG30" s="303">
        <f t="shared" si="11"/>
        <v>5.224076305989183E-2</v>
      </c>
      <c r="AH30" s="303">
        <f t="shared" si="11"/>
        <v>5.224076305989183E-2</v>
      </c>
      <c r="AI30" s="303">
        <f t="shared" si="11"/>
        <v>5.224076305989183E-2</v>
      </c>
      <c r="AJ30" s="303">
        <f t="shared" si="11"/>
        <v>5.224076305989183E-2</v>
      </c>
      <c r="AK30" s="303">
        <f t="shared" si="11"/>
        <v>5.224076305989183E-2</v>
      </c>
      <c r="AL30" s="303">
        <f t="shared" si="11"/>
        <v>5.224076305989183E-2</v>
      </c>
      <c r="AM30" s="303">
        <f t="shared" si="11"/>
        <v>5.224076305989183E-2</v>
      </c>
      <c r="AN30" s="303">
        <f t="shared" si="11"/>
        <v>5.224076305989183E-2</v>
      </c>
      <c r="AO30" s="303">
        <f t="shared" si="11"/>
        <v>5.224076305989183E-2</v>
      </c>
      <c r="AP30" s="303">
        <f t="shared" si="11"/>
        <v>5.224076305989183E-2</v>
      </c>
      <c r="AQ30" s="303">
        <f t="shared" si="11"/>
        <v>5.224076305989183E-2</v>
      </c>
      <c r="AR30" s="303">
        <f t="shared" si="11"/>
        <v>5.224076305989183E-2</v>
      </c>
      <c r="AS30" s="303">
        <f t="shared" si="11"/>
        <v>5.224076305989183E-2</v>
      </c>
      <c r="AT30" s="303">
        <f t="shared" si="11"/>
        <v>5.224076305989183E-2</v>
      </c>
      <c r="AU30" s="303">
        <f t="shared" si="11"/>
        <v>5.224076305989183E-2</v>
      </c>
      <c r="AV30" s="303">
        <f t="shared" si="11"/>
        <v>5.224076305989183E-2</v>
      </c>
      <c r="AW30" s="303">
        <f t="shared" si="11"/>
        <v>5.224076305989183E-2</v>
      </c>
      <c r="AX30" s="303">
        <f t="shared" si="11"/>
        <v>5.224076305989183E-2</v>
      </c>
      <c r="AY30" s="303">
        <f t="shared" si="11"/>
        <v>5.224076305989183E-2</v>
      </c>
      <c r="AZ30" s="303">
        <f t="shared" si="11"/>
        <v>5.224076305989183E-2</v>
      </c>
      <c r="BA30" s="303">
        <f t="shared" si="11"/>
        <v>5.224076305989183E-2</v>
      </c>
      <c r="BB30" s="303">
        <f t="shared" si="11"/>
        <v>5.224076305989183E-2</v>
      </c>
      <c r="BC30" s="303">
        <f t="shared" si="11"/>
        <v>5.224076305989183E-2</v>
      </c>
      <c r="BD30" s="303">
        <f t="shared" si="11"/>
        <v>5.224076305989183E-2</v>
      </c>
      <c r="BE30" s="303">
        <f t="shared" si="11"/>
        <v>5.224076305989183E-2</v>
      </c>
      <c r="BF30" s="303">
        <f t="shared" si="11"/>
        <v>5.224076305989183E-2</v>
      </c>
      <c r="BG30" s="303">
        <f t="shared" si="11"/>
        <v>5.224076305989183E-2</v>
      </c>
      <c r="BH30" s="303">
        <f t="shared" si="11"/>
        <v>5.224076305989183E-2</v>
      </c>
      <c r="BI30" s="303">
        <f t="shared" si="11"/>
        <v>5.224076305989183E-2</v>
      </c>
      <c r="BJ30" s="303">
        <f t="shared" si="11"/>
        <v>5.224076305989183E-2</v>
      </c>
      <c r="BK30" s="303">
        <f t="shared" si="11"/>
        <v>5.224076305989183E-2</v>
      </c>
      <c r="BL30" s="303">
        <f t="shared" si="11"/>
        <v>5.224076305989183E-2</v>
      </c>
      <c r="BM30" s="303">
        <f t="shared" si="11"/>
        <v>5.224076305989183E-2</v>
      </c>
      <c r="BN30" s="303">
        <f t="shared" si="11"/>
        <v>5.224076305989183E-2</v>
      </c>
      <c r="BO30" s="303">
        <f t="shared" si="11"/>
        <v>5.224076305989183E-2</v>
      </c>
      <c r="BP30" s="303">
        <f t="shared" si="11"/>
        <v>5.224076305989183E-2</v>
      </c>
      <c r="BQ30" s="303">
        <f t="shared" si="11"/>
        <v>5.224076305989183E-2</v>
      </c>
      <c r="BR30" s="303">
        <f t="shared" si="11"/>
        <v>5.224076305989183E-2</v>
      </c>
      <c r="BS30" s="303">
        <f t="shared" si="11"/>
        <v>5.224076305989183E-2</v>
      </c>
      <c r="BT30" s="303">
        <f t="shared" si="11"/>
        <v>5.224076305989183E-2</v>
      </c>
      <c r="BU30" s="303">
        <f t="shared" si="11"/>
        <v>5.224076305989183E-2</v>
      </c>
      <c r="BV30" s="303">
        <f t="shared" si="11"/>
        <v>5.224076305989183E-2</v>
      </c>
      <c r="BW30" s="303">
        <f t="shared" si="11"/>
        <v>5.224076305989183E-2</v>
      </c>
      <c r="BX30" s="303">
        <f t="shared" si="11"/>
        <v>5.224076305989183E-2</v>
      </c>
      <c r="BY30" s="303">
        <f t="shared" si="11"/>
        <v>5.224076305989183E-2</v>
      </c>
      <c r="BZ30" s="303">
        <f t="shared" si="11"/>
        <v>5.224076305989183E-2</v>
      </c>
      <c r="CA30" s="303">
        <f t="shared" si="11"/>
        <v>5.224076305989183E-2</v>
      </c>
      <c r="CB30" s="303">
        <f t="shared" si="11"/>
        <v>5.224076305989183E-2</v>
      </c>
      <c r="CC30" s="303">
        <f t="shared" si="11"/>
        <v>5.224076305989183E-2</v>
      </c>
      <c r="CD30" s="303">
        <f t="shared" si="11"/>
        <v>5.224076305989183E-2</v>
      </c>
      <c r="CE30" s="303">
        <f t="shared" si="11"/>
        <v>5.224076305989183E-2</v>
      </c>
      <c r="CF30" s="303">
        <f t="shared" si="11"/>
        <v>5.224076305989183E-2</v>
      </c>
      <c r="CG30" s="303">
        <f t="shared" si="11"/>
        <v>5.224076305989183E-2</v>
      </c>
      <c r="CH30" s="303">
        <f t="shared" si="11"/>
        <v>5.224076305989183E-2</v>
      </c>
      <c r="CI30" s="303">
        <f t="shared" si="11"/>
        <v>5.224076305989183E-2</v>
      </c>
      <c r="CJ30" s="303">
        <f t="shared" si="11"/>
        <v>5.224076305989183E-2</v>
      </c>
      <c r="CK30" s="303">
        <f t="shared" si="11"/>
        <v>5.224076305989183E-2</v>
      </c>
      <c r="CL30" s="303">
        <f t="shared" si="11"/>
        <v>5.224076305989183E-2</v>
      </c>
      <c r="CM30" s="303">
        <f t="shared" si="11"/>
        <v>5.224076305989183E-2</v>
      </c>
      <c r="CN30" s="303">
        <f t="shared" si="11"/>
        <v>5.224076305989183E-2</v>
      </c>
      <c r="CO30" s="303">
        <f t="shared" si="11"/>
        <v>5.224076305989183E-2</v>
      </c>
      <c r="CP30" s="303">
        <f t="shared" si="11"/>
        <v>5.224076305989183E-2</v>
      </c>
      <c r="CQ30" s="303">
        <f t="shared" si="11"/>
        <v>5.224076305989183E-2</v>
      </c>
      <c r="CR30" s="303">
        <f t="shared" si="11"/>
        <v>5.224076305989183E-2</v>
      </c>
      <c r="CS30" s="303">
        <f t="shared" si="11"/>
        <v>5.224076305989183E-2</v>
      </c>
      <c r="CT30" s="303">
        <f t="shared" si="11"/>
        <v>5.224076305989183E-2</v>
      </c>
      <c r="CU30" s="303">
        <f t="shared" si="11"/>
        <v>5.224076305989183E-2</v>
      </c>
      <c r="CV30" s="303">
        <f t="shared" si="11"/>
        <v>5.224076305989183E-2</v>
      </c>
      <c r="CW30" s="303">
        <f t="shared" si="11"/>
        <v>5.224076305989183E-2</v>
      </c>
      <c r="CX30" s="303">
        <f t="shared" si="11"/>
        <v>5.224076305989183E-2</v>
      </c>
      <c r="CY30" s="303">
        <f t="shared" si="11"/>
        <v>5.224076305989183E-2</v>
      </c>
      <c r="CZ30" s="303">
        <f t="shared" si="11"/>
        <v>5.224076305989183E-2</v>
      </c>
      <c r="DA30" s="303">
        <f t="shared" si="11"/>
        <v>5.224076305989183E-2</v>
      </c>
      <c r="DB30" s="303">
        <f t="shared" si="11"/>
        <v>5.224076305989183E-2</v>
      </c>
      <c r="DC30" s="303">
        <f t="shared" si="11"/>
        <v>5.224076305989183E-2</v>
      </c>
      <c r="DD30" s="303">
        <f t="shared" si="11"/>
        <v>5.224076305989183E-2</v>
      </c>
      <c r="DE30" s="303">
        <f t="shared" si="11"/>
        <v>5.224076305989183E-2</v>
      </c>
      <c r="DF30" s="303"/>
      <c r="DG30" s="303"/>
      <c r="DH30" s="303"/>
      <c r="DI30" s="303"/>
      <c r="DJ30" s="303"/>
      <c r="DK30" s="303"/>
      <c r="DL30" s="303"/>
    </row>
    <row r="31" spans="1:116" ht="15.75" customHeight="1" x14ac:dyDescent="0.25">
      <c r="A31" s="751"/>
      <c r="B31" s="751"/>
      <c r="C31" s="330" t="s">
        <v>179</v>
      </c>
      <c r="D31" s="331"/>
      <c r="E31" s="509"/>
      <c r="F31" s="332"/>
      <c r="G31" s="333"/>
      <c r="H31" s="335">
        <f>((H29+H27)*H26)*'Unit Costs and Indicators'!$A$132</f>
        <v>1.719060243690496</v>
      </c>
      <c r="I31" s="336">
        <f>((I29+I27)*I26)*'Unit Costs and Indicators'!$A$132</f>
        <v>1.719060243690496</v>
      </c>
      <c r="J31" s="336">
        <f>((J29+J27)*J26)*'Unit Costs and Indicators'!$A$132</f>
        <v>1.719060243690496</v>
      </c>
      <c r="K31" s="336">
        <f>((K29+K27)*K26)*'Unit Costs and Indicators'!$A$132</f>
        <v>1.719060243690496</v>
      </c>
      <c r="L31" s="336">
        <f>((L29+L27)*L26)*'Unit Costs and Indicators'!$A$132</f>
        <v>1.719060243690496</v>
      </c>
      <c r="M31" s="336">
        <f>((M29+M27)*M26)*'Unit Costs and Indicators'!$A$132</f>
        <v>1.719060243690496</v>
      </c>
      <c r="N31" s="336">
        <f>((N29+N27)*N26)*'Unit Costs and Indicators'!$A$132</f>
        <v>1.719060243690496</v>
      </c>
      <c r="O31" s="336">
        <f>((O29+O27)*O26)*'Unit Costs and Indicators'!$A$132</f>
        <v>1.719060243690496</v>
      </c>
      <c r="P31" s="336">
        <f>((P29+P27)*P26)*'Unit Costs and Indicators'!$A$132</f>
        <v>1.719060243690496</v>
      </c>
      <c r="Q31" s="336">
        <f>((Q29+Q27)*Q26)*'Unit Costs and Indicators'!$A$132</f>
        <v>1.719060243690496</v>
      </c>
      <c r="R31" s="336">
        <f>((R29+R27)*R26)*'Unit Costs and Indicators'!$A$132</f>
        <v>1.719060243690496</v>
      </c>
      <c r="S31" s="336">
        <f>((S29+S27)*S26)*'Unit Costs and Indicators'!$A$132</f>
        <v>1.719060243690496</v>
      </c>
      <c r="T31" s="336">
        <f>((T29+T27)*T26)*'Unit Costs and Indicators'!$A$132</f>
        <v>1.719060243690496</v>
      </c>
      <c r="U31" s="336">
        <f>((U29+U27)*U26)*'Unit Costs and Indicators'!$A$132</f>
        <v>1.719060243690496</v>
      </c>
      <c r="V31" s="336">
        <f>((V29+V27)*V26)*'Unit Costs and Indicators'!$A$132</f>
        <v>1.719060243690496</v>
      </c>
      <c r="W31" s="336">
        <f>((W29+W27)*W26)*'Unit Costs and Indicators'!$A$132</f>
        <v>1.719060243690496</v>
      </c>
      <c r="X31" s="336">
        <f>((X29+X27)*X26)*'Unit Costs and Indicators'!$A$132</f>
        <v>1.719060243690496</v>
      </c>
      <c r="Y31" s="336">
        <f>((Y29+Y27)*Y26)*'Unit Costs and Indicators'!$A$132</f>
        <v>1.719060243690496</v>
      </c>
      <c r="Z31" s="336">
        <f>((Z29+Z27)*Z26)*'Unit Costs and Indicators'!$A$132</f>
        <v>1.719060243690496</v>
      </c>
      <c r="AA31" s="336">
        <f>((AA29+AA27)*AA26)*'Unit Costs and Indicators'!$A$132</f>
        <v>1.719060243690496</v>
      </c>
      <c r="AB31" s="336">
        <f>((AB29+AB27)*AB26)*'Unit Costs and Indicators'!$A$132</f>
        <v>1.719060243690496</v>
      </c>
      <c r="AC31" s="336">
        <f>((AC29+AC27)*AC26)*'Unit Costs and Indicators'!$A$132</f>
        <v>1.719060243690496</v>
      </c>
      <c r="AD31" s="336">
        <f>((AD29+AD27)*AD26)*'Unit Costs and Indicators'!$A$132</f>
        <v>1.719060243690496</v>
      </c>
      <c r="AE31" s="336">
        <f>((AE29+AE27)*AE26)*'Unit Costs and Indicators'!$A$132</f>
        <v>1.719060243690496</v>
      </c>
      <c r="AF31" s="336">
        <f>((AF29+AF27)*AF26)*'Unit Costs and Indicators'!$A$132</f>
        <v>1.719060243690496</v>
      </c>
      <c r="AG31" s="336">
        <f>((AG29+AG27)*AG26)*'Unit Costs and Indicators'!$A$132</f>
        <v>1.719060243690496</v>
      </c>
      <c r="AH31" s="336">
        <f>((AH29+AH27)*AH26)*'Unit Costs and Indicators'!$A$132</f>
        <v>1.719060243690496</v>
      </c>
      <c r="AI31" s="336">
        <f>((AI29+AI27)*AI26)*'Unit Costs and Indicators'!$A$132</f>
        <v>1.719060243690496</v>
      </c>
      <c r="AJ31" s="336">
        <f>((AJ29+AJ27)*AJ26)*'Unit Costs and Indicators'!$A$132</f>
        <v>1.719060243690496</v>
      </c>
      <c r="AK31" s="336">
        <f>((AK29+AK27)*AK26)*'Unit Costs and Indicators'!$A$132</f>
        <v>1.719060243690496</v>
      </c>
      <c r="AL31" s="336">
        <f>((AL29+AL27)*AL26)*'Unit Costs and Indicators'!$A$132</f>
        <v>1.719060243690496</v>
      </c>
      <c r="AM31" s="336">
        <f>((AM29+AM27)*AM26)*'Unit Costs and Indicators'!$A$132</f>
        <v>1.719060243690496</v>
      </c>
      <c r="AN31" s="336">
        <f>((AN29+AN27)*AN26)*'Unit Costs and Indicators'!$A$132</f>
        <v>1.719060243690496</v>
      </c>
      <c r="AO31" s="336">
        <f>((AO29+AO27)*AO26)*'Unit Costs and Indicators'!$A$132</f>
        <v>1.719060243690496</v>
      </c>
      <c r="AP31" s="336">
        <f>((AP29+AP27)*AP26)*'Unit Costs and Indicators'!$A$132</f>
        <v>1.719060243690496</v>
      </c>
      <c r="AQ31" s="336">
        <f>((AQ29+AQ27)*AQ26)*'Unit Costs and Indicators'!$A$132</f>
        <v>1.719060243690496</v>
      </c>
      <c r="AR31" s="336">
        <f>((AR29+AR27)*AR26)*'Unit Costs and Indicators'!$A$132</f>
        <v>1.719060243690496</v>
      </c>
      <c r="AS31" s="336">
        <f>((AS29+AS27)*AS26)*'Unit Costs and Indicators'!$A$132</f>
        <v>1.719060243690496</v>
      </c>
      <c r="AT31" s="336">
        <f>((AT29+AT27)*AT26)*'Unit Costs and Indicators'!$A$132</f>
        <v>1.719060243690496</v>
      </c>
      <c r="AU31" s="336">
        <f>((AU29+AU27)*AU26)*'Unit Costs and Indicators'!$A$132</f>
        <v>1.719060243690496</v>
      </c>
      <c r="AV31" s="336">
        <f>((AV29+AV27)*AV26)*'Unit Costs and Indicators'!$A$132</f>
        <v>1.719060243690496</v>
      </c>
      <c r="AW31" s="336">
        <f>((AW29+AW27)*AW26)*'Unit Costs and Indicators'!$A$132</f>
        <v>1.719060243690496</v>
      </c>
      <c r="AX31" s="336">
        <f>((AX29+AX27)*AX26)*'Unit Costs and Indicators'!$A$132</f>
        <v>1.719060243690496</v>
      </c>
      <c r="AY31" s="336">
        <f>((AY29+AY27)*AY26)*'Unit Costs and Indicators'!$A$132</f>
        <v>1.719060243690496</v>
      </c>
      <c r="AZ31" s="336">
        <f>((AZ29+AZ27)*AZ26)*'Unit Costs and Indicators'!$A$132</f>
        <v>1.719060243690496</v>
      </c>
      <c r="BA31" s="336">
        <f>((BA29+BA27)*BA26)*'Unit Costs and Indicators'!$A$132</f>
        <v>1.719060243690496</v>
      </c>
      <c r="BB31" s="336">
        <f>((BB29+BB27)*BB26)*'Unit Costs and Indicators'!$A$132</f>
        <v>1.719060243690496</v>
      </c>
      <c r="BC31" s="336">
        <f>((BC29+BC27)*BC26)*'Unit Costs and Indicators'!$A$132</f>
        <v>1.719060243690496</v>
      </c>
      <c r="BD31" s="336">
        <f>((BD29+BD27)*BD26)*'Unit Costs and Indicators'!$A$132</f>
        <v>1.719060243690496</v>
      </c>
      <c r="BE31" s="336">
        <f>((BE29+BE27)*BE26)*'Unit Costs and Indicators'!$A$132</f>
        <v>1.719060243690496</v>
      </c>
      <c r="BF31" s="336">
        <f>((BF29+BF27)*BF26)*'Unit Costs and Indicators'!$A$132</f>
        <v>1.719060243690496</v>
      </c>
      <c r="BG31" s="336">
        <f>((BG29+BG27)*BG26)*'Unit Costs and Indicators'!$A$132</f>
        <v>1.719060243690496</v>
      </c>
      <c r="BH31" s="336">
        <f>((BH29+BH27)*BH26)*'Unit Costs and Indicators'!$A$132</f>
        <v>1.719060243690496</v>
      </c>
      <c r="BI31" s="336">
        <f>((BI29+BI27)*BI26)*'Unit Costs and Indicators'!$A$132</f>
        <v>1.719060243690496</v>
      </c>
      <c r="BJ31" s="336">
        <f>((BJ29+BJ27)*BJ26)*'Unit Costs and Indicators'!$A$132</f>
        <v>1.719060243690496</v>
      </c>
      <c r="BK31" s="336">
        <f>((BK29+BK27)*BK26)*'Unit Costs and Indicators'!$A$132</f>
        <v>1.719060243690496</v>
      </c>
      <c r="BL31" s="336">
        <f>((BL29+BL27)*BL26)*'Unit Costs and Indicators'!$A$132</f>
        <v>1.719060243690496</v>
      </c>
      <c r="BM31" s="336">
        <f>((BM29+BM27)*BM26)*'Unit Costs and Indicators'!$A$132</f>
        <v>1.719060243690496</v>
      </c>
      <c r="BN31" s="336">
        <f>((BN29+BN27)*BN26)*'Unit Costs and Indicators'!$A$132</f>
        <v>1.719060243690496</v>
      </c>
      <c r="BO31" s="336">
        <f>((BO29+BO27)*BO26)*'Unit Costs and Indicators'!$A$132</f>
        <v>1.719060243690496</v>
      </c>
      <c r="BP31" s="336">
        <f>((BP29+BP27)*BP26)*'Unit Costs and Indicators'!$A$132</f>
        <v>1.719060243690496</v>
      </c>
      <c r="BQ31" s="336">
        <f>((BQ29+BQ27)*BQ26)*'Unit Costs and Indicators'!$A$132</f>
        <v>1.719060243690496</v>
      </c>
      <c r="BR31" s="336">
        <f>((BR29+BR27)*BR26)*'Unit Costs and Indicators'!$A$132</f>
        <v>1.719060243690496</v>
      </c>
      <c r="BS31" s="336">
        <f>((BS29+BS27)*BS26)*'Unit Costs and Indicators'!$A$132</f>
        <v>1.719060243690496</v>
      </c>
      <c r="BT31" s="336">
        <f>((BT29+BT27)*BT26)*'Unit Costs and Indicators'!$A$132</f>
        <v>1.719060243690496</v>
      </c>
      <c r="BU31" s="336">
        <f>((BU29+BU27)*BU26)*'Unit Costs and Indicators'!$A$132</f>
        <v>1.719060243690496</v>
      </c>
      <c r="BV31" s="336">
        <f>((BV29+BV27)*BV26)*'Unit Costs and Indicators'!$A$132</f>
        <v>1.719060243690496</v>
      </c>
      <c r="BW31" s="336">
        <f>((BW29+BW27)*BW26)*'Unit Costs and Indicators'!$A$132</f>
        <v>1.719060243690496</v>
      </c>
      <c r="BX31" s="336">
        <f>((BX29+BX27)*BX26)*'Unit Costs and Indicators'!$A$132</f>
        <v>1.719060243690496</v>
      </c>
      <c r="BY31" s="336">
        <f>((BY29+BY27)*BY26)*'Unit Costs and Indicators'!$A$132</f>
        <v>1.719060243690496</v>
      </c>
      <c r="BZ31" s="336">
        <f>((BZ29+BZ27)*BZ26)*'Unit Costs and Indicators'!$A$132</f>
        <v>1.719060243690496</v>
      </c>
      <c r="CA31" s="336">
        <f>((CA29+CA27)*CA26)*'Unit Costs and Indicators'!$A$132</f>
        <v>1.719060243690496</v>
      </c>
      <c r="CB31" s="336">
        <f>((CB29+CB27)*CB26)*'Unit Costs and Indicators'!$A$132</f>
        <v>1.719060243690496</v>
      </c>
      <c r="CC31" s="336">
        <f>((CC29+CC27)*CC26)*'Unit Costs and Indicators'!$A$132</f>
        <v>1.719060243690496</v>
      </c>
      <c r="CD31" s="336">
        <f>((CD29+CD27)*CD26)*'Unit Costs and Indicators'!$A$132</f>
        <v>1.719060243690496</v>
      </c>
      <c r="CE31" s="336">
        <f>((CE29+CE27)*CE26)*'Unit Costs and Indicators'!$A$132</f>
        <v>1.719060243690496</v>
      </c>
      <c r="CF31" s="336">
        <f>((CF29+CF27)*CF26)*'Unit Costs and Indicators'!$A$132</f>
        <v>1.719060243690496</v>
      </c>
      <c r="CG31" s="336">
        <f>((CG29+CG27)*CG26)*'Unit Costs and Indicators'!$A$132</f>
        <v>1.719060243690496</v>
      </c>
      <c r="CH31" s="336">
        <f>((CH29+CH27)*CH26)*'Unit Costs and Indicators'!$A$132</f>
        <v>1.719060243690496</v>
      </c>
      <c r="CI31" s="336">
        <f>((CI29+CI27)*CI26)*'Unit Costs and Indicators'!$A$132</f>
        <v>1.719060243690496</v>
      </c>
      <c r="CJ31" s="336">
        <f>((CJ29+CJ27)*CJ26)*'Unit Costs and Indicators'!$A$132</f>
        <v>1.719060243690496</v>
      </c>
      <c r="CK31" s="336">
        <f>((CK29+CK27)*CK26)*'Unit Costs and Indicators'!$A$132</f>
        <v>1.719060243690496</v>
      </c>
      <c r="CL31" s="336">
        <f>((CL29+CL27)*CL26)*'Unit Costs and Indicators'!$A$132</f>
        <v>1.719060243690496</v>
      </c>
      <c r="CM31" s="336">
        <f>((CM29+CM27)*CM26)*'Unit Costs and Indicators'!$A$132</f>
        <v>1.719060243690496</v>
      </c>
      <c r="CN31" s="336">
        <f>((CN29+CN27)*CN26)*'Unit Costs and Indicators'!$A$132</f>
        <v>1.719060243690496</v>
      </c>
      <c r="CO31" s="336">
        <f>((CO29+CO27)*CO26)*'Unit Costs and Indicators'!$A$132</f>
        <v>1.719060243690496</v>
      </c>
      <c r="CP31" s="336">
        <f>((CP29+CP27)*CP26)*'Unit Costs and Indicators'!$A$132</f>
        <v>1.719060243690496</v>
      </c>
      <c r="CQ31" s="336">
        <f>((CQ29+CQ27)*CQ26)*'Unit Costs and Indicators'!$A$132</f>
        <v>1.719060243690496</v>
      </c>
      <c r="CR31" s="336">
        <f>((CR29+CR27)*CR26)*'Unit Costs and Indicators'!$A$132</f>
        <v>1.719060243690496</v>
      </c>
      <c r="CS31" s="336">
        <f>((CS29+CS27)*CS26)*'Unit Costs and Indicators'!$A$132</f>
        <v>1.719060243690496</v>
      </c>
      <c r="CT31" s="336">
        <f>((CT29+CT27)*CT26)*'Unit Costs and Indicators'!$A$132</f>
        <v>1.719060243690496</v>
      </c>
      <c r="CU31" s="336">
        <f>((CU29+CU27)*CU26)*'Unit Costs and Indicators'!$A$132</f>
        <v>1.719060243690496</v>
      </c>
      <c r="CV31" s="336">
        <f>((CV29+CV27)*CV26)*'Unit Costs and Indicators'!$A$132</f>
        <v>1.719060243690496</v>
      </c>
      <c r="CW31" s="336">
        <f>((CW29+CW27)*CW26)*'Unit Costs and Indicators'!$A$132</f>
        <v>1.719060243690496</v>
      </c>
      <c r="CX31" s="336">
        <f>((CX29+CX27)*CX26)*'Unit Costs and Indicators'!$A$132</f>
        <v>1.719060243690496</v>
      </c>
      <c r="CY31" s="336">
        <f>((CY29+CY27)*CY26)*'Unit Costs and Indicators'!$A$132</f>
        <v>1.719060243690496</v>
      </c>
      <c r="CZ31" s="336">
        <f>((CZ29+CZ27)*CZ26)*'Unit Costs and Indicators'!$A$132</f>
        <v>1.719060243690496</v>
      </c>
      <c r="DA31" s="336">
        <f>((DA29+DA27)*DA26)*'Unit Costs and Indicators'!$A$132</f>
        <v>1.719060243690496</v>
      </c>
      <c r="DB31" s="336">
        <f>((DB29+DB27)*DB26)*'Unit Costs and Indicators'!$A$132</f>
        <v>1.719060243690496</v>
      </c>
      <c r="DC31" s="336">
        <f>((DC29+DC27)*DC26)*'Unit Costs and Indicators'!$A$132</f>
        <v>1.719060243690496</v>
      </c>
      <c r="DD31" s="336">
        <f>((DD29+DD27)*DD26)*'Unit Costs and Indicators'!$A$132</f>
        <v>1.719060243690496</v>
      </c>
      <c r="DE31" s="336">
        <f>((DE29+DE27)*DE26)*'Unit Costs and Indicators'!$A$132</f>
        <v>1.719060243690496</v>
      </c>
      <c r="DF31" s="333"/>
      <c r="DG31" s="333"/>
      <c r="DH31" s="333"/>
      <c r="DI31" s="333"/>
      <c r="DJ31" s="333"/>
      <c r="DK31" s="333"/>
      <c r="DL31" s="333"/>
    </row>
    <row r="32" spans="1:116" ht="15.75" customHeight="1" x14ac:dyDescent="0.25">
      <c r="A32" s="751"/>
      <c r="B32" s="751"/>
      <c r="C32" s="338" t="s">
        <v>258</v>
      </c>
      <c r="D32" s="339" t="s">
        <v>259</v>
      </c>
      <c r="E32" s="338">
        <f>(2.08/1000)</f>
        <v>2.0800000000000003E-3</v>
      </c>
      <c r="F32" s="338"/>
      <c r="G32" s="510" t="s">
        <v>260</v>
      </c>
      <c r="H32" s="343">
        <f>E32*(1+0.11)</f>
        <v>2.3088000000000006E-3</v>
      </c>
      <c r="I32" s="369">
        <f t="shared" ref="I32:AH32" si="12">H32*(1+0.11)</f>
        <v>2.5627680000000009E-3</v>
      </c>
      <c r="J32" s="369">
        <f t="shared" si="12"/>
        <v>2.844672480000001E-3</v>
      </c>
      <c r="K32" s="369">
        <f t="shared" si="12"/>
        <v>3.1575864528000015E-3</v>
      </c>
      <c r="L32" s="369">
        <f t="shared" si="12"/>
        <v>3.5049209626080019E-3</v>
      </c>
      <c r="M32" s="369">
        <f t="shared" si="12"/>
        <v>3.8904622684948825E-3</v>
      </c>
      <c r="N32" s="369">
        <f t="shared" si="12"/>
        <v>4.3184131180293199E-3</v>
      </c>
      <c r="O32" s="369">
        <f t="shared" si="12"/>
        <v>4.7934385610125451E-3</v>
      </c>
      <c r="P32" s="369">
        <f t="shared" si="12"/>
        <v>5.3207168027239252E-3</v>
      </c>
      <c r="Q32" s="369">
        <f t="shared" si="12"/>
        <v>5.9059956510235578E-3</v>
      </c>
      <c r="R32" s="369">
        <f t="shared" si="12"/>
        <v>6.5556551726361498E-3</v>
      </c>
      <c r="S32" s="369">
        <f t="shared" si="12"/>
        <v>7.276777241626127E-3</v>
      </c>
      <c r="T32" s="369">
        <f t="shared" si="12"/>
        <v>8.0772227382050008E-3</v>
      </c>
      <c r="U32" s="369">
        <f t="shared" si="12"/>
        <v>8.9657172394075509E-3</v>
      </c>
      <c r="V32" s="369">
        <f t="shared" si="12"/>
        <v>9.9519461357423823E-3</v>
      </c>
      <c r="W32" s="369">
        <f t="shared" si="12"/>
        <v>1.1046660210674046E-2</v>
      </c>
      <c r="X32" s="369">
        <f t="shared" si="12"/>
        <v>1.2261792833848192E-2</v>
      </c>
      <c r="Y32" s="369">
        <f t="shared" si="12"/>
        <v>1.3610590045571495E-2</v>
      </c>
      <c r="Z32" s="369">
        <f t="shared" si="12"/>
        <v>1.5107754950584361E-2</v>
      </c>
      <c r="AA32" s="369">
        <f t="shared" si="12"/>
        <v>1.6769607995148643E-2</v>
      </c>
      <c r="AB32" s="369">
        <f t="shared" si="12"/>
        <v>1.8614264874614997E-2</v>
      </c>
      <c r="AC32" s="369">
        <f t="shared" si="12"/>
        <v>2.0661834010822649E-2</v>
      </c>
      <c r="AD32" s="369">
        <f t="shared" si="12"/>
        <v>2.2934635752013141E-2</v>
      </c>
      <c r="AE32" s="369">
        <f t="shared" si="12"/>
        <v>2.5457445684734587E-2</v>
      </c>
      <c r="AF32" s="369">
        <f t="shared" si="12"/>
        <v>2.8257764710055394E-2</v>
      </c>
      <c r="AG32" s="369">
        <f t="shared" si="12"/>
        <v>3.1366118828161489E-2</v>
      </c>
      <c r="AH32" s="369">
        <f t="shared" si="12"/>
        <v>3.4816391899259259E-2</v>
      </c>
      <c r="AI32" s="369">
        <f t="shared" ref="AI32:DE32" si="13">AH32</f>
        <v>3.4816391899259259E-2</v>
      </c>
      <c r="AJ32" s="369">
        <f t="shared" si="13"/>
        <v>3.4816391899259259E-2</v>
      </c>
      <c r="AK32" s="369">
        <f t="shared" si="13"/>
        <v>3.4816391899259259E-2</v>
      </c>
      <c r="AL32" s="369">
        <f t="shared" si="13"/>
        <v>3.4816391899259259E-2</v>
      </c>
      <c r="AM32" s="369">
        <f t="shared" si="13"/>
        <v>3.4816391899259259E-2</v>
      </c>
      <c r="AN32" s="369">
        <f t="shared" si="13"/>
        <v>3.4816391899259259E-2</v>
      </c>
      <c r="AO32" s="369">
        <f t="shared" si="13"/>
        <v>3.4816391899259259E-2</v>
      </c>
      <c r="AP32" s="369">
        <f t="shared" si="13"/>
        <v>3.4816391899259259E-2</v>
      </c>
      <c r="AQ32" s="369">
        <f t="shared" si="13"/>
        <v>3.4816391899259259E-2</v>
      </c>
      <c r="AR32" s="369">
        <f t="shared" si="13"/>
        <v>3.4816391899259259E-2</v>
      </c>
      <c r="AS32" s="369">
        <f t="shared" si="13"/>
        <v>3.4816391899259259E-2</v>
      </c>
      <c r="AT32" s="369">
        <f t="shared" si="13"/>
        <v>3.4816391899259259E-2</v>
      </c>
      <c r="AU32" s="369">
        <f t="shared" si="13"/>
        <v>3.4816391899259259E-2</v>
      </c>
      <c r="AV32" s="369">
        <f t="shared" si="13"/>
        <v>3.4816391899259259E-2</v>
      </c>
      <c r="AW32" s="369">
        <f t="shared" si="13"/>
        <v>3.4816391899259259E-2</v>
      </c>
      <c r="AX32" s="369">
        <f t="shared" si="13"/>
        <v>3.4816391899259259E-2</v>
      </c>
      <c r="AY32" s="369">
        <f t="shared" si="13"/>
        <v>3.4816391899259259E-2</v>
      </c>
      <c r="AZ32" s="369">
        <f t="shared" si="13"/>
        <v>3.4816391899259259E-2</v>
      </c>
      <c r="BA32" s="369">
        <f t="shared" si="13"/>
        <v>3.4816391899259259E-2</v>
      </c>
      <c r="BB32" s="369">
        <f t="shared" si="13"/>
        <v>3.4816391899259259E-2</v>
      </c>
      <c r="BC32" s="369">
        <f t="shared" si="13"/>
        <v>3.4816391899259259E-2</v>
      </c>
      <c r="BD32" s="369">
        <f t="shared" si="13"/>
        <v>3.4816391899259259E-2</v>
      </c>
      <c r="BE32" s="369">
        <f t="shared" si="13"/>
        <v>3.4816391899259259E-2</v>
      </c>
      <c r="BF32" s="369">
        <f t="shared" si="13"/>
        <v>3.4816391899259259E-2</v>
      </c>
      <c r="BG32" s="369">
        <f t="shared" si="13"/>
        <v>3.4816391899259259E-2</v>
      </c>
      <c r="BH32" s="369">
        <f t="shared" si="13"/>
        <v>3.4816391899259259E-2</v>
      </c>
      <c r="BI32" s="369">
        <f t="shared" si="13"/>
        <v>3.4816391899259259E-2</v>
      </c>
      <c r="BJ32" s="369">
        <f t="shared" si="13"/>
        <v>3.4816391899259259E-2</v>
      </c>
      <c r="BK32" s="369">
        <f t="shared" si="13"/>
        <v>3.4816391899259259E-2</v>
      </c>
      <c r="BL32" s="369">
        <f t="shared" si="13"/>
        <v>3.4816391899259259E-2</v>
      </c>
      <c r="BM32" s="369">
        <f t="shared" si="13"/>
        <v>3.4816391899259259E-2</v>
      </c>
      <c r="BN32" s="369">
        <f t="shared" si="13"/>
        <v>3.4816391899259259E-2</v>
      </c>
      <c r="BO32" s="369">
        <f t="shared" si="13"/>
        <v>3.4816391899259259E-2</v>
      </c>
      <c r="BP32" s="369">
        <f t="shared" si="13"/>
        <v>3.4816391899259259E-2</v>
      </c>
      <c r="BQ32" s="369">
        <f t="shared" si="13"/>
        <v>3.4816391899259259E-2</v>
      </c>
      <c r="BR32" s="369">
        <f t="shared" si="13"/>
        <v>3.4816391899259259E-2</v>
      </c>
      <c r="BS32" s="369">
        <f t="shared" si="13"/>
        <v>3.4816391899259259E-2</v>
      </c>
      <c r="BT32" s="369">
        <f t="shared" si="13"/>
        <v>3.4816391899259259E-2</v>
      </c>
      <c r="BU32" s="369">
        <f t="shared" si="13"/>
        <v>3.4816391899259259E-2</v>
      </c>
      <c r="BV32" s="369">
        <f t="shared" si="13"/>
        <v>3.4816391899259259E-2</v>
      </c>
      <c r="BW32" s="369">
        <f t="shared" si="13"/>
        <v>3.4816391899259259E-2</v>
      </c>
      <c r="BX32" s="369">
        <f t="shared" si="13"/>
        <v>3.4816391899259259E-2</v>
      </c>
      <c r="BY32" s="369">
        <f t="shared" si="13"/>
        <v>3.4816391899259259E-2</v>
      </c>
      <c r="BZ32" s="369">
        <f t="shared" si="13"/>
        <v>3.4816391899259259E-2</v>
      </c>
      <c r="CA32" s="369">
        <f t="shared" si="13"/>
        <v>3.4816391899259259E-2</v>
      </c>
      <c r="CB32" s="369">
        <f t="shared" si="13"/>
        <v>3.4816391899259259E-2</v>
      </c>
      <c r="CC32" s="369">
        <f t="shared" si="13"/>
        <v>3.4816391899259259E-2</v>
      </c>
      <c r="CD32" s="369">
        <f t="shared" si="13"/>
        <v>3.4816391899259259E-2</v>
      </c>
      <c r="CE32" s="369">
        <f t="shared" si="13"/>
        <v>3.4816391899259259E-2</v>
      </c>
      <c r="CF32" s="369">
        <f t="shared" si="13"/>
        <v>3.4816391899259259E-2</v>
      </c>
      <c r="CG32" s="369">
        <f t="shared" si="13"/>
        <v>3.4816391899259259E-2</v>
      </c>
      <c r="CH32" s="369">
        <f t="shared" si="13"/>
        <v>3.4816391899259259E-2</v>
      </c>
      <c r="CI32" s="369">
        <f t="shared" si="13"/>
        <v>3.4816391899259259E-2</v>
      </c>
      <c r="CJ32" s="369">
        <f t="shared" si="13"/>
        <v>3.4816391899259259E-2</v>
      </c>
      <c r="CK32" s="369">
        <f t="shared" si="13"/>
        <v>3.4816391899259259E-2</v>
      </c>
      <c r="CL32" s="369">
        <f t="shared" si="13"/>
        <v>3.4816391899259259E-2</v>
      </c>
      <c r="CM32" s="369">
        <f t="shared" si="13"/>
        <v>3.4816391899259259E-2</v>
      </c>
      <c r="CN32" s="369">
        <f t="shared" si="13"/>
        <v>3.4816391899259259E-2</v>
      </c>
      <c r="CO32" s="369">
        <f t="shared" si="13"/>
        <v>3.4816391899259259E-2</v>
      </c>
      <c r="CP32" s="369">
        <f t="shared" si="13"/>
        <v>3.4816391899259259E-2</v>
      </c>
      <c r="CQ32" s="369">
        <f t="shared" si="13"/>
        <v>3.4816391899259259E-2</v>
      </c>
      <c r="CR32" s="369">
        <f t="shared" si="13"/>
        <v>3.4816391899259259E-2</v>
      </c>
      <c r="CS32" s="369">
        <f t="shared" si="13"/>
        <v>3.4816391899259259E-2</v>
      </c>
      <c r="CT32" s="369">
        <f t="shared" si="13"/>
        <v>3.4816391899259259E-2</v>
      </c>
      <c r="CU32" s="369">
        <f t="shared" si="13"/>
        <v>3.4816391899259259E-2</v>
      </c>
      <c r="CV32" s="369">
        <f t="shared" si="13"/>
        <v>3.4816391899259259E-2</v>
      </c>
      <c r="CW32" s="369">
        <f t="shared" si="13"/>
        <v>3.4816391899259259E-2</v>
      </c>
      <c r="CX32" s="369">
        <f t="shared" si="13"/>
        <v>3.4816391899259259E-2</v>
      </c>
      <c r="CY32" s="369">
        <f t="shared" si="13"/>
        <v>3.4816391899259259E-2</v>
      </c>
      <c r="CZ32" s="369">
        <f t="shared" si="13"/>
        <v>3.4816391899259259E-2</v>
      </c>
      <c r="DA32" s="369">
        <f t="shared" si="13"/>
        <v>3.4816391899259259E-2</v>
      </c>
      <c r="DB32" s="369">
        <f t="shared" si="13"/>
        <v>3.4816391899259259E-2</v>
      </c>
      <c r="DC32" s="369">
        <f t="shared" si="13"/>
        <v>3.4816391899259259E-2</v>
      </c>
      <c r="DD32" s="369">
        <f t="shared" si="13"/>
        <v>3.4816391899259259E-2</v>
      </c>
      <c r="DE32" s="369">
        <f t="shared" si="13"/>
        <v>3.4816391899259259E-2</v>
      </c>
      <c r="DF32" s="344"/>
      <c r="DG32" s="344"/>
      <c r="DH32" s="344"/>
      <c r="DI32" s="344"/>
      <c r="DJ32" s="344"/>
      <c r="DK32" s="344"/>
      <c r="DL32" s="344"/>
    </row>
    <row r="33" spans="1:116" ht="15.75" customHeight="1" x14ac:dyDescent="0.25">
      <c r="A33" s="751"/>
      <c r="B33" s="751"/>
      <c r="C33" s="321" t="s">
        <v>261</v>
      </c>
      <c r="D33" s="279" t="s">
        <v>262</v>
      </c>
      <c r="E33" s="280"/>
      <c r="F33" s="280"/>
      <c r="G33" s="279"/>
      <c r="H33" s="511">
        <f t="shared" ref="H33:DE33" si="14">H32*H9</f>
        <v>0</v>
      </c>
      <c r="I33" s="298">
        <f t="shared" si="14"/>
        <v>0</v>
      </c>
      <c r="J33" s="298">
        <f t="shared" si="14"/>
        <v>0</v>
      </c>
      <c r="K33" s="298">
        <f t="shared" si="14"/>
        <v>0</v>
      </c>
      <c r="L33" s="298">
        <f t="shared" si="14"/>
        <v>0</v>
      </c>
      <c r="M33" s="298">
        <f t="shared" si="14"/>
        <v>0</v>
      </c>
      <c r="N33" s="298">
        <f t="shared" si="14"/>
        <v>0</v>
      </c>
      <c r="O33" s="298">
        <f t="shared" si="14"/>
        <v>0</v>
      </c>
      <c r="P33" s="298">
        <f t="shared" si="14"/>
        <v>0</v>
      </c>
      <c r="Q33" s="298">
        <f t="shared" si="14"/>
        <v>0</v>
      </c>
      <c r="R33" s="298">
        <f t="shared" si="14"/>
        <v>0</v>
      </c>
      <c r="S33" s="298">
        <f t="shared" si="14"/>
        <v>0</v>
      </c>
      <c r="T33" s="298">
        <f t="shared" si="14"/>
        <v>0</v>
      </c>
      <c r="U33" s="298">
        <f t="shared" si="14"/>
        <v>0</v>
      </c>
      <c r="V33" s="298">
        <f t="shared" si="14"/>
        <v>0</v>
      </c>
      <c r="W33" s="298">
        <f t="shared" si="14"/>
        <v>0</v>
      </c>
      <c r="X33" s="298">
        <f t="shared" si="14"/>
        <v>0</v>
      </c>
      <c r="Y33" s="298">
        <f t="shared" si="14"/>
        <v>0</v>
      </c>
      <c r="Z33" s="298">
        <f t="shared" si="14"/>
        <v>0</v>
      </c>
      <c r="AA33" s="298">
        <f t="shared" si="14"/>
        <v>0</v>
      </c>
      <c r="AB33" s="298">
        <f t="shared" si="14"/>
        <v>0</v>
      </c>
      <c r="AC33" s="298">
        <f t="shared" si="14"/>
        <v>0</v>
      </c>
      <c r="AD33" s="298">
        <f t="shared" si="14"/>
        <v>0</v>
      </c>
      <c r="AE33" s="298">
        <f t="shared" si="14"/>
        <v>0</v>
      </c>
      <c r="AF33" s="298">
        <f t="shared" si="14"/>
        <v>0</v>
      </c>
      <c r="AG33" s="298">
        <f t="shared" si="14"/>
        <v>0</v>
      </c>
      <c r="AH33" s="298">
        <f t="shared" si="14"/>
        <v>0</v>
      </c>
      <c r="AI33" s="298">
        <f t="shared" si="14"/>
        <v>0</v>
      </c>
      <c r="AJ33" s="298">
        <f t="shared" si="14"/>
        <v>0</v>
      </c>
      <c r="AK33" s="298">
        <f t="shared" si="14"/>
        <v>0</v>
      </c>
      <c r="AL33" s="298">
        <f t="shared" si="14"/>
        <v>0</v>
      </c>
      <c r="AM33" s="298">
        <f t="shared" si="14"/>
        <v>0</v>
      </c>
      <c r="AN33" s="298">
        <f t="shared" si="14"/>
        <v>0</v>
      </c>
      <c r="AO33" s="298">
        <f t="shared" si="14"/>
        <v>0</v>
      </c>
      <c r="AP33" s="298">
        <f t="shared" si="14"/>
        <v>0</v>
      </c>
      <c r="AQ33" s="298">
        <f t="shared" si="14"/>
        <v>0</v>
      </c>
      <c r="AR33" s="298">
        <f t="shared" si="14"/>
        <v>0</v>
      </c>
      <c r="AS33" s="298">
        <f t="shared" si="14"/>
        <v>0</v>
      </c>
      <c r="AT33" s="298">
        <f t="shared" si="14"/>
        <v>0</v>
      </c>
      <c r="AU33" s="298">
        <f t="shared" si="14"/>
        <v>0</v>
      </c>
      <c r="AV33" s="298">
        <f t="shared" si="14"/>
        <v>0</v>
      </c>
      <c r="AW33" s="298">
        <f t="shared" si="14"/>
        <v>0</v>
      </c>
      <c r="AX33" s="298">
        <f t="shared" si="14"/>
        <v>0</v>
      </c>
      <c r="AY33" s="298">
        <f t="shared" si="14"/>
        <v>0</v>
      </c>
      <c r="AZ33" s="298">
        <f t="shared" si="14"/>
        <v>0</v>
      </c>
      <c r="BA33" s="298">
        <f t="shared" si="14"/>
        <v>0</v>
      </c>
      <c r="BB33" s="298">
        <f t="shared" si="14"/>
        <v>0</v>
      </c>
      <c r="BC33" s="298">
        <f t="shared" si="14"/>
        <v>0</v>
      </c>
      <c r="BD33" s="298">
        <f t="shared" si="14"/>
        <v>0</v>
      </c>
      <c r="BE33" s="298">
        <f t="shared" si="14"/>
        <v>0</v>
      </c>
      <c r="BF33" s="298">
        <f t="shared" si="14"/>
        <v>0</v>
      </c>
      <c r="BG33" s="298">
        <f t="shared" si="14"/>
        <v>0</v>
      </c>
      <c r="BH33" s="298">
        <f t="shared" si="14"/>
        <v>0</v>
      </c>
      <c r="BI33" s="298">
        <f t="shared" si="14"/>
        <v>0</v>
      </c>
      <c r="BJ33" s="298">
        <f t="shared" si="14"/>
        <v>0</v>
      </c>
      <c r="BK33" s="298">
        <f t="shared" si="14"/>
        <v>0</v>
      </c>
      <c r="BL33" s="298">
        <f t="shared" si="14"/>
        <v>0</v>
      </c>
      <c r="BM33" s="298">
        <f t="shared" si="14"/>
        <v>0</v>
      </c>
      <c r="BN33" s="298">
        <f t="shared" si="14"/>
        <v>0</v>
      </c>
      <c r="BO33" s="298">
        <f t="shared" si="14"/>
        <v>0</v>
      </c>
      <c r="BP33" s="298">
        <f t="shared" si="14"/>
        <v>0</v>
      </c>
      <c r="BQ33" s="298">
        <f t="shared" si="14"/>
        <v>0</v>
      </c>
      <c r="BR33" s="298">
        <f t="shared" si="14"/>
        <v>0</v>
      </c>
      <c r="BS33" s="298">
        <f t="shared" si="14"/>
        <v>0</v>
      </c>
      <c r="BT33" s="298">
        <f t="shared" si="14"/>
        <v>0</v>
      </c>
      <c r="BU33" s="298">
        <f t="shared" si="14"/>
        <v>0</v>
      </c>
      <c r="BV33" s="298">
        <f t="shared" si="14"/>
        <v>0</v>
      </c>
      <c r="BW33" s="298">
        <f t="shared" si="14"/>
        <v>0</v>
      </c>
      <c r="BX33" s="298">
        <f t="shared" si="14"/>
        <v>0</v>
      </c>
      <c r="BY33" s="298">
        <f t="shared" si="14"/>
        <v>0</v>
      </c>
      <c r="BZ33" s="298">
        <f t="shared" si="14"/>
        <v>0</v>
      </c>
      <c r="CA33" s="298">
        <f t="shared" si="14"/>
        <v>0</v>
      </c>
      <c r="CB33" s="298">
        <f t="shared" si="14"/>
        <v>0</v>
      </c>
      <c r="CC33" s="298">
        <f t="shared" si="14"/>
        <v>0</v>
      </c>
      <c r="CD33" s="298">
        <f t="shared" si="14"/>
        <v>0</v>
      </c>
      <c r="CE33" s="298">
        <f t="shared" si="14"/>
        <v>0</v>
      </c>
      <c r="CF33" s="298">
        <f t="shared" si="14"/>
        <v>0</v>
      </c>
      <c r="CG33" s="298">
        <f t="shared" si="14"/>
        <v>0</v>
      </c>
      <c r="CH33" s="298">
        <f t="shared" si="14"/>
        <v>0</v>
      </c>
      <c r="CI33" s="298">
        <f t="shared" si="14"/>
        <v>0</v>
      </c>
      <c r="CJ33" s="298">
        <f t="shared" si="14"/>
        <v>0</v>
      </c>
      <c r="CK33" s="298">
        <f t="shared" si="14"/>
        <v>0</v>
      </c>
      <c r="CL33" s="298">
        <f t="shared" si="14"/>
        <v>0</v>
      </c>
      <c r="CM33" s="298">
        <f t="shared" si="14"/>
        <v>0</v>
      </c>
      <c r="CN33" s="298">
        <f t="shared" si="14"/>
        <v>0</v>
      </c>
      <c r="CO33" s="298">
        <f t="shared" si="14"/>
        <v>0</v>
      </c>
      <c r="CP33" s="298">
        <f t="shared" si="14"/>
        <v>0</v>
      </c>
      <c r="CQ33" s="298">
        <f t="shared" si="14"/>
        <v>0</v>
      </c>
      <c r="CR33" s="298">
        <f t="shared" si="14"/>
        <v>0</v>
      </c>
      <c r="CS33" s="298">
        <f t="shared" si="14"/>
        <v>0</v>
      </c>
      <c r="CT33" s="298">
        <f t="shared" si="14"/>
        <v>0</v>
      </c>
      <c r="CU33" s="298">
        <f t="shared" si="14"/>
        <v>0</v>
      </c>
      <c r="CV33" s="298">
        <f t="shared" si="14"/>
        <v>0</v>
      </c>
      <c r="CW33" s="298">
        <f t="shared" si="14"/>
        <v>0</v>
      </c>
      <c r="CX33" s="298">
        <f t="shared" si="14"/>
        <v>0</v>
      </c>
      <c r="CY33" s="298">
        <f t="shared" si="14"/>
        <v>0</v>
      </c>
      <c r="CZ33" s="298">
        <f t="shared" si="14"/>
        <v>0</v>
      </c>
      <c r="DA33" s="298">
        <f t="shared" si="14"/>
        <v>0</v>
      </c>
      <c r="DB33" s="298">
        <f t="shared" si="14"/>
        <v>0</v>
      </c>
      <c r="DC33" s="298">
        <f t="shared" si="14"/>
        <v>0</v>
      </c>
      <c r="DD33" s="298">
        <f t="shared" si="14"/>
        <v>0</v>
      </c>
      <c r="DE33" s="298">
        <f t="shared" si="14"/>
        <v>0</v>
      </c>
      <c r="DF33" s="346"/>
      <c r="DG33" s="346"/>
      <c r="DH33" s="346"/>
      <c r="DI33" s="346"/>
      <c r="DJ33" s="346"/>
      <c r="DK33" s="346"/>
      <c r="DL33" s="346"/>
    </row>
    <row r="34" spans="1:116" ht="15.75" customHeight="1" x14ac:dyDescent="0.25">
      <c r="A34" s="751"/>
      <c r="B34" s="751"/>
      <c r="C34" s="321" t="s">
        <v>263</v>
      </c>
      <c r="D34" s="279"/>
      <c r="E34" s="280"/>
      <c r="F34" s="280"/>
      <c r="G34" s="279"/>
      <c r="H34" s="511">
        <f t="shared" ref="H34:DE34" si="15">H33*H29</f>
        <v>0</v>
      </c>
      <c r="I34" s="298">
        <f t="shared" si="15"/>
        <v>0</v>
      </c>
      <c r="J34" s="298">
        <f t="shared" si="15"/>
        <v>0</v>
      </c>
      <c r="K34" s="298">
        <f t="shared" si="15"/>
        <v>0</v>
      </c>
      <c r="L34" s="298">
        <f t="shared" si="15"/>
        <v>0</v>
      </c>
      <c r="M34" s="298">
        <f t="shared" si="15"/>
        <v>0</v>
      </c>
      <c r="N34" s="298">
        <f t="shared" si="15"/>
        <v>0</v>
      </c>
      <c r="O34" s="298">
        <f t="shared" si="15"/>
        <v>0</v>
      </c>
      <c r="P34" s="298">
        <f t="shared" si="15"/>
        <v>0</v>
      </c>
      <c r="Q34" s="298">
        <f t="shared" si="15"/>
        <v>0</v>
      </c>
      <c r="R34" s="298">
        <f t="shared" si="15"/>
        <v>0</v>
      </c>
      <c r="S34" s="298">
        <f t="shared" si="15"/>
        <v>0</v>
      </c>
      <c r="T34" s="298">
        <f t="shared" si="15"/>
        <v>0</v>
      </c>
      <c r="U34" s="298">
        <f t="shared" si="15"/>
        <v>0</v>
      </c>
      <c r="V34" s="298">
        <f t="shared" si="15"/>
        <v>0</v>
      </c>
      <c r="W34" s="298">
        <f t="shared" si="15"/>
        <v>0</v>
      </c>
      <c r="X34" s="298">
        <f t="shared" si="15"/>
        <v>0</v>
      </c>
      <c r="Y34" s="298">
        <f t="shared" si="15"/>
        <v>0</v>
      </c>
      <c r="Z34" s="298">
        <f t="shared" si="15"/>
        <v>0</v>
      </c>
      <c r="AA34" s="298">
        <f t="shared" si="15"/>
        <v>0</v>
      </c>
      <c r="AB34" s="298">
        <f t="shared" si="15"/>
        <v>0</v>
      </c>
      <c r="AC34" s="298">
        <f t="shared" si="15"/>
        <v>0</v>
      </c>
      <c r="AD34" s="298">
        <f t="shared" si="15"/>
        <v>0</v>
      </c>
      <c r="AE34" s="298">
        <f t="shared" si="15"/>
        <v>0</v>
      </c>
      <c r="AF34" s="298">
        <f t="shared" si="15"/>
        <v>0</v>
      </c>
      <c r="AG34" s="298">
        <f t="shared" si="15"/>
        <v>0</v>
      </c>
      <c r="AH34" s="298">
        <f t="shared" si="15"/>
        <v>0</v>
      </c>
      <c r="AI34" s="298">
        <f t="shared" si="15"/>
        <v>0</v>
      </c>
      <c r="AJ34" s="298">
        <f t="shared" si="15"/>
        <v>0</v>
      </c>
      <c r="AK34" s="298">
        <f t="shared" si="15"/>
        <v>0</v>
      </c>
      <c r="AL34" s="298">
        <f t="shared" si="15"/>
        <v>0</v>
      </c>
      <c r="AM34" s="298">
        <f t="shared" si="15"/>
        <v>0</v>
      </c>
      <c r="AN34" s="298">
        <f t="shared" si="15"/>
        <v>0</v>
      </c>
      <c r="AO34" s="298">
        <f t="shared" si="15"/>
        <v>0</v>
      </c>
      <c r="AP34" s="298">
        <f t="shared" si="15"/>
        <v>0</v>
      </c>
      <c r="AQ34" s="298">
        <f t="shared" si="15"/>
        <v>0</v>
      </c>
      <c r="AR34" s="298">
        <f t="shared" si="15"/>
        <v>0</v>
      </c>
      <c r="AS34" s="298">
        <f t="shared" si="15"/>
        <v>0</v>
      </c>
      <c r="AT34" s="298">
        <f t="shared" si="15"/>
        <v>0</v>
      </c>
      <c r="AU34" s="298">
        <f t="shared" si="15"/>
        <v>0</v>
      </c>
      <c r="AV34" s="298">
        <f t="shared" si="15"/>
        <v>0</v>
      </c>
      <c r="AW34" s="298">
        <f t="shared" si="15"/>
        <v>0</v>
      </c>
      <c r="AX34" s="298">
        <f t="shared" si="15"/>
        <v>0</v>
      </c>
      <c r="AY34" s="298">
        <f t="shared" si="15"/>
        <v>0</v>
      </c>
      <c r="AZ34" s="298">
        <f t="shared" si="15"/>
        <v>0</v>
      </c>
      <c r="BA34" s="298">
        <f t="shared" si="15"/>
        <v>0</v>
      </c>
      <c r="BB34" s="298">
        <f t="shared" si="15"/>
        <v>0</v>
      </c>
      <c r="BC34" s="298">
        <f t="shared" si="15"/>
        <v>0</v>
      </c>
      <c r="BD34" s="298">
        <f t="shared" si="15"/>
        <v>0</v>
      </c>
      <c r="BE34" s="298">
        <f t="shared" si="15"/>
        <v>0</v>
      </c>
      <c r="BF34" s="298">
        <f t="shared" si="15"/>
        <v>0</v>
      </c>
      <c r="BG34" s="298">
        <f t="shared" si="15"/>
        <v>0</v>
      </c>
      <c r="BH34" s="298">
        <f t="shared" si="15"/>
        <v>0</v>
      </c>
      <c r="BI34" s="298">
        <f t="shared" si="15"/>
        <v>0</v>
      </c>
      <c r="BJ34" s="298">
        <f t="shared" si="15"/>
        <v>0</v>
      </c>
      <c r="BK34" s="298">
        <f t="shared" si="15"/>
        <v>0</v>
      </c>
      <c r="BL34" s="298">
        <f t="shared" si="15"/>
        <v>0</v>
      </c>
      <c r="BM34" s="298">
        <f t="shared" si="15"/>
        <v>0</v>
      </c>
      <c r="BN34" s="298">
        <f t="shared" si="15"/>
        <v>0</v>
      </c>
      <c r="BO34" s="298">
        <f t="shared" si="15"/>
        <v>0</v>
      </c>
      <c r="BP34" s="298">
        <f t="shared" si="15"/>
        <v>0</v>
      </c>
      <c r="BQ34" s="298">
        <f t="shared" si="15"/>
        <v>0</v>
      </c>
      <c r="BR34" s="298">
        <f t="shared" si="15"/>
        <v>0</v>
      </c>
      <c r="BS34" s="298">
        <f t="shared" si="15"/>
        <v>0</v>
      </c>
      <c r="BT34" s="298">
        <f t="shared" si="15"/>
        <v>0</v>
      </c>
      <c r="BU34" s="298">
        <f t="shared" si="15"/>
        <v>0</v>
      </c>
      <c r="BV34" s="298">
        <f t="shared" si="15"/>
        <v>0</v>
      </c>
      <c r="BW34" s="298">
        <f t="shared" si="15"/>
        <v>0</v>
      </c>
      <c r="BX34" s="298">
        <f t="shared" si="15"/>
        <v>0</v>
      </c>
      <c r="BY34" s="298">
        <f t="shared" si="15"/>
        <v>0</v>
      </c>
      <c r="BZ34" s="298">
        <f t="shared" si="15"/>
        <v>0</v>
      </c>
      <c r="CA34" s="298">
        <f t="shared" si="15"/>
        <v>0</v>
      </c>
      <c r="CB34" s="298">
        <f t="shared" si="15"/>
        <v>0</v>
      </c>
      <c r="CC34" s="298">
        <f t="shared" si="15"/>
        <v>0</v>
      </c>
      <c r="CD34" s="298">
        <f t="shared" si="15"/>
        <v>0</v>
      </c>
      <c r="CE34" s="298">
        <f t="shared" si="15"/>
        <v>0</v>
      </c>
      <c r="CF34" s="298">
        <f t="shared" si="15"/>
        <v>0</v>
      </c>
      <c r="CG34" s="298">
        <f t="shared" si="15"/>
        <v>0</v>
      </c>
      <c r="CH34" s="298">
        <f t="shared" si="15"/>
        <v>0</v>
      </c>
      <c r="CI34" s="298">
        <f t="shared" si="15"/>
        <v>0</v>
      </c>
      <c r="CJ34" s="298">
        <f t="shared" si="15"/>
        <v>0</v>
      </c>
      <c r="CK34" s="298">
        <f t="shared" si="15"/>
        <v>0</v>
      </c>
      <c r="CL34" s="298">
        <f t="shared" si="15"/>
        <v>0</v>
      </c>
      <c r="CM34" s="298">
        <f t="shared" si="15"/>
        <v>0</v>
      </c>
      <c r="CN34" s="298">
        <f t="shared" si="15"/>
        <v>0</v>
      </c>
      <c r="CO34" s="298">
        <f t="shared" si="15"/>
        <v>0</v>
      </c>
      <c r="CP34" s="298">
        <f t="shared" si="15"/>
        <v>0</v>
      </c>
      <c r="CQ34" s="298">
        <f t="shared" si="15"/>
        <v>0</v>
      </c>
      <c r="CR34" s="298">
        <f t="shared" si="15"/>
        <v>0</v>
      </c>
      <c r="CS34" s="298">
        <f t="shared" si="15"/>
        <v>0</v>
      </c>
      <c r="CT34" s="298">
        <f t="shared" si="15"/>
        <v>0</v>
      </c>
      <c r="CU34" s="298">
        <f t="shared" si="15"/>
        <v>0</v>
      </c>
      <c r="CV34" s="298">
        <f t="shared" si="15"/>
        <v>0</v>
      </c>
      <c r="CW34" s="298">
        <f t="shared" si="15"/>
        <v>0</v>
      </c>
      <c r="CX34" s="298">
        <f t="shared" si="15"/>
        <v>0</v>
      </c>
      <c r="CY34" s="298">
        <f t="shared" si="15"/>
        <v>0</v>
      </c>
      <c r="CZ34" s="298">
        <f t="shared" si="15"/>
        <v>0</v>
      </c>
      <c r="DA34" s="298">
        <f t="shared" si="15"/>
        <v>0</v>
      </c>
      <c r="DB34" s="298">
        <f t="shared" si="15"/>
        <v>0</v>
      </c>
      <c r="DC34" s="298">
        <f t="shared" si="15"/>
        <v>0</v>
      </c>
      <c r="DD34" s="298">
        <f t="shared" si="15"/>
        <v>0</v>
      </c>
      <c r="DE34" s="298">
        <f t="shared" si="15"/>
        <v>0</v>
      </c>
      <c r="DF34" s="346"/>
      <c r="DG34" s="346"/>
      <c r="DH34" s="346"/>
      <c r="DI34" s="346"/>
      <c r="DJ34" s="346"/>
      <c r="DK34" s="346"/>
      <c r="DL34" s="346"/>
    </row>
    <row r="35" spans="1:116" ht="15.75" customHeight="1" x14ac:dyDescent="0.25">
      <c r="A35" s="751"/>
      <c r="B35" s="751"/>
      <c r="C35" s="321" t="s">
        <v>244</v>
      </c>
      <c r="D35" s="279"/>
      <c r="E35" s="280"/>
      <c r="F35" s="280"/>
      <c r="G35" s="279"/>
      <c r="H35" s="512">
        <f>'Unit Costs and Indicators'!$A$132*H34</f>
        <v>0</v>
      </c>
      <c r="I35" s="296">
        <f>'Unit Costs and Indicators'!$A$132*I34</f>
        <v>0</v>
      </c>
      <c r="J35" s="296">
        <f>'Unit Costs and Indicators'!$A$132*J34</f>
        <v>0</v>
      </c>
      <c r="K35" s="296">
        <f>'Unit Costs and Indicators'!$A$132*K34</f>
        <v>0</v>
      </c>
      <c r="L35" s="296">
        <f>'Unit Costs and Indicators'!$A$132*L34</f>
        <v>0</v>
      </c>
      <c r="M35" s="296">
        <f>'Unit Costs and Indicators'!$A$132*M34</f>
        <v>0</v>
      </c>
      <c r="N35" s="296">
        <f>'Unit Costs and Indicators'!$A$132*N34</f>
        <v>0</v>
      </c>
      <c r="O35" s="296">
        <f>'Unit Costs and Indicators'!$A$132*O34</f>
        <v>0</v>
      </c>
      <c r="P35" s="296">
        <f>'Unit Costs and Indicators'!$A$132*P34</f>
        <v>0</v>
      </c>
      <c r="Q35" s="296">
        <f>'Unit Costs and Indicators'!$A$132*Q34</f>
        <v>0</v>
      </c>
      <c r="R35" s="296">
        <f>'Unit Costs and Indicators'!$A$132*R34</f>
        <v>0</v>
      </c>
      <c r="S35" s="296">
        <f>'Unit Costs and Indicators'!$A$132*S34</f>
        <v>0</v>
      </c>
      <c r="T35" s="296">
        <f>'Unit Costs and Indicators'!$A$132*T34</f>
        <v>0</v>
      </c>
      <c r="U35" s="296">
        <f>'Unit Costs and Indicators'!$A$132*U34</f>
        <v>0</v>
      </c>
      <c r="V35" s="296">
        <f>'Unit Costs and Indicators'!$A$132*V34</f>
        <v>0</v>
      </c>
      <c r="W35" s="296">
        <f>'Unit Costs and Indicators'!$A$132*W34</f>
        <v>0</v>
      </c>
      <c r="X35" s="296">
        <f>'Unit Costs and Indicators'!$A$132*X34</f>
        <v>0</v>
      </c>
      <c r="Y35" s="296">
        <f>'Unit Costs and Indicators'!$A$132*Y34</f>
        <v>0</v>
      </c>
      <c r="Z35" s="296">
        <f>'Unit Costs and Indicators'!$A$132*Z34</f>
        <v>0</v>
      </c>
      <c r="AA35" s="296">
        <f>'Unit Costs and Indicators'!$A$132*AA34</f>
        <v>0</v>
      </c>
      <c r="AB35" s="296">
        <f>'Unit Costs and Indicators'!$A$132*AB34</f>
        <v>0</v>
      </c>
      <c r="AC35" s="296">
        <f>'Unit Costs and Indicators'!$A$132*AC34</f>
        <v>0</v>
      </c>
      <c r="AD35" s="296">
        <f>'Unit Costs and Indicators'!$A$132*AD34</f>
        <v>0</v>
      </c>
      <c r="AE35" s="296">
        <f>'Unit Costs and Indicators'!$A$132*AE34</f>
        <v>0</v>
      </c>
      <c r="AF35" s="296">
        <f>'Unit Costs and Indicators'!$A$132*AF34</f>
        <v>0</v>
      </c>
      <c r="AG35" s="296">
        <f>'Unit Costs and Indicators'!$A$132*AG34</f>
        <v>0</v>
      </c>
      <c r="AH35" s="296">
        <f>'Unit Costs and Indicators'!$A$132*AH34</f>
        <v>0</v>
      </c>
      <c r="AI35" s="296">
        <f>'Unit Costs and Indicators'!$A$132*AI34</f>
        <v>0</v>
      </c>
      <c r="AJ35" s="296">
        <f>'Unit Costs and Indicators'!$A$132*AJ34</f>
        <v>0</v>
      </c>
      <c r="AK35" s="296">
        <f>'Unit Costs and Indicators'!$A$132*AK34</f>
        <v>0</v>
      </c>
      <c r="AL35" s="296">
        <f>'Unit Costs and Indicators'!$A$132*AL34</f>
        <v>0</v>
      </c>
      <c r="AM35" s="296">
        <f>'Unit Costs and Indicators'!$A$132*AM34</f>
        <v>0</v>
      </c>
      <c r="AN35" s="296">
        <f>'Unit Costs and Indicators'!$A$132*AN34</f>
        <v>0</v>
      </c>
      <c r="AO35" s="296">
        <f>'Unit Costs and Indicators'!$A$132*AO34</f>
        <v>0</v>
      </c>
      <c r="AP35" s="296">
        <f>'Unit Costs and Indicators'!$A$132*AP34</f>
        <v>0</v>
      </c>
      <c r="AQ35" s="296">
        <f>'Unit Costs and Indicators'!$A$132*AQ34</f>
        <v>0</v>
      </c>
      <c r="AR35" s="296">
        <f>'Unit Costs and Indicators'!$A$132*AR34</f>
        <v>0</v>
      </c>
      <c r="AS35" s="296">
        <f>'Unit Costs and Indicators'!$A$132*AS34</f>
        <v>0</v>
      </c>
      <c r="AT35" s="296">
        <f>'Unit Costs and Indicators'!$A$132*AT34</f>
        <v>0</v>
      </c>
      <c r="AU35" s="296">
        <f>'Unit Costs and Indicators'!$A$132*AU34</f>
        <v>0</v>
      </c>
      <c r="AV35" s="296">
        <f>'Unit Costs and Indicators'!$A$132*AV34</f>
        <v>0</v>
      </c>
      <c r="AW35" s="296">
        <f>'Unit Costs and Indicators'!$A$132*AW34</f>
        <v>0</v>
      </c>
      <c r="AX35" s="296">
        <f>'Unit Costs and Indicators'!$A$132*AX34</f>
        <v>0</v>
      </c>
      <c r="AY35" s="296">
        <f>'Unit Costs and Indicators'!$A$132*AY34</f>
        <v>0</v>
      </c>
      <c r="AZ35" s="296">
        <f>'Unit Costs and Indicators'!$A$132*AZ34</f>
        <v>0</v>
      </c>
      <c r="BA35" s="296">
        <f>'Unit Costs and Indicators'!$A$132*BA34</f>
        <v>0</v>
      </c>
      <c r="BB35" s="296">
        <f>'Unit Costs and Indicators'!$A$132*BB34</f>
        <v>0</v>
      </c>
      <c r="BC35" s="296">
        <f>'Unit Costs and Indicators'!$A$132*BC34</f>
        <v>0</v>
      </c>
      <c r="BD35" s="296">
        <f>'Unit Costs and Indicators'!$A$132*BD34</f>
        <v>0</v>
      </c>
      <c r="BE35" s="296">
        <f>'Unit Costs and Indicators'!$A$132*BE34</f>
        <v>0</v>
      </c>
      <c r="BF35" s="296">
        <f>'Unit Costs and Indicators'!$A$132*BF34</f>
        <v>0</v>
      </c>
      <c r="BG35" s="296">
        <f>'Unit Costs and Indicators'!$A$132*BG34</f>
        <v>0</v>
      </c>
      <c r="BH35" s="296">
        <f>'Unit Costs and Indicators'!$A$132*BH34</f>
        <v>0</v>
      </c>
      <c r="BI35" s="296">
        <f>'Unit Costs and Indicators'!$A$132*BI34</f>
        <v>0</v>
      </c>
      <c r="BJ35" s="296">
        <f>'Unit Costs and Indicators'!$A$132*BJ34</f>
        <v>0</v>
      </c>
      <c r="BK35" s="296">
        <f>'Unit Costs and Indicators'!$A$132*BK34</f>
        <v>0</v>
      </c>
      <c r="BL35" s="296">
        <f>'Unit Costs and Indicators'!$A$132*BL34</f>
        <v>0</v>
      </c>
      <c r="BM35" s="296">
        <f>'Unit Costs and Indicators'!$A$132*BM34</f>
        <v>0</v>
      </c>
      <c r="BN35" s="296">
        <f>'Unit Costs and Indicators'!$A$132*BN34</f>
        <v>0</v>
      </c>
      <c r="BO35" s="296">
        <f>'Unit Costs and Indicators'!$A$132*BO34</f>
        <v>0</v>
      </c>
      <c r="BP35" s="296">
        <f>'Unit Costs and Indicators'!$A$132*BP34</f>
        <v>0</v>
      </c>
      <c r="BQ35" s="296">
        <f>'Unit Costs and Indicators'!$A$132*BQ34</f>
        <v>0</v>
      </c>
      <c r="BR35" s="296">
        <f>'Unit Costs and Indicators'!$A$132*BR34</f>
        <v>0</v>
      </c>
      <c r="BS35" s="296">
        <f>'Unit Costs and Indicators'!$A$132*BS34</f>
        <v>0</v>
      </c>
      <c r="BT35" s="296">
        <f>'Unit Costs and Indicators'!$A$132*BT34</f>
        <v>0</v>
      </c>
      <c r="BU35" s="296">
        <f>'Unit Costs and Indicators'!$A$132*BU34</f>
        <v>0</v>
      </c>
      <c r="BV35" s="296">
        <f>'Unit Costs and Indicators'!$A$132*BV34</f>
        <v>0</v>
      </c>
      <c r="BW35" s="296">
        <f>'Unit Costs and Indicators'!$A$132*BW34</f>
        <v>0</v>
      </c>
      <c r="BX35" s="296">
        <f>'Unit Costs and Indicators'!$A$132*BX34</f>
        <v>0</v>
      </c>
      <c r="BY35" s="296">
        <f>'Unit Costs and Indicators'!$A$132*BY34</f>
        <v>0</v>
      </c>
      <c r="BZ35" s="296">
        <f>'Unit Costs and Indicators'!$A$132*BZ34</f>
        <v>0</v>
      </c>
      <c r="CA35" s="296">
        <f>'Unit Costs and Indicators'!$A$132*CA34</f>
        <v>0</v>
      </c>
      <c r="CB35" s="296">
        <f>'Unit Costs and Indicators'!$A$132*CB34</f>
        <v>0</v>
      </c>
      <c r="CC35" s="296">
        <f>'Unit Costs and Indicators'!$A$132*CC34</f>
        <v>0</v>
      </c>
      <c r="CD35" s="296">
        <f>'Unit Costs and Indicators'!$A$132*CD34</f>
        <v>0</v>
      </c>
      <c r="CE35" s="296">
        <f>'Unit Costs and Indicators'!$A$132*CE34</f>
        <v>0</v>
      </c>
      <c r="CF35" s="296">
        <f>'Unit Costs and Indicators'!$A$132*CF34</f>
        <v>0</v>
      </c>
      <c r="CG35" s="296">
        <f>'Unit Costs and Indicators'!$A$132*CG34</f>
        <v>0</v>
      </c>
      <c r="CH35" s="296">
        <f>'Unit Costs and Indicators'!$A$132*CH34</f>
        <v>0</v>
      </c>
      <c r="CI35" s="296">
        <f>'Unit Costs and Indicators'!$A$132*CI34</f>
        <v>0</v>
      </c>
      <c r="CJ35" s="296">
        <f>'Unit Costs and Indicators'!$A$132*CJ34</f>
        <v>0</v>
      </c>
      <c r="CK35" s="296">
        <f>'Unit Costs and Indicators'!$A$132*CK34</f>
        <v>0</v>
      </c>
      <c r="CL35" s="296">
        <f>'Unit Costs and Indicators'!$A$132*CL34</f>
        <v>0</v>
      </c>
      <c r="CM35" s="296">
        <f>'Unit Costs and Indicators'!$A$132*CM34</f>
        <v>0</v>
      </c>
      <c r="CN35" s="296">
        <f>'Unit Costs and Indicators'!$A$132*CN34</f>
        <v>0</v>
      </c>
      <c r="CO35" s="296">
        <f>'Unit Costs and Indicators'!$A$132*CO34</f>
        <v>0</v>
      </c>
      <c r="CP35" s="296">
        <f>'Unit Costs and Indicators'!$A$132*CP34</f>
        <v>0</v>
      </c>
      <c r="CQ35" s="296">
        <f>'Unit Costs and Indicators'!$A$132*CQ34</f>
        <v>0</v>
      </c>
      <c r="CR35" s="296">
        <f>'Unit Costs and Indicators'!$A$132*CR34</f>
        <v>0</v>
      </c>
      <c r="CS35" s="296">
        <f>'Unit Costs and Indicators'!$A$132*CS34</f>
        <v>0</v>
      </c>
      <c r="CT35" s="296">
        <f>'Unit Costs and Indicators'!$A$132*CT34</f>
        <v>0</v>
      </c>
      <c r="CU35" s="296">
        <f>'Unit Costs and Indicators'!$A$132*CU34</f>
        <v>0</v>
      </c>
      <c r="CV35" s="296">
        <f>'Unit Costs and Indicators'!$A$132*CV34</f>
        <v>0</v>
      </c>
      <c r="CW35" s="296">
        <f>'Unit Costs and Indicators'!$A$132*CW34</f>
        <v>0</v>
      </c>
      <c r="CX35" s="296">
        <f>'Unit Costs and Indicators'!$A$132*CX34</f>
        <v>0</v>
      </c>
      <c r="CY35" s="296">
        <f>'Unit Costs and Indicators'!$A$132*CY34</f>
        <v>0</v>
      </c>
      <c r="CZ35" s="296">
        <f>'Unit Costs and Indicators'!$A$132*CZ34</f>
        <v>0</v>
      </c>
      <c r="DA35" s="296">
        <f>'Unit Costs and Indicators'!$A$132*DA34</f>
        <v>0</v>
      </c>
      <c r="DB35" s="296">
        <f>'Unit Costs and Indicators'!$A$132*DB34</f>
        <v>0</v>
      </c>
      <c r="DC35" s="296">
        <f>'Unit Costs and Indicators'!$A$132*DC34</f>
        <v>0</v>
      </c>
      <c r="DD35" s="296">
        <f>'Unit Costs and Indicators'!$A$132*DD34</f>
        <v>0</v>
      </c>
      <c r="DE35" s="296">
        <f>'Unit Costs and Indicators'!$A$132*DE34</f>
        <v>0</v>
      </c>
      <c r="DF35" s="353"/>
      <c r="DG35" s="353"/>
      <c r="DH35" s="353"/>
      <c r="DI35" s="353"/>
      <c r="DJ35" s="353"/>
      <c r="DK35" s="353"/>
      <c r="DL35" s="353"/>
    </row>
    <row r="36" spans="1:116" ht="15.75" customHeight="1" x14ac:dyDescent="0.25">
      <c r="A36" s="751"/>
      <c r="B36" s="751"/>
      <c r="C36" s="347" t="s">
        <v>387</v>
      </c>
      <c r="D36" s="348"/>
      <c r="E36" s="293" t="s">
        <v>388</v>
      </c>
      <c r="F36" s="349"/>
      <c r="G36" s="348"/>
      <c r="H36" s="350">
        <f>211200000*'Unit Costs and Indicators'!$L$10</f>
        <v>17676.767676767675</v>
      </c>
      <c r="I36" s="513">
        <f>211200000*'Unit Costs and Indicators'!$L$10</f>
        <v>17676.767676767675</v>
      </c>
      <c r="J36" s="513">
        <f>211200000*'Unit Costs and Indicators'!$L$10</f>
        <v>17676.767676767675</v>
      </c>
      <c r="K36" s="513">
        <f>211200000*'Unit Costs and Indicators'!$L$10</f>
        <v>17676.767676767675</v>
      </c>
      <c r="L36" s="513">
        <f>211200000*'Unit Costs and Indicators'!$L$10</f>
        <v>17676.767676767675</v>
      </c>
      <c r="M36" s="513">
        <f>211200000*'Unit Costs and Indicators'!$L$10</f>
        <v>17676.767676767675</v>
      </c>
      <c r="N36" s="513">
        <f>211200000*'Unit Costs and Indicators'!$L$10</f>
        <v>17676.767676767675</v>
      </c>
      <c r="O36" s="513">
        <f>211200000*'Unit Costs and Indicators'!$L$10</f>
        <v>17676.767676767675</v>
      </c>
      <c r="P36" s="513">
        <f>211200000*'Unit Costs and Indicators'!$L$10</f>
        <v>17676.767676767675</v>
      </c>
      <c r="Q36" s="513">
        <f>211200000*'Unit Costs and Indicators'!$L$10</f>
        <v>17676.767676767675</v>
      </c>
      <c r="R36" s="513">
        <f>211200000*'Unit Costs and Indicators'!$L$10</f>
        <v>17676.767676767675</v>
      </c>
      <c r="S36" s="513">
        <f>211200000*'Unit Costs and Indicators'!$L$10</f>
        <v>17676.767676767675</v>
      </c>
      <c r="T36" s="513">
        <f>211200000*'Unit Costs and Indicators'!$L$10</f>
        <v>17676.767676767675</v>
      </c>
      <c r="U36" s="513">
        <f>211200000*'Unit Costs and Indicators'!$L$10</f>
        <v>17676.767676767675</v>
      </c>
      <c r="V36" s="513">
        <f>211200000*'Unit Costs and Indicators'!$L$10</f>
        <v>17676.767676767675</v>
      </c>
      <c r="W36" s="513">
        <f>211200000*'Unit Costs and Indicators'!$L$10</f>
        <v>17676.767676767675</v>
      </c>
      <c r="X36" s="513">
        <f>211200000*'Unit Costs and Indicators'!$L$10</f>
        <v>17676.767676767675</v>
      </c>
      <c r="Y36" s="513">
        <f>211200000*'Unit Costs and Indicators'!$L$10</f>
        <v>17676.767676767675</v>
      </c>
      <c r="Z36" s="513">
        <f>211200000*'Unit Costs and Indicators'!$L$10</f>
        <v>17676.767676767675</v>
      </c>
      <c r="AA36" s="513">
        <f>211200000*'Unit Costs and Indicators'!$L$10</f>
        <v>17676.767676767675</v>
      </c>
      <c r="AB36" s="513">
        <f>211200000*'Unit Costs and Indicators'!$L$10</f>
        <v>17676.767676767675</v>
      </c>
      <c r="AC36" s="513">
        <f>211200000*'Unit Costs and Indicators'!$L$10</f>
        <v>17676.767676767675</v>
      </c>
      <c r="AD36" s="513">
        <f>211200000*'Unit Costs and Indicators'!$L$10</f>
        <v>17676.767676767675</v>
      </c>
      <c r="AE36" s="513">
        <f>211200000*'Unit Costs and Indicators'!$L$10</f>
        <v>17676.767676767675</v>
      </c>
      <c r="AF36" s="513">
        <f>211200000*'Unit Costs and Indicators'!$L$10</f>
        <v>17676.767676767675</v>
      </c>
      <c r="AG36" s="513">
        <f>211200000*'Unit Costs and Indicators'!$L$10</f>
        <v>17676.767676767675</v>
      </c>
      <c r="AH36" s="513">
        <f>211200000*'Unit Costs and Indicators'!$L$10</f>
        <v>17676.767676767675</v>
      </c>
      <c r="AI36" s="513">
        <f>211200000*'Unit Costs and Indicators'!$L$10</f>
        <v>17676.767676767675</v>
      </c>
      <c r="AJ36" s="513">
        <f>211200000*'Unit Costs and Indicators'!$L$10</f>
        <v>17676.767676767675</v>
      </c>
      <c r="AK36" s="513">
        <f>211200000*'Unit Costs and Indicators'!$L$10</f>
        <v>17676.767676767675</v>
      </c>
      <c r="AL36" s="513">
        <f>211200000*'Unit Costs and Indicators'!$L$10</f>
        <v>17676.767676767675</v>
      </c>
      <c r="AM36" s="513">
        <f>211200000*'Unit Costs and Indicators'!$L$10</f>
        <v>17676.767676767675</v>
      </c>
      <c r="AN36" s="513">
        <f>211200000*'Unit Costs and Indicators'!$L$10</f>
        <v>17676.767676767675</v>
      </c>
      <c r="AO36" s="513">
        <f>211200000*'Unit Costs and Indicators'!$L$10</f>
        <v>17676.767676767675</v>
      </c>
      <c r="AP36" s="513">
        <f>211200000*'Unit Costs and Indicators'!$L$10</f>
        <v>17676.767676767675</v>
      </c>
      <c r="AQ36" s="513">
        <f>211200000*'Unit Costs and Indicators'!$L$10</f>
        <v>17676.767676767675</v>
      </c>
      <c r="AR36" s="513">
        <f>211200000*'Unit Costs and Indicators'!$L$10</f>
        <v>17676.767676767675</v>
      </c>
      <c r="AS36" s="513">
        <f>211200000*'Unit Costs and Indicators'!$L$10</f>
        <v>17676.767676767675</v>
      </c>
      <c r="AT36" s="513">
        <f>211200000*'Unit Costs and Indicators'!$L$10</f>
        <v>17676.767676767675</v>
      </c>
      <c r="AU36" s="513">
        <f>211200000*'Unit Costs and Indicators'!$L$10</f>
        <v>17676.767676767675</v>
      </c>
      <c r="AV36" s="513">
        <f>211200000*'Unit Costs and Indicators'!$L$10</f>
        <v>17676.767676767675</v>
      </c>
      <c r="AW36" s="513">
        <f>211200000*'Unit Costs and Indicators'!$L$10</f>
        <v>17676.767676767675</v>
      </c>
      <c r="AX36" s="513">
        <f>211200000*'Unit Costs and Indicators'!$L$10</f>
        <v>17676.767676767675</v>
      </c>
      <c r="AY36" s="513">
        <f>211200000*'Unit Costs and Indicators'!$L$10</f>
        <v>17676.767676767675</v>
      </c>
      <c r="AZ36" s="513">
        <f>211200000*'Unit Costs and Indicators'!$L$10</f>
        <v>17676.767676767675</v>
      </c>
      <c r="BA36" s="513">
        <f>211200000*'Unit Costs and Indicators'!$L$10</f>
        <v>17676.767676767675</v>
      </c>
      <c r="BB36" s="513">
        <f>211200000*'Unit Costs and Indicators'!$L$10</f>
        <v>17676.767676767675</v>
      </c>
      <c r="BC36" s="513">
        <f>211200000*'Unit Costs and Indicators'!$L$10</f>
        <v>17676.767676767675</v>
      </c>
      <c r="BD36" s="513">
        <f>211200000*'Unit Costs and Indicators'!$L$10</f>
        <v>17676.767676767675</v>
      </c>
      <c r="BE36" s="513">
        <f>211200000*'Unit Costs and Indicators'!$L$10</f>
        <v>17676.767676767675</v>
      </c>
      <c r="BF36" s="513">
        <f>211200000*'Unit Costs and Indicators'!$L$10</f>
        <v>17676.767676767675</v>
      </c>
      <c r="BG36" s="513">
        <f>211200000*'Unit Costs and Indicators'!$L$10</f>
        <v>17676.767676767675</v>
      </c>
      <c r="BH36" s="513">
        <f>211200000*'Unit Costs and Indicators'!$L$10</f>
        <v>17676.767676767675</v>
      </c>
      <c r="BI36" s="513">
        <f>211200000*'Unit Costs and Indicators'!$L$10</f>
        <v>17676.767676767675</v>
      </c>
      <c r="BJ36" s="513">
        <f>211200000*'Unit Costs and Indicators'!$L$10</f>
        <v>17676.767676767675</v>
      </c>
      <c r="BK36" s="513">
        <f>211200000*'Unit Costs and Indicators'!$L$10</f>
        <v>17676.767676767675</v>
      </c>
      <c r="BL36" s="513">
        <f>211200000*'Unit Costs and Indicators'!$L$10</f>
        <v>17676.767676767675</v>
      </c>
      <c r="BM36" s="513">
        <f>211200000*'Unit Costs and Indicators'!$L$10</f>
        <v>17676.767676767675</v>
      </c>
      <c r="BN36" s="513">
        <f>211200000*'Unit Costs and Indicators'!$L$10</f>
        <v>17676.767676767675</v>
      </c>
      <c r="BO36" s="513">
        <f>211200000*'Unit Costs and Indicators'!$L$10</f>
        <v>17676.767676767675</v>
      </c>
      <c r="BP36" s="513">
        <f>211200000*'Unit Costs and Indicators'!$L$10</f>
        <v>17676.767676767675</v>
      </c>
      <c r="BQ36" s="513">
        <f>211200000*'Unit Costs and Indicators'!$L$10</f>
        <v>17676.767676767675</v>
      </c>
      <c r="BR36" s="513">
        <f>211200000*'Unit Costs and Indicators'!$L$10</f>
        <v>17676.767676767675</v>
      </c>
      <c r="BS36" s="513">
        <f>211200000*'Unit Costs and Indicators'!$L$10</f>
        <v>17676.767676767675</v>
      </c>
      <c r="BT36" s="513">
        <f>211200000*'Unit Costs and Indicators'!$L$10</f>
        <v>17676.767676767675</v>
      </c>
      <c r="BU36" s="513">
        <f>211200000*'Unit Costs and Indicators'!$L$10</f>
        <v>17676.767676767675</v>
      </c>
      <c r="BV36" s="513">
        <f>211200000*'Unit Costs and Indicators'!$L$10</f>
        <v>17676.767676767675</v>
      </c>
      <c r="BW36" s="513">
        <f>211200000*'Unit Costs and Indicators'!$L$10</f>
        <v>17676.767676767675</v>
      </c>
      <c r="BX36" s="513">
        <f>211200000*'Unit Costs and Indicators'!$L$10</f>
        <v>17676.767676767675</v>
      </c>
      <c r="BY36" s="513">
        <f>211200000*'Unit Costs and Indicators'!$L$10</f>
        <v>17676.767676767675</v>
      </c>
      <c r="BZ36" s="513">
        <f>211200000*'Unit Costs and Indicators'!$L$10</f>
        <v>17676.767676767675</v>
      </c>
      <c r="CA36" s="513">
        <f>211200000*'Unit Costs and Indicators'!$L$10</f>
        <v>17676.767676767675</v>
      </c>
      <c r="CB36" s="513">
        <f>211200000*'Unit Costs and Indicators'!$L$10</f>
        <v>17676.767676767675</v>
      </c>
      <c r="CC36" s="513">
        <f>211200000*'Unit Costs and Indicators'!$L$10</f>
        <v>17676.767676767675</v>
      </c>
      <c r="CD36" s="513">
        <f>211200000*'Unit Costs and Indicators'!$L$10</f>
        <v>17676.767676767675</v>
      </c>
      <c r="CE36" s="513">
        <f>211200000*'Unit Costs and Indicators'!$L$10</f>
        <v>17676.767676767675</v>
      </c>
      <c r="CF36" s="513">
        <f>211200000*'Unit Costs and Indicators'!$L$10</f>
        <v>17676.767676767675</v>
      </c>
      <c r="CG36" s="513">
        <f>211200000*'Unit Costs and Indicators'!$L$10</f>
        <v>17676.767676767675</v>
      </c>
      <c r="CH36" s="513">
        <f>211200000*'Unit Costs and Indicators'!$L$10</f>
        <v>17676.767676767675</v>
      </c>
      <c r="CI36" s="513">
        <f>211200000*'Unit Costs and Indicators'!$L$10</f>
        <v>17676.767676767675</v>
      </c>
      <c r="CJ36" s="513">
        <f>211200000*'Unit Costs and Indicators'!$L$10</f>
        <v>17676.767676767675</v>
      </c>
      <c r="CK36" s="513">
        <f>211200000*'Unit Costs and Indicators'!$L$10</f>
        <v>17676.767676767675</v>
      </c>
      <c r="CL36" s="513">
        <f>211200000*'Unit Costs and Indicators'!$L$10</f>
        <v>17676.767676767675</v>
      </c>
      <c r="CM36" s="513">
        <f>211200000*'Unit Costs and Indicators'!$L$10</f>
        <v>17676.767676767675</v>
      </c>
      <c r="CN36" s="513">
        <f>211200000*'Unit Costs and Indicators'!$L$10</f>
        <v>17676.767676767675</v>
      </c>
      <c r="CO36" s="513">
        <f>211200000*'Unit Costs and Indicators'!$L$10</f>
        <v>17676.767676767675</v>
      </c>
      <c r="CP36" s="513">
        <f>211200000*'Unit Costs and Indicators'!$L$10</f>
        <v>17676.767676767675</v>
      </c>
      <c r="CQ36" s="513">
        <f>211200000*'Unit Costs and Indicators'!$L$10</f>
        <v>17676.767676767675</v>
      </c>
      <c r="CR36" s="513">
        <f>211200000*'Unit Costs and Indicators'!$L$10</f>
        <v>17676.767676767675</v>
      </c>
      <c r="CS36" s="513">
        <f>211200000*'Unit Costs and Indicators'!$L$10</f>
        <v>17676.767676767675</v>
      </c>
      <c r="CT36" s="513">
        <f>211200000*'Unit Costs and Indicators'!$L$10</f>
        <v>17676.767676767675</v>
      </c>
      <c r="CU36" s="513">
        <f>211200000*'Unit Costs and Indicators'!$L$10</f>
        <v>17676.767676767675</v>
      </c>
      <c r="CV36" s="513">
        <f>211200000*'Unit Costs and Indicators'!$L$10</f>
        <v>17676.767676767675</v>
      </c>
      <c r="CW36" s="513">
        <f>211200000*'Unit Costs and Indicators'!$L$10</f>
        <v>17676.767676767675</v>
      </c>
      <c r="CX36" s="513">
        <f>211200000*'Unit Costs and Indicators'!$L$10</f>
        <v>17676.767676767675</v>
      </c>
      <c r="CY36" s="513">
        <f>211200000*'Unit Costs and Indicators'!$L$10</f>
        <v>17676.767676767675</v>
      </c>
      <c r="CZ36" s="513">
        <f>211200000*'Unit Costs and Indicators'!$L$10</f>
        <v>17676.767676767675</v>
      </c>
      <c r="DA36" s="513">
        <f>211200000*'Unit Costs and Indicators'!$L$10</f>
        <v>17676.767676767675</v>
      </c>
      <c r="DB36" s="513">
        <f>211200000*'Unit Costs and Indicators'!$L$10</f>
        <v>17676.767676767675</v>
      </c>
      <c r="DC36" s="513">
        <f>211200000*'Unit Costs and Indicators'!$L$10</f>
        <v>17676.767676767675</v>
      </c>
      <c r="DD36" s="513">
        <f>211200000*'Unit Costs and Indicators'!$L$10</f>
        <v>17676.767676767675</v>
      </c>
      <c r="DE36" s="513">
        <f>211200000*'Unit Costs and Indicators'!$L$10</f>
        <v>17676.767676767675</v>
      </c>
      <c r="DF36" s="353"/>
      <c r="DG36" s="353"/>
      <c r="DH36" s="353"/>
      <c r="DI36" s="353"/>
      <c r="DJ36" s="353"/>
      <c r="DK36" s="353"/>
      <c r="DL36" s="353"/>
    </row>
    <row r="37" spans="1:116" ht="15.75" customHeight="1" x14ac:dyDescent="0.25">
      <c r="A37" s="751"/>
      <c r="B37" s="354"/>
      <c r="C37" s="355" t="s">
        <v>244</v>
      </c>
      <c r="D37" s="356" t="s">
        <v>247</v>
      </c>
      <c r="E37" s="357"/>
      <c r="F37" s="316" t="s">
        <v>14</v>
      </c>
      <c r="G37" s="317">
        <f t="array" ref="G37">NPV($C$4,J37:DE37)+I37</f>
        <v>789951.53906578966</v>
      </c>
      <c r="H37" s="359">
        <f t="shared" ref="H37:I37" si="16">H31+H36</f>
        <v>17678.486737011364</v>
      </c>
      <c r="I37" s="514">
        <f t="shared" si="16"/>
        <v>17678.486737011364</v>
      </c>
      <c r="J37" s="514">
        <f t="shared" ref="J37:DE37" si="17">(J31+J36)*(1 + $C$3)^(J5 - $I$5)</f>
        <v>18032.056471751592</v>
      </c>
      <c r="K37" s="514">
        <f t="shared" si="17"/>
        <v>18392.697601186625</v>
      </c>
      <c r="L37" s="514">
        <f t="shared" si="17"/>
        <v>18760.551553210356</v>
      </c>
      <c r="M37" s="514">
        <f t="shared" si="17"/>
        <v>19135.762584274562</v>
      </c>
      <c r="N37" s="514">
        <f t="shared" si="17"/>
        <v>19518.477835960053</v>
      </c>
      <c r="O37" s="514">
        <f t="shared" si="17"/>
        <v>19908.847392679258</v>
      </c>
      <c r="P37" s="514">
        <f t="shared" si="17"/>
        <v>20307.024340532837</v>
      </c>
      <c r="Q37" s="514">
        <f t="shared" si="17"/>
        <v>20713.164827343495</v>
      </c>
      <c r="R37" s="514">
        <f t="shared" si="17"/>
        <v>21127.428123890364</v>
      </c>
      <c r="S37" s="514">
        <f t="shared" si="17"/>
        <v>21549.976686368173</v>
      </c>
      <c r="T37" s="514">
        <f t="shared" si="17"/>
        <v>21980.976220095534</v>
      </c>
      <c r="U37" s="514">
        <f t="shared" si="17"/>
        <v>22420.595744497448</v>
      </c>
      <c r="V37" s="514">
        <f t="shared" si="17"/>
        <v>22869.007659387396</v>
      </c>
      <c r="W37" s="514">
        <f t="shared" si="17"/>
        <v>23326.387812575147</v>
      </c>
      <c r="X37" s="514">
        <f t="shared" si="17"/>
        <v>23792.915568826644</v>
      </c>
      <c r="Y37" s="514">
        <f t="shared" si="17"/>
        <v>24268.773880203178</v>
      </c>
      <c r="Z37" s="514">
        <f t="shared" si="17"/>
        <v>24754.149357807244</v>
      </c>
      <c r="AA37" s="514">
        <f t="shared" si="17"/>
        <v>25249.232344963388</v>
      </c>
      <c r="AB37" s="514">
        <f t="shared" si="17"/>
        <v>25754.216991862653</v>
      </c>
      <c r="AC37" s="514">
        <f t="shared" si="17"/>
        <v>26269.301331699909</v>
      </c>
      <c r="AD37" s="514">
        <f t="shared" si="17"/>
        <v>26794.687358333904</v>
      </c>
      <c r="AE37" s="514">
        <f t="shared" si="17"/>
        <v>27330.581105500583</v>
      </c>
      <c r="AF37" s="514">
        <f t="shared" si="17"/>
        <v>27877.192727610593</v>
      </c>
      <c r="AG37" s="514">
        <f t="shared" si="17"/>
        <v>28434.736582162805</v>
      </c>
      <c r="AH37" s="514">
        <f t="shared" si="17"/>
        <v>29003.431313806061</v>
      </c>
      <c r="AI37" s="514">
        <f t="shared" si="17"/>
        <v>29583.499940082187</v>
      </c>
      <c r="AJ37" s="514">
        <f t="shared" si="17"/>
        <v>30175.169938883824</v>
      </c>
      <c r="AK37" s="514">
        <f t="shared" si="17"/>
        <v>30778.673337661505</v>
      </c>
      <c r="AL37" s="514">
        <f t="shared" si="17"/>
        <v>31394.246804414732</v>
      </c>
      <c r="AM37" s="514">
        <f t="shared" si="17"/>
        <v>32022.131740503028</v>
      </c>
      <c r="AN37" s="514">
        <f t="shared" si="17"/>
        <v>32662.574375313081</v>
      </c>
      <c r="AO37" s="514">
        <f t="shared" si="17"/>
        <v>33315.825862819351</v>
      </c>
      <c r="AP37" s="514">
        <f t="shared" si="17"/>
        <v>33982.14238007574</v>
      </c>
      <c r="AQ37" s="514">
        <f t="shared" si="17"/>
        <v>34661.785227677254</v>
      </c>
      <c r="AR37" s="514">
        <f t="shared" si="17"/>
        <v>35355.020932230793</v>
      </c>
      <c r="AS37" s="514">
        <f t="shared" si="17"/>
        <v>36062.121350875408</v>
      </c>
      <c r="AT37" s="514">
        <f t="shared" si="17"/>
        <v>36783.363777892926</v>
      </c>
      <c r="AU37" s="514">
        <f t="shared" si="17"/>
        <v>37519.031053450788</v>
      </c>
      <c r="AV37" s="514">
        <f t="shared" si="17"/>
        <v>38269.41167451979</v>
      </c>
      <c r="AW37" s="514">
        <f t="shared" si="17"/>
        <v>39034.799908010194</v>
      </c>
      <c r="AX37" s="514">
        <f t="shared" si="17"/>
        <v>39815.495906170392</v>
      </c>
      <c r="AY37" s="514">
        <f t="shared" si="17"/>
        <v>40611.805824293799</v>
      </c>
      <c r="AZ37" s="514">
        <f t="shared" si="17"/>
        <v>41424.041940779673</v>
      </c>
      <c r="BA37" s="514">
        <f t="shared" si="17"/>
        <v>42252.522779595274</v>
      </c>
      <c r="BB37" s="514">
        <f t="shared" si="17"/>
        <v>43097.573235187177</v>
      </c>
      <c r="BC37" s="514">
        <f t="shared" si="17"/>
        <v>43959.524699890928</v>
      </c>
      <c r="BD37" s="514">
        <f t="shared" si="17"/>
        <v>44838.715193888725</v>
      </c>
      <c r="BE37" s="514">
        <f t="shared" si="17"/>
        <v>45735.48949776651</v>
      </c>
      <c r="BF37" s="514">
        <f t="shared" si="17"/>
        <v>46650.199287721844</v>
      </c>
      <c r="BG37" s="514">
        <f t="shared" si="17"/>
        <v>47583.203273476276</v>
      </c>
      <c r="BH37" s="514">
        <f t="shared" si="17"/>
        <v>48534.867338945798</v>
      </c>
      <c r="BI37" s="514">
        <f t="shared" si="17"/>
        <v>49505.564685724727</v>
      </c>
      <c r="BJ37" s="514">
        <f t="shared" si="17"/>
        <v>50495.675979439213</v>
      </c>
      <c r="BK37" s="514">
        <f t="shared" si="17"/>
        <v>51505.589499027999</v>
      </c>
      <c r="BL37" s="514">
        <f t="shared" si="17"/>
        <v>52535.701289008546</v>
      </c>
      <c r="BM37" s="514">
        <f t="shared" si="17"/>
        <v>53586.415314788719</v>
      </c>
      <c r="BN37" s="514">
        <f t="shared" si="17"/>
        <v>54658.143621084491</v>
      </c>
      <c r="BO37" s="514">
        <f t="shared" si="17"/>
        <v>55751.306493506192</v>
      </c>
      <c r="BP37" s="514">
        <f t="shared" si="17"/>
        <v>56866.332623376307</v>
      </c>
      <c r="BQ37" s="514">
        <f t="shared" si="17"/>
        <v>58003.659275843842</v>
      </c>
      <c r="BR37" s="514">
        <f t="shared" si="17"/>
        <v>59163.732461360712</v>
      </c>
      <c r="BS37" s="514">
        <f t="shared" si="17"/>
        <v>60347.007110587932</v>
      </c>
      <c r="BT37" s="514">
        <f t="shared" si="17"/>
        <v>61553.947252799677</v>
      </c>
      <c r="BU37" s="514">
        <f t="shared" si="17"/>
        <v>62785.026197855681</v>
      </c>
      <c r="BV37" s="514">
        <f t="shared" si="17"/>
        <v>64040.726721812804</v>
      </c>
      <c r="BW37" s="514">
        <f t="shared" si="17"/>
        <v>65321.541256249053</v>
      </c>
      <c r="BX37" s="514">
        <f t="shared" si="17"/>
        <v>66627.972081374028</v>
      </c>
      <c r="BY37" s="514">
        <f t="shared" si="17"/>
        <v>67960.531523001511</v>
      </c>
      <c r="BZ37" s="514">
        <f t="shared" si="17"/>
        <v>69319.742153461542</v>
      </c>
      <c r="CA37" s="514">
        <f t="shared" si="17"/>
        <v>70706.136996530782</v>
      </c>
      <c r="CB37" s="514">
        <f t="shared" si="17"/>
        <v>72120.25973646139</v>
      </c>
      <c r="CC37" s="514">
        <f t="shared" si="17"/>
        <v>73562.664931190622</v>
      </c>
      <c r="CD37" s="514">
        <f t="shared" si="17"/>
        <v>75033.91822981443</v>
      </c>
      <c r="CE37" s="514">
        <f t="shared" si="17"/>
        <v>76534.596594410716</v>
      </c>
      <c r="CF37" s="514">
        <f t="shared" si="17"/>
        <v>78065.288526298915</v>
      </c>
      <c r="CG37" s="514">
        <f t="shared" si="17"/>
        <v>79626.594296824915</v>
      </c>
      <c r="CH37" s="514">
        <f t="shared" si="17"/>
        <v>81219.126182761407</v>
      </c>
      <c r="CI37" s="514">
        <f t="shared" si="17"/>
        <v>82843.508706416644</v>
      </c>
      <c r="CJ37" s="514">
        <f t="shared" si="17"/>
        <v>84500.378880544959</v>
      </c>
      <c r="CK37" s="514">
        <f t="shared" si="17"/>
        <v>86190.386458155859</v>
      </c>
      <c r="CL37" s="514">
        <f t="shared" si="17"/>
        <v>87914.194187318979</v>
      </c>
      <c r="CM37" s="514">
        <f t="shared" si="17"/>
        <v>89672.478071065358</v>
      </c>
      <c r="CN37" s="514">
        <f t="shared" si="17"/>
        <v>91465.927632486666</v>
      </c>
      <c r="CO37" s="514">
        <f t="shared" si="17"/>
        <v>93295.246185136391</v>
      </c>
      <c r="CP37" s="514">
        <f t="shared" si="17"/>
        <v>95161.151108839127</v>
      </c>
      <c r="CQ37" s="514">
        <f t="shared" si="17"/>
        <v>97064.374131015909</v>
      </c>
      <c r="CR37" s="514">
        <f t="shared" si="17"/>
        <v>99005.661613636214</v>
      </c>
      <c r="CS37" s="514">
        <f t="shared" si="17"/>
        <v>100985.77484590893</v>
      </c>
      <c r="CT37" s="514">
        <f t="shared" si="17"/>
        <v>103005.49034282712</v>
      </c>
      <c r="CU37" s="514">
        <f t="shared" si="17"/>
        <v>105065.60014968367</v>
      </c>
      <c r="CV37" s="514">
        <f t="shared" si="17"/>
        <v>107166.91215267732</v>
      </c>
      <c r="CW37" s="514">
        <f t="shared" si="17"/>
        <v>109310.25039573089</v>
      </c>
      <c r="CX37" s="514">
        <f t="shared" si="17"/>
        <v>111496.45540364551</v>
      </c>
      <c r="CY37" s="514">
        <f t="shared" si="17"/>
        <v>113726.38451171842</v>
      </c>
      <c r="CZ37" s="514">
        <f t="shared" si="17"/>
        <v>116000.91220195276</v>
      </c>
      <c r="DA37" s="514">
        <f t="shared" si="17"/>
        <v>118320.93044599183</v>
      </c>
      <c r="DB37" s="514">
        <f t="shared" si="17"/>
        <v>120687.34905491168</v>
      </c>
      <c r="DC37" s="514">
        <f t="shared" si="17"/>
        <v>123101.0960360099</v>
      </c>
      <c r="DD37" s="514">
        <f t="shared" si="17"/>
        <v>125563.1179567301</v>
      </c>
      <c r="DE37" s="514">
        <f t="shared" si="17"/>
        <v>128074.38031586469</v>
      </c>
      <c r="DF37" s="515"/>
      <c r="DG37" s="515"/>
      <c r="DH37" s="515"/>
      <c r="DI37" s="515"/>
      <c r="DJ37" s="515"/>
      <c r="DK37" s="515"/>
      <c r="DL37" s="515"/>
    </row>
    <row r="38" spans="1:116" ht="15.75" customHeight="1" x14ac:dyDescent="0.25">
      <c r="A38" s="751"/>
      <c r="B38" s="758" t="s">
        <v>389</v>
      </c>
      <c r="C38" s="321" t="s">
        <v>266</v>
      </c>
      <c r="D38" s="279"/>
      <c r="E38" s="280"/>
      <c r="F38" s="280"/>
      <c r="G38" s="279"/>
      <c r="H38" s="343">
        <f t="shared" ref="H38:DE38" si="18">((H52*8)+H30)/40</f>
        <v>2.8226857431639628E-3</v>
      </c>
      <c r="I38" s="369">
        <f t="shared" si="18"/>
        <v>2.8226857431639628E-3</v>
      </c>
      <c r="J38" s="369">
        <f t="shared" si="18"/>
        <v>2.8226857431639628E-3</v>
      </c>
      <c r="K38" s="369">
        <f t="shared" si="18"/>
        <v>2.8226857431639628E-3</v>
      </c>
      <c r="L38" s="369">
        <f t="shared" si="18"/>
        <v>2.8226857431639628E-3</v>
      </c>
      <c r="M38" s="369">
        <f t="shared" si="18"/>
        <v>2.8226857431639628E-3</v>
      </c>
      <c r="N38" s="369">
        <f t="shared" si="18"/>
        <v>2.8226857431639628E-3</v>
      </c>
      <c r="O38" s="369">
        <f t="shared" si="18"/>
        <v>2.8226857431639628E-3</v>
      </c>
      <c r="P38" s="369">
        <f t="shared" si="18"/>
        <v>2.8226857431639628E-3</v>
      </c>
      <c r="Q38" s="369">
        <f t="shared" si="18"/>
        <v>2.8226857431639628E-3</v>
      </c>
      <c r="R38" s="369">
        <f t="shared" si="18"/>
        <v>2.8226857431639628E-3</v>
      </c>
      <c r="S38" s="369">
        <f t="shared" si="18"/>
        <v>2.8226857431639628E-3</v>
      </c>
      <c r="T38" s="369">
        <f t="shared" si="18"/>
        <v>2.8226857431639628E-3</v>
      </c>
      <c r="U38" s="369">
        <f t="shared" si="18"/>
        <v>2.8226857431639628E-3</v>
      </c>
      <c r="V38" s="369">
        <f t="shared" si="18"/>
        <v>2.8226857431639628E-3</v>
      </c>
      <c r="W38" s="369">
        <f t="shared" si="18"/>
        <v>2.8226857431639628E-3</v>
      </c>
      <c r="X38" s="369">
        <f t="shared" si="18"/>
        <v>2.8226857431639628E-3</v>
      </c>
      <c r="Y38" s="369">
        <f t="shared" si="18"/>
        <v>2.8226857431639628E-3</v>
      </c>
      <c r="Z38" s="369">
        <f t="shared" si="18"/>
        <v>2.8226857431639628E-3</v>
      </c>
      <c r="AA38" s="369">
        <f t="shared" si="18"/>
        <v>2.8226857431639628E-3</v>
      </c>
      <c r="AB38" s="369">
        <f t="shared" si="18"/>
        <v>2.8226857431639628E-3</v>
      </c>
      <c r="AC38" s="369">
        <f t="shared" si="18"/>
        <v>2.8226857431639628E-3</v>
      </c>
      <c r="AD38" s="369">
        <f t="shared" si="18"/>
        <v>2.8226857431639628E-3</v>
      </c>
      <c r="AE38" s="369">
        <f t="shared" si="18"/>
        <v>2.8226857431639628E-3</v>
      </c>
      <c r="AF38" s="369">
        <f t="shared" si="18"/>
        <v>2.8226857431639628E-3</v>
      </c>
      <c r="AG38" s="369">
        <f t="shared" si="18"/>
        <v>2.8226857431639628E-3</v>
      </c>
      <c r="AH38" s="369">
        <f t="shared" si="18"/>
        <v>2.8226857431639628E-3</v>
      </c>
      <c r="AI38" s="369">
        <f t="shared" si="18"/>
        <v>2.8226857431639628E-3</v>
      </c>
      <c r="AJ38" s="369">
        <f t="shared" si="18"/>
        <v>2.8226857431639628E-3</v>
      </c>
      <c r="AK38" s="369">
        <f t="shared" si="18"/>
        <v>2.8226857431639628E-3</v>
      </c>
      <c r="AL38" s="369">
        <f t="shared" si="18"/>
        <v>2.8226857431639628E-3</v>
      </c>
      <c r="AM38" s="369">
        <f t="shared" si="18"/>
        <v>2.8226857431639628E-3</v>
      </c>
      <c r="AN38" s="369">
        <f t="shared" si="18"/>
        <v>2.8226857431639628E-3</v>
      </c>
      <c r="AO38" s="369">
        <f t="shared" si="18"/>
        <v>2.8226857431639628E-3</v>
      </c>
      <c r="AP38" s="369">
        <f t="shared" si="18"/>
        <v>2.8226857431639628E-3</v>
      </c>
      <c r="AQ38" s="369">
        <f t="shared" si="18"/>
        <v>2.8226857431639628E-3</v>
      </c>
      <c r="AR38" s="369">
        <f t="shared" si="18"/>
        <v>2.8226857431639628E-3</v>
      </c>
      <c r="AS38" s="369">
        <f t="shared" si="18"/>
        <v>2.8226857431639628E-3</v>
      </c>
      <c r="AT38" s="369">
        <f t="shared" si="18"/>
        <v>2.8226857431639628E-3</v>
      </c>
      <c r="AU38" s="369">
        <f t="shared" si="18"/>
        <v>2.8226857431639628E-3</v>
      </c>
      <c r="AV38" s="369">
        <f t="shared" si="18"/>
        <v>2.8226857431639628E-3</v>
      </c>
      <c r="AW38" s="369">
        <f t="shared" si="18"/>
        <v>2.8226857431639628E-3</v>
      </c>
      <c r="AX38" s="369">
        <f t="shared" si="18"/>
        <v>2.8226857431639628E-3</v>
      </c>
      <c r="AY38" s="369">
        <f t="shared" si="18"/>
        <v>2.8226857431639628E-3</v>
      </c>
      <c r="AZ38" s="369">
        <f t="shared" si="18"/>
        <v>2.8226857431639628E-3</v>
      </c>
      <c r="BA38" s="369">
        <f t="shared" si="18"/>
        <v>2.8226857431639628E-3</v>
      </c>
      <c r="BB38" s="369">
        <f t="shared" si="18"/>
        <v>2.8226857431639628E-3</v>
      </c>
      <c r="BC38" s="369">
        <f t="shared" si="18"/>
        <v>2.8226857431639628E-3</v>
      </c>
      <c r="BD38" s="369">
        <f t="shared" si="18"/>
        <v>2.8226857431639628E-3</v>
      </c>
      <c r="BE38" s="369">
        <f t="shared" si="18"/>
        <v>2.8226857431639628E-3</v>
      </c>
      <c r="BF38" s="369">
        <f t="shared" si="18"/>
        <v>2.8226857431639628E-3</v>
      </c>
      <c r="BG38" s="369">
        <f t="shared" si="18"/>
        <v>2.8226857431639628E-3</v>
      </c>
      <c r="BH38" s="369">
        <f t="shared" si="18"/>
        <v>2.8226857431639628E-3</v>
      </c>
      <c r="BI38" s="369">
        <f t="shared" si="18"/>
        <v>2.8226857431639628E-3</v>
      </c>
      <c r="BJ38" s="369">
        <f t="shared" si="18"/>
        <v>2.8226857431639628E-3</v>
      </c>
      <c r="BK38" s="369">
        <f t="shared" si="18"/>
        <v>2.8226857431639628E-3</v>
      </c>
      <c r="BL38" s="369">
        <f t="shared" si="18"/>
        <v>2.8226857431639628E-3</v>
      </c>
      <c r="BM38" s="369">
        <f t="shared" si="18"/>
        <v>2.8226857431639628E-3</v>
      </c>
      <c r="BN38" s="369">
        <f t="shared" si="18"/>
        <v>2.8226857431639628E-3</v>
      </c>
      <c r="BO38" s="369">
        <f t="shared" si="18"/>
        <v>2.8226857431639628E-3</v>
      </c>
      <c r="BP38" s="369">
        <f t="shared" si="18"/>
        <v>2.8226857431639628E-3</v>
      </c>
      <c r="BQ38" s="369">
        <f t="shared" si="18"/>
        <v>2.8226857431639628E-3</v>
      </c>
      <c r="BR38" s="369">
        <f t="shared" si="18"/>
        <v>2.8226857431639628E-3</v>
      </c>
      <c r="BS38" s="369">
        <f t="shared" si="18"/>
        <v>2.8226857431639628E-3</v>
      </c>
      <c r="BT38" s="369">
        <f t="shared" si="18"/>
        <v>2.8226857431639628E-3</v>
      </c>
      <c r="BU38" s="369">
        <f t="shared" si="18"/>
        <v>2.8226857431639628E-3</v>
      </c>
      <c r="BV38" s="369">
        <f t="shared" si="18"/>
        <v>2.8226857431639628E-3</v>
      </c>
      <c r="BW38" s="369">
        <f t="shared" si="18"/>
        <v>2.8226857431639628E-3</v>
      </c>
      <c r="BX38" s="369">
        <f t="shared" si="18"/>
        <v>2.8226857431639628E-3</v>
      </c>
      <c r="BY38" s="369">
        <f t="shared" si="18"/>
        <v>2.8226857431639628E-3</v>
      </c>
      <c r="BZ38" s="369">
        <f t="shared" si="18"/>
        <v>2.8226857431639628E-3</v>
      </c>
      <c r="CA38" s="369">
        <f t="shared" si="18"/>
        <v>2.8226857431639628E-3</v>
      </c>
      <c r="CB38" s="369">
        <f t="shared" si="18"/>
        <v>2.8226857431639628E-3</v>
      </c>
      <c r="CC38" s="369">
        <f t="shared" si="18"/>
        <v>2.8226857431639628E-3</v>
      </c>
      <c r="CD38" s="369">
        <f t="shared" si="18"/>
        <v>2.8226857431639628E-3</v>
      </c>
      <c r="CE38" s="369">
        <f t="shared" si="18"/>
        <v>2.8226857431639628E-3</v>
      </c>
      <c r="CF38" s="369">
        <f t="shared" si="18"/>
        <v>2.8226857431639628E-3</v>
      </c>
      <c r="CG38" s="369">
        <f t="shared" si="18"/>
        <v>2.8226857431639628E-3</v>
      </c>
      <c r="CH38" s="369">
        <f t="shared" si="18"/>
        <v>2.8226857431639628E-3</v>
      </c>
      <c r="CI38" s="369">
        <f t="shared" si="18"/>
        <v>2.8226857431639628E-3</v>
      </c>
      <c r="CJ38" s="369">
        <f t="shared" si="18"/>
        <v>2.8226857431639628E-3</v>
      </c>
      <c r="CK38" s="369">
        <f t="shared" si="18"/>
        <v>2.8226857431639628E-3</v>
      </c>
      <c r="CL38" s="369">
        <f t="shared" si="18"/>
        <v>2.8226857431639628E-3</v>
      </c>
      <c r="CM38" s="369">
        <f t="shared" si="18"/>
        <v>2.8226857431639628E-3</v>
      </c>
      <c r="CN38" s="369">
        <f t="shared" si="18"/>
        <v>2.8226857431639628E-3</v>
      </c>
      <c r="CO38" s="369">
        <f t="shared" si="18"/>
        <v>2.8226857431639628E-3</v>
      </c>
      <c r="CP38" s="369">
        <f t="shared" si="18"/>
        <v>2.8226857431639628E-3</v>
      </c>
      <c r="CQ38" s="369">
        <f t="shared" si="18"/>
        <v>2.8226857431639628E-3</v>
      </c>
      <c r="CR38" s="369">
        <f t="shared" si="18"/>
        <v>2.8226857431639628E-3</v>
      </c>
      <c r="CS38" s="369">
        <f t="shared" si="18"/>
        <v>2.8226857431639628E-3</v>
      </c>
      <c r="CT38" s="369">
        <f t="shared" si="18"/>
        <v>2.8226857431639628E-3</v>
      </c>
      <c r="CU38" s="369">
        <f t="shared" si="18"/>
        <v>2.8226857431639628E-3</v>
      </c>
      <c r="CV38" s="369">
        <f t="shared" si="18"/>
        <v>2.8226857431639628E-3</v>
      </c>
      <c r="CW38" s="369">
        <f t="shared" si="18"/>
        <v>2.8226857431639628E-3</v>
      </c>
      <c r="CX38" s="369">
        <f t="shared" si="18"/>
        <v>2.8226857431639628E-3</v>
      </c>
      <c r="CY38" s="369">
        <f t="shared" si="18"/>
        <v>2.8226857431639628E-3</v>
      </c>
      <c r="CZ38" s="369">
        <f t="shared" si="18"/>
        <v>2.8226857431639628E-3</v>
      </c>
      <c r="DA38" s="369">
        <f t="shared" si="18"/>
        <v>2.8226857431639628E-3</v>
      </c>
      <c r="DB38" s="369">
        <f t="shared" si="18"/>
        <v>2.8226857431639628E-3</v>
      </c>
      <c r="DC38" s="369">
        <f t="shared" si="18"/>
        <v>2.8226857431639628E-3</v>
      </c>
      <c r="DD38" s="369">
        <f t="shared" si="18"/>
        <v>2.8226857431639628E-3</v>
      </c>
      <c r="DE38" s="369">
        <f t="shared" si="18"/>
        <v>2.8226857431639628E-3</v>
      </c>
      <c r="DF38" s="344"/>
      <c r="DG38" s="344"/>
      <c r="DH38" s="344"/>
      <c r="DI38" s="344"/>
      <c r="DJ38" s="344"/>
      <c r="DK38" s="344"/>
      <c r="DL38" s="344"/>
    </row>
    <row r="39" spans="1:116" ht="15.75" customHeight="1" x14ac:dyDescent="0.25">
      <c r="A39" s="751"/>
      <c r="B39" s="751"/>
      <c r="C39" s="321" t="s">
        <v>390</v>
      </c>
      <c r="D39" s="279" t="s">
        <v>38</v>
      </c>
      <c r="E39" s="367" t="s">
        <v>268</v>
      </c>
      <c r="F39" s="280"/>
      <c r="G39" s="279" t="s">
        <v>269</v>
      </c>
      <c r="H39" s="368">
        <v>3.4999999999999997E-5</v>
      </c>
      <c r="I39" s="369">
        <v>3.4999999999999997E-5</v>
      </c>
      <c r="J39" s="369">
        <v>3.4999999999999997E-5</v>
      </c>
      <c r="K39" s="369">
        <v>3.4999999999999997E-5</v>
      </c>
      <c r="L39" s="369">
        <v>3.4999999999999997E-5</v>
      </c>
      <c r="M39" s="369">
        <v>3.4999999999999997E-5</v>
      </c>
      <c r="N39" s="369">
        <v>3.4999999999999997E-5</v>
      </c>
      <c r="O39" s="369">
        <v>3.4999999999999997E-5</v>
      </c>
      <c r="P39" s="369">
        <v>3.4999999999999997E-5</v>
      </c>
      <c r="Q39" s="369">
        <v>3.4999999999999997E-5</v>
      </c>
      <c r="R39" s="369">
        <v>3.4999999999999997E-5</v>
      </c>
      <c r="S39" s="369">
        <v>3.4999999999999997E-5</v>
      </c>
      <c r="T39" s="369">
        <v>3.4999999999999997E-5</v>
      </c>
      <c r="U39" s="369">
        <v>3.4999999999999997E-5</v>
      </c>
      <c r="V39" s="369">
        <v>3.4999999999999997E-5</v>
      </c>
      <c r="W39" s="369">
        <v>3.4999999999999997E-5</v>
      </c>
      <c r="X39" s="369">
        <v>3.4999999999999997E-5</v>
      </c>
      <c r="Y39" s="369">
        <v>3.4999999999999997E-5</v>
      </c>
      <c r="Z39" s="369">
        <v>3.4999999999999997E-5</v>
      </c>
      <c r="AA39" s="369">
        <v>3.4999999999999997E-5</v>
      </c>
      <c r="AB39" s="369">
        <v>3.4999999999999997E-5</v>
      </c>
      <c r="AC39" s="369">
        <v>3.4999999999999997E-5</v>
      </c>
      <c r="AD39" s="369">
        <v>3.4999999999999997E-5</v>
      </c>
      <c r="AE39" s="369">
        <v>3.4999999999999997E-5</v>
      </c>
      <c r="AF39" s="369">
        <v>3.4999999999999997E-5</v>
      </c>
      <c r="AG39" s="369">
        <v>3.4999999999999997E-5</v>
      </c>
      <c r="AH39" s="369">
        <v>3.4999999999999997E-5</v>
      </c>
      <c r="AI39" s="369">
        <v>3.4999999999999997E-5</v>
      </c>
      <c r="AJ39" s="369">
        <v>3.4999999999999997E-5</v>
      </c>
      <c r="AK39" s="369">
        <v>3.4999999999999997E-5</v>
      </c>
      <c r="AL39" s="369">
        <v>3.4999999999999997E-5</v>
      </c>
      <c r="AM39" s="369">
        <v>3.4999999999999997E-5</v>
      </c>
      <c r="AN39" s="369">
        <v>3.4999999999999997E-5</v>
      </c>
      <c r="AO39" s="369">
        <v>3.4999999999999997E-5</v>
      </c>
      <c r="AP39" s="369">
        <v>3.4999999999999997E-5</v>
      </c>
      <c r="AQ39" s="369">
        <v>3.4999999999999997E-5</v>
      </c>
      <c r="AR39" s="369">
        <v>3.4999999999999997E-5</v>
      </c>
      <c r="AS39" s="369">
        <v>3.4999999999999997E-5</v>
      </c>
      <c r="AT39" s="369">
        <v>3.4999999999999997E-5</v>
      </c>
      <c r="AU39" s="369">
        <v>3.4999999999999997E-5</v>
      </c>
      <c r="AV39" s="369">
        <v>3.4999999999999997E-5</v>
      </c>
      <c r="AW39" s="369">
        <v>3.4999999999999997E-5</v>
      </c>
      <c r="AX39" s="369">
        <v>3.4999999999999997E-5</v>
      </c>
      <c r="AY39" s="369">
        <v>3.4999999999999997E-5</v>
      </c>
      <c r="AZ39" s="369">
        <v>3.4999999999999997E-5</v>
      </c>
      <c r="BA39" s="369">
        <v>3.4999999999999997E-5</v>
      </c>
      <c r="BB39" s="369">
        <v>3.4999999999999997E-5</v>
      </c>
      <c r="BC39" s="369">
        <v>3.4999999999999997E-5</v>
      </c>
      <c r="BD39" s="369">
        <v>3.4999999999999997E-5</v>
      </c>
      <c r="BE39" s="369">
        <v>3.4999999999999997E-5</v>
      </c>
      <c r="BF39" s="369">
        <v>3.4999999999999997E-5</v>
      </c>
      <c r="BG39" s="369">
        <v>3.4999999999999997E-5</v>
      </c>
      <c r="BH39" s="369">
        <v>3.4999999999999997E-5</v>
      </c>
      <c r="BI39" s="369">
        <v>3.4999999999999997E-5</v>
      </c>
      <c r="BJ39" s="369">
        <v>3.4999999999999997E-5</v>
      </c>
      <c r="BK39" s="369">
        <v>3.4999999999999997E-5</v>
      </c>
      <c r="BL39" s="369">
        <v>3.4999999999999997E-5</v>
      </c>
      <c r="BM39" s="369">
        <v>3.4999999999999997E-5</v>
      </c>
      <c r="BN39" s="369">
        <v>3.4999999999999997E-5</v>
      </c>
      <c r="BO39" s="369">
        <v>3.4999999999999997E-5</v>
      </c>
      <c r="BP39" s="369">
        <v>3.4999999999999997E-5</v>
      </c>
      <c r="BQ39" s="369">
        <v>3.4999999999999997E-5</v>
      </c>
      <c r="BR39" s="369">
        <v>3.4999999999999997E-5</v>
      </c>
      <c r="BS39" s="369">
        <v>3.4999999999999997E-5</v>
      </c>
      <c r="BT39" s="369">
        <v>3.4999999999999997E-5</v>
      </c>
      <c r="BU39" s="369">
        <v>3.4999999999999997E-5</v>
      </c>
      <c r="BV39" s="369">
        <v>3.4999999999999997E-5</v>
      </c>
      <c r="BW39" s="369">
        <v>3.4999999999999997E-5</v>
      </c>
      <c r="BX39" s="369">
        <v>3.4999999999999997E-5</v>
      </c>
      <c r="BY39" s="369">
        <v>3.4999999999999997E-5</v>
      </c>
      <c r="BZ39" s="369">
        <v>3.4999999999999997E-5</v>
      </c>
      <c r="CA39" s="369">
        <v>3.4999999999999997E-5</v>
      </c>
      <c r="CB39" s="369">
        <v>3.4999999999999997E-5</v>
      </c>
      <c r="CC39" s="369">
        <v>3.4999999999999997E-5</v>
      </c>
      <c r="CD39" s="369">
        <v>3.4999999999999997E-5</v>
      </c>
      <c r="CE39" s="369">
        <v>3.4999999999999997E-5</v>
      </c>
      <c r="CF39" s="369">
        <v>3.4999999999999997E-5</v>
      </c>
      <c r="CG39" s="369">
        <v>3.4999999999999997E-5</v>
      </c>
      <c r="CH39" s="369">
        <v>3.4999999999999997E-5</v>
      </c>
      <c r="CI39" s="369">
        <v>3.4999999999999997E-5</v>
      </c>
      <c r="CJ39" s="369">
        <v>3.4999999999999997E-5</v>
      </c>
      <c r="CK39" s="369">
        <v>3.4999999999999997E-5</v>
      </c>
      <c r="CL39" s="369">
        <v>3.4999999999999997E-5</v>
      </c>
      <c r="CM39" s="369">
        <v>3.4999999999999997E-5</v>
      </c>
      <c r="CN39" s="369">
        <v>3.4999999999999997E-5</v>
      </c>
      <c r="CO39" s="369">
        <v>3.4999999999999997E-5</v>
      </c>
      <c r="CP39" s="369">
        <v>3.4999999999999997E-5</v>
      </c>
      <c r="CQ39" s="369">
        <v>3.4999999999999997E-5</v>
      </c>
      <c r="CR39" s="369">
        <v>3.4999999999999997E-5</v>
      </c>
      <c r="CS39" s="369">
        <v>3.4999999999999997E-5</v>
      </c>
      <c r="CT39" s="369">
        <v>3.4999999999999997E-5</v>
      </c>
      <c r="CU39" s="369">
        <v>3.4999999999999997E-5</v>
      </c>
      <c r="CV39" s="369">
        <v>3.4999999999999997E-5</v>
      </c>
      <c r="CW39" s="369">
        <v>3.4999999999999997E-5</v>
      </c>
      <c r="CX39" s="369">
        <v>3.4999999999999997E-5</v>
      </c>
      <c r="CY39" s="369">
        <v>3.4999999999999997E-5</v>
      </c>
      <c r="CZ39" s="369">
        <v>3.4999999999999997E-5</v>
      </c>
      <c r="DA39" s="369">
        <v>3.4999999999999997E-5</v>
      </c>
      <c r="DB39" s="369">
        <v>3.4999999999999997E-5</v>
      </c>
      <c r="DC39" s="369">
        <v>3.4999999999999997E-5</v>
      </c>
      <c r="DD39" s="369">
        <v>3.4999999999999997E-5</v>
      </c>
      <c r="DE39" s="369">
        <v>3.4999999999999997E-5</v>
      </c>
      <c r="DF39" s="369"/>
      <c r="DG39" s="369"/>
      <c r="DH39" s="369"/>
      <c r="DI39" s="369"/>
      <c r="DJ39" s="369"/>
      <c r="DK39" s="369"/>
      <c r="DL39" s="369"/>
    </row>
    <row r="40" spans="1:116" ht="15.75" customHeight="1" x14ac:dyDescent="0.25">
      <c r="A40" s="751"/>
      <c r="B40" s="751"/>
      <c r="C40" s="321" t="s">
        <v>391</v>
      </c>
      <c r="D40" s="279"/>
      <c r="E40" s="280"/>
      <c r="F40" s="280"/>
      <c r="G40" s="279"/>
      <c r="H40" s="516">
        <f t="shared" ref="H40:DE40" si="19">H38*H39</f>
        <v>9.8794001010738692E-8</v>
      </c>
      <c r="I40" s="408">
        <f t="shared" si="19"/>
        <v>9.8794001010738692E-8</v>
      </c>
      <c r="J40" s="408">
        <f t="shared" si="19"/>
        <v>9.8794001010738692E-8</v>
      </c>
      <c r="K40" s="408">
        <f t="shared" si="19"/>
        <v>9.8794001010738692E-8</v>
      </c>
      <c r="L40" s="408">
        <f t="shared" si="19"/>
        <v>9.8794001010738692E-8</v>
      </c>
      <c r="M40" s="408">
        <f t="shared" si="19"/>
        <v>9.8794001010738692E-8</v>
      </c>
      <c r="N40" s="408">
        <f t="shared" si="19"/>
        <v>9.8794001010738692E-8</v>
      </c>
      <c r="O40" s="408">
        <f t="shared" si="19"/>
        <v>9.8794001010738692E-8</v>
      </c>
      <c r="P40" s="408">
        <f t="shared" si="19"/>
        <v>9.8794001010738692E-8</v>
      </c>
      <c r="Q40" s="408">
        <f t="shared" si="19"/>
        <v>9.8794001010738692E-8</v>
      </c>
      <c r="R40" s="408">
        <f t="shared" si="19"/>
        <v>9.8794001010738692E-8</v>
      </c>
      <c r="S40" s="408">
        <f t="shared" si="19"/>
        <v>9.8794001010738692E-8</v>
      </c>
      <c r="T40" s="408">
        <f t="shared" si="19"/>
        <v>9.8794001010738692E-8</v>
      </c>
      <c r="U40" s="408">
        <f t="shared" si="19"/>
        <v>9.8794001010738692E-8</v>
      </c>
      <c r="V40" s="408">
        <f t="shared" si="19"/>
        <v>9.8794001010738692E-8</v>
      </c>
      <c r="W40" s="408">
        <f t="shared" si="19"/>
        <v>9.8794001010738692E-8</v>
      </c>
      <c r="X40" s="408">
        <f t="shared" si="19"/>
        <v>9.8794001010738692E-8</v>
      </c>
      <c r="Y40" s="408">
        <f t="shared" si="19"/>
        <v>9.8794001010738692E-8</v>
      </c>
      <c r="Z40" s="408">
        <f t="shared" si="19"/>
        <v>9.8794001010738692E-8</v>
      </c>
      <c r="AA40" s="408">
        <f t="shared" si="19"/>
        <v>9.8794001010738692E-8</v>
      </c>
      <c r="AB40" s="408">
        <f t="shared" si="19"/>
        <v>9.8794001010738692E-8</v>
      </c>
      <c r="AC40" s="408">
        <f t="shared" si="19"/>
        <v>9.8794001010738692E-8</v>
      </c>
      <c r="AD40" s="408">
        <f t="shared" si="19"/>
        <v>9.8794001010738692E-8</v>
      </c>
      <c r="AE40" s="408">
        <f t="shared" si="19"/>
        <v>9.8794001010738692E-8</v>
      </c>
      <c r="AF40" s="408">
        <f t="shared" si="19"/>
        <v>9.8794001010738692E-8</v>
      </c>
      <c r="AG40" s="408">
        <f t="shared" si="19"/>
        <v>9.8794001010738692E-8</v>
      </c>
      <c r="AH40" s="408">
        <f t="shared" si="19"/>
        <v>9.8794001010738692E-8</v>
      </c>
      <c r="AI40" s="408">
        <f t="shared" si="19"/>
        <v>9.8794001010738692E-8</v>
      </c>
      <c r="AJ40" s="408">
        <f t="shared" si="19"/>
        <v>9.8794001010738692E-8</v>
      </c>
      <c r="AK40" s="408">
        <f t="shared" si="19"/>
        <v>9.8794001010738692E-8</v>
      </c>
      <c r="AL40" s="408">
        <f t="shared" si="19"/>
        <v>9.8794001010738692E-8</v>
      </c>
      <c r="AM40" s="408">
        <f t="shared" si="19"/>
        <v>9.8794001010738692E-8</v>
      </c>
      <c r="AN40" s="408">
        <f t="shared" si="19"/>
        <v>9.8794001010738692E-8</v>
      </c>
      <c r="AO40" s="408">
        <f t="shared" si="19"/>
        <v>9.8794001010738692E-8</v>
      </c>
      <c r="AP40" s="408">
        <f t="shared" si="19"/>
        <v>9.8794001010738692E-8</v>
      </c>
      <c r="AQ40" s="408">
        <f t="shared" si="19"/>
        <v>9.8794001010738692E-8</v>
      </c>
      <c r="AR40" s="408">
        <f t="shared" si="19"/>
        <v>9.8794001010738692E-8</v>
      </c>
      <c r="AS40" s="408">
        <f t="shared" si="19"/>
        <v>9.8794001010738692E-8</v>
      </c>
      <c r="AT40" s="408">
        <f t="shared" si="19"/>
        <v>9.8794001010738692E-8</v>
      </c>
      <c r="AU40" s="408">
        <f t="shared" si="19"/>
        <v>9.8794001010738692E-8</v>
      </c>
      <c r="AV40" s="408">
        <f t="shared" si="19"/>
        <v>9.8794001010738692E-8</v>
      </c>
      <c r="AW40" s="408">
        <f t="shared" si="19"/>
        <v>9.8794001010738692E-8</v>
      </c>
      <c r="AX40" s="408">
        <f t="shared" si="19"/>
        <v>9.8794001010738692E-8</v>
      </c>
      <c r="AY40" s="408">
        <f t="shared" si="19"/>
        <v>9.8794001010738692E-8</v>
      </c>
      <c r="AZ40" s="408">
        <f t="shared" si="19"/>
        <v>9.8794001010738692E-8</v>
      </c>
      <c r="BA40" s="408">
        <f t="shared" si="19"/>
        <v>9.8794001010738692E-8</v>
      </c>
      <c r="BB40" s="408">
        <f t="shared" si="19"/>
        <v>9.8794001010738692E-8</v>
      </c>
      <c r="BC40" s="408">
        <f t="shared" si="19"/>
        <v>9.8794001010738692E-8</v>
      </c>
      <c r="BD40" s="408">
        <f t="shared" si="19"/>
        <v>9.8794001010738692E-8</v>
      </c>
      <c r="BE40" s="408">
        <f t="shared" si="19"/>
        <v>9.8794001010738692E-8</v>
      </c>
      <c r="BF40" s="408">
        <f t="shared" si="19"/>
        <v>9.8794001010738692E-8</v>
      </c>
      <c r="BG40" s="408">
        <f t="shared" si="19"/>
        <v>9.8794001010738692E-8</v>
      </c>
      <c r="BH40" s="408">
        <f t="shared" si="19"/>
        <v>9.8794001010738692E-8</v>
      </c>
      <c r="BI40" s="408">
        <f t="shared" si="19"/>
        <v>9.8794001010738692E-8</v>
      </c>
      <c r="BJ40" s="408">
        <f t="shared" si="19"/>
        <v>9.8794001010738692E-8</v>
      </c>
      <c r="BK40" s="408">
        <f t="shared" si="19"/>
        <v>9.8794001010738692E-8</v>
      </c>
      <c r="BL40" s="408">
        <f t="shared" si="19"/>
        <v>9.8794001010738692E-8</v>
      </c>
      <c r="BM40" s="408">
        <f t="shared" si="19"/>
        <v>9.8794001010738692E-8</v>
      </c>
      <c r="BN40" s="408">
        <f t="shared" si="19"/>
        <v>9.8794001010738692E-8</v>
      </c>
      <c r="BO40" s="408">
        <f t="shared" si="19"/>
        <v>9.8794001010738692E-8</v>
      </c>
      <c r="BP40" s="408">
        <f t="shared" si="19"/>
        <v>9.8794001010738692E-8</v>
      </c>
      <c r="BQ40" s="408">
        <f t="shared" si="19"/>
        <v>9.8794001010738692E-8</v>
      </c>
      <c r="BR40" s="408">
        <f t="shared" si="19"/>
        <v>9.8794001010738692E-8</v>
      </c>
      <c r="BS40" s="408">
        <f t="shared" si="19"/>
        <v>9.8794001010738692E-8</v>
      </c>
      <c r="BT40" s="408">
        <f t="shared" si="19"/>
        <v>9.8794001010738692E-8</v>
      </c>
      <c r="BU40" s="408">
        <f t="shared" si="19"/>
        <v>9.8794001010738692E-8</v>
      </c>
      <c r="BV40" s="408">
        <f t="shared" si="19"/>
        <v>9.8794001010738692E-8</v>
      </c>
      <c r="BW40" s="408">
        <f t="shared" si="19"/>
        <v>9.8794001010738692E-8</v>
      </c>
      <c r="BX40" s="408">
        <f t="shared" si="19"/>
        <v>9.8794001010738692E-8</v>
      </c>
      <c r="BY40" s="408">
        <f t="shared" si="19"/>
        <v>9.8794001010738692E-8</v>
      </c>
      <c r="BZ40" s="408">
        <f t="shared" si="19"/>
        <v>9.8794001010738692E-8</v>
      </c>
      <c r="CA40" s="408">
        <f t="shared" si="19"/>
        <v>9.8794001010738692E-8</v>
      </c>
      <c r="CB40" s="408">
        <f t="shared" si="19"/>
        <v>9.8794001010738692E-8</v>
      </c>
      <c r="CC40" s="408">
        <f t="shared" si="19"/>
        <v>9.8794001010738692E-8</v>
      </c>
      <c r="CD40" s="408">
        <f t="shared" si="19"/>
        <v>9.8794001010738692E-8</v>
      </c>
      <c r="CE40" s="408">
        <f t="shared" si="19"/>
        <v>9.8794001010738692E-8</v>
      </c>
      <c r="CF40" s="408">
        <f t="shared" si="19"/>
        <v>9.8794001010738692E-8</v>
      </c>
      <c r="CG40" s="408">
        <f t="shared" si="19"/>
        <v>9.8794001010738692E-8</v>
      </c>
      <c r="CH40" s="408">
        <f t="shared" si="19"/>
        <v>9.8794001010738692E-8</v>
      </c>
      <c r="CI40" s="408">
        <f t="shared" si="19"/>
        <v>9.8794001010738692E-8</v>
      </c>
      <c r="CJ40" s="408">
        <f t="shared" si="19"/>
        <v>9.8794001010738692E-8</v>
      </c>
      <c r="CK40" s="408">
        <f t="shared" si="19"/>
        <v>9.8794001010738692E-8</v>
      </c>
      <c r="CL40" s="408">
        <f t="shared" si="19"/>
        <v>9.8794001010738692E-8</v>
      </c>
      <c r="CM40" s="408">
        <f t="shared" si="19"/>
        <v>9.8794001010738692E-8</v>
      </c>
      <c r="CN40" s="408">
        <f t="shared" si="19"/>
        <v>9.8794001010738692E-8</v>
      </c>
      <c r="CO40" s="408">
        <f t="shared" si="19"/>
        <v>9.8794001010738692E-8</v>
      </c>
      <c r="CP40" s="408">
        <f t="shared" si="19"/>
        <v>9.8794001010738692E-8</v>
      </c>
      <c r="CQ40" s="408">
        <f t="shared" si="19"/>
        <v>9.8794001010738692E-8</v>
      </c>
      <c r="CR40" s="408">
        <f t="shared" si="19"/>
        <v>9.8794001010738692E-8</v>
      </c>
      <c r="CS40" s="408">
        <f t="shared" si="19"/>
        <v>9.8794001010738692E-8</v>
      </c>
      <c r="CT40" s="408">
        <f t="shared" si="19"/>
        <v>9.8794001010738692E-8</v>
      </c>
      <c r="CU40" s="408">
        <f t="shared" si="19"/>
        <v>9.8794001010738692E-8</v>
      </c>
      <c r="CV40" s="408">
        <f t="shared" si="19"/>
        <v>9.8794001010738692E-8</v>
      </c>
      <c r="CW40" s="408">
        <f t="shared" si="19"/>
        <v>9.8794001010738692E-8</v>
      </c>
      <c r="CX40" s="408">
        <f t="shared" si="19"/>
        <v>9.8794001010738692E-8</v>
      </c>
      <c r="CY40" s="408">
        <f t="shared" si="19"/>
        <v>9.8794001010738692E-8</v>
      </c>
      <c r="CZ40" s="408">
        <f t="shared" si="19"/>
        <v>9.8794001010738692E-8</v>
      </c>
      <c r="DA40" s="408">
        <f t="shared" si="19"/>
        <v>9.8794001010738692E-8</v>
      </c>
      <c r="DB40" s="408">
        <f t="shared" si="19"/>
        <v>9.8794001010738692E-8</v>
      </c>
      <c r="DC40" s="408">
        <f t="shared" si="19"/>
        <v>9.8794001010738692E-8</v>
      </c>
      <c r="DD40" s="408">
        <f t="shared" si="19"/>
        <v>9.8794001010738692E-8</v>
      </c>
      <c r="DE40" s="408">
        <f t="shared" si="19"/>
        <v>9.8794001010738692E-8</v>
      </c>
      <c r="DF40" s="408"/>
      <c r="DG40" s="408"/>
      <c r="DH40" s="408"/>
      <c r="DI40" s="408"/>
      <c r="DJ40" s="408"/>
      <c r="DK40" s="408"/>
      <c r="DL40" s="408"/>
    </row>
    <row r="41" spans="1:116" ht="15.75" customHeight="1" x14ac:dyDescent="0.25">
      <c r="A41" s="751"/>
      <c r="B41" s="751"/>
      <c r="C41" s="347" t="s">
        <v>271</v>
      </c>
      <c r="D41" s="348" t="s">
        <v>239</v>
      </c>
      <c r="E41" s="517" t="s">
        <v>272</v>
      </c>
      <c r="F41" s="349"/>
      <c r="G41" s="371">
        <f>SUM(H41:BT41)</f>
        <v>0.17615906374339091</v>
      </c>
      <c r="H41" s="518">
        <f>H40*'Unit Costs and Indicators'!$A$133*0.5</f>
        <v>2.710139442206013E-3</v>
      </c>
      <c r="I41" s="519">
        <f>I40*'Unit Costs and Indicators'!$A$133*0.5</f>
        <v>2.710139442206013E-3</v>
      </c>
      <c r="J41" s="519">
        <f>J40*'Unit Costs and Indicators'!$A$133*0.5</f>
        <v>2.710139442206013E-3</v>
      </c>
      <c r="K41" s="519">
        <f>K40*'Unit Costs and Indicators'!$A$133*0.5</f>
        <v>2.710139442206013E-3</v>
      </c>
      <c r="L41" s="519">
        <f>L40*'Unit Costs and Indicators'!$A$133*0.5</f>
        <v>2.710139442206013E-3</v>
      </c>
      <c r="M41" s="519">
        <f>M40*'Unit Costs and Indicators'!$A$133*0.5</f>
        <v>2.710139442206013E-3</v>
      </c>
      <c r="N41" s="519">
        <f>N40*'Unit Costs and Indicators'!$A$133*0.5</f>
        <v>2.710139442206013E-3</v>
      </c>
      <c r="O41" s="519">
        <f>O40*'Unit Costs and Indicators'!$A$133*0.5</f>
        <v>2.710139442206013E-3</v>
      </c>
      <c r="P41" s="519">
        <f>P40*'Unit Costs and Indicators'!$A$133*0.5</f>
        <v>2.710139442206013E-3</v>
      </c>
      <c r="Q41" s="519">
        <f>Q40*'Unit Costs and Indicators'!$A$133*0.5</f>
        <v>2.710139442206013E-3</v>
      </c>
      <c r="R41" s="519">
        <f>R40*'Unit Costs and Indicators'!$A$133*0.5</f>
        <v>2.710139442206013E-3</v>
      </c>
      <c r="S41" s="519">
        <f>S40*'Unit Costs and Indicators'!$A$133*0.5</f>
        <v>2.710139442206013E-3</v>
      </c>
      <c r="T41" s="519">
        <f>T40*'Unit Costs and Indicators'!$A$133*0.5</f>
        <v>2.710139442206013E-3</v>
      </c>
      <c r="U41" s="519">
        <f>U40*'Unit Costs and Indicators'!$A$133*0.5</f>
        <v>2.710139442206013E-3</v>
      </c>
      <c r="V41" s="519">
        <f>V40*'Unit Costs and Indicators'!$A$133*0.5</f>
        <v>2.710139442206013E-3</v>
      </c>
      <c r="W41" s="519">
        <f>W40*'Unit Costs and Indicators'!$A$133*0.5</f>
        <v>2.710139442206013E-3</v>
      </c>
      <c r="X41" s="519">
        <f>X40*'Unit Costs and Indicators'!$A$133*0.5</f>
        <v>2.710139442206013E-3</v>
      </c>
      <c r="Y41" s="519">
        <f>Y40*'Unit Costs and Indicators'!$A$133*0.5</f>
        <v>2.710139442206013E-3</v>
      </c>
      <c r="Z41" s="519">
        <f>Z40*'Unit Costs and Indicators'!$A$133*0.5</f>
        <v>2.710139442206013E-3</v>
      </c>
      <c r="AA41" s="519">
        <f>AA40*'Unit Costs and Indicators'!$A$133*0.5</f>
        <v>2.710139442206013E-3</v>
      </c>
      <c r="AB41" s="519">
        <f>AB40*'Unit Costs and Indicators'!$A$133*0.5</f>
        <v>2.710139442206013E-3</v>
      </c>
      <c r="AC41" s="519">
        <f>AC40*'Unit Costs and Indicators'!$A$133*0.5</f>
        <v>2.710139442206013E-3</v>
      </c>
      <c r="AD41" s="519">
        <f>AD40*'Unit Costs and Indicators'!$A$133*0.5</f>
        <v>2.710139442206013E-3</v>
      </c>
      <c r="AE41" s="519">
        <f>AE40*'Unit Costs and Indicators'!$A$133*0.5</f>
        <v>2.710139442206013E-3</v>
      </c>
      <c r="AF41" s="519">
        <f>AF40*'Unit Costs and Indicators'!$A$133*0.5</f>
        <v>2.710139442206013E-3</v>
      </c>
      <c r="AG41" s="519">
        <f>AG40*'Unit Costs and Indicators'!$A$133*0.5</f>
        <v>2.710139442206013E-3</v>
      </c>
      <c r="AH41" s="519">
        <f>AH40*'Unit Costs and Indicators'!$A$133*0.5</f>
        <v>2.710139442206013E-3</v>
      </c>
      <c r="AI41" s="519">
        <f>AI40*'Unit Costs and Indicators'!$A$133*0.5</f>
        <v>2.710139442206013E-3</v>
      </c>
      <c r="AJ41" s="519">
        <f>AJ40*'Unit Costs and Indicators'!$A$133*0.5</f>
        <v>2.710139442206013E-3</v>
      </c>
      <c r="AK41" s="519">
        <f>AK40*'Unit Costs and Indicators'!$A$133*0.5</f>
        <v>2.710139442206013E-3</v>
      </c>
      <c r="AL41" s="519">
        <f>AL40*'Unit Costs and Indicators'!$A$133*0.5</f>
        <v>2.710139442206013E-3</v>
      </c>
      <c r="AM41" s="519">
        <f>AM40*'Unit Costs and Indicators'!$A$133*0.5</f>
        <v>2.710139442206013E-3</v>
      </c>
      <c r="AN41" s="519">
        <f>AN40*'Unit Costs and Indicators'!$A$133*0.5</f>
        <v>2.710139442206013E-3</v>
      </c>
      <c r="AO41" s="519">
        <f>AO40*'Unit Costs and Indicators'!$A$133*0.5</f>
        <v>2.710139442206013E-3</v>
      </c>
      <c r="AP41" s="519">
        <f>AP40*'Unit Costs and Indicators'!$A$133*0.5</f>
        <v>2.710139442206013E-3</v>
      </c>
      <c r="AQ41" s="519">
        <f>AQ40*'Unit Costs and Indicators'!$A$133*0.5</f>
        <v>2.710139442206013E-3</v>
      </c>
      <c r="AR41" s="519">
        <f>AR40*'Unit Costs and Indicators'!$A$133*0.5</f>
        <v>2.710139442206013E-3</v>
      </c>
      <c r="AS41" s="519">
        <f>AS40*'Unit Costs and Indicators'!$A$133*0.5</f>
        <v>2.710139442206013E-3</v>
      </c>
      <c r="AT41" s="519">
        <f>AT40*'Unit Costs and Indicators'!$A$133*0.5</f>
        <v>2.710139442206013E-3</v>
      </c>
      <c r="AU41" s="519">
        <f>AU40*'Unit Costs and Indicators'!$A$133*0.5</f>
        <v>2.710139442206013E-3</v>
      </c>
      <c r="AV41" s="519">
        <f>AV40*'Unit Costs and Indicators'!$A$133*0.5</f>
        <v>2.710139442206013E-3</v>
      </c>
      <c r="AW41" s="519">
        <f>AW40*'Unit Costs and Indicators'!$A$133*0.5</f>
        <v>2.710139442206013E-3</v>
      </c>
      <c r="AX41" s="519">
        <f>AX40*'Unit Costs and Indicators'!$A$133*0.5</f>
        <v>2.710139442206013E-3</v>
      </c>
      <c r="AY41" s="519">
        <f>AY40*'Unit Costs and Indicators'!$A$133*0.5</f>
        <v>2.710139442206013E-3</v>
      </c>
      <c r="AZ41" s="519">
        <f>AZ40*'Unit Costs and Indicators'!$A$133*0.5</f>
        <v>2.710139442206013E-3</v>
      </c>
      <c r="BA41" s="519">
        <f>BA40*'Unit Costs and Indicators'!$A$133*0.5</f>
        <v>2.710139442206013E-3</v>
      </c>
      <c r="BB41" s="519">
        <f>BB40*'Unit Costs and Indicators'!$A$133*0.5</f>
        <v>2.710139442206013E-3</v>
      </c>
      <c r="BC41" s="519">
        <f>BC40*'Unit Costs and Indicators'!$A$133*0.5</f>
        <v>2.710139442206013E-3</v>
      </c>
      <c r="BD41" s="519">
        <f>BD40*'Unit Costs and Indicators'!$A$133*0.5</f>
        <v>2.710139442206013E-3</v>
      </c>
      <c r="BE41" s="519">
        <f>BE40*'Unit Costs and Indicators'!$A$133*0.5</f>
        <v>2.710139442206013E-3</v>
      </c>
      <c r="BF41" s="519">
        <f>BF40*'Unit Costs and Indicators'!$A$133*0.5</f>
        <v>2.710139442206013E-3</v>
      </c>
      <c r="BG41" s="519">
        <f>BG40*'Unit Costs and Indicators'!$A$133*0.5</f>
        <v>2.710139442206013E-3</v>
      </c>
      <c r="BH41" s="519">
        <f>BH40*'Unit Costs and Indicators'!$A$133*0.5</f>
        <v>2.710139442206013E-3</v>
      </c>
      <c r="BI41" s="519">
        <f>BI40*'Unit Costs and Indicators'!$A$133*0.5</f>
        <v>2.710139442206013E-3</v>
      </c>
      <c r="BJ41" s="519">
        <f>BJ40*'Unit Costs and Indicators'!$A$133*0.5</f>
        <v>2.710139442206013E-3</v>
      </c>
      <c r="BK41" s="519">
        <f>BK40*'Unit Costs and Indicators'!$A$133*0.5</f>
        <v>2.710139442206013E-3</v>
      </c>
      <c r="BL41" s="519">
        <f>BL40*'Unit Costs and Indicators'!$A$133*0.5</f>
        <v>2.710139442206013E-3</v>
      </c>
      <c r="BM41" s="519">
        <f>BM40*'Unit Costs and Indicators'!$A$133*0.5</f>
        <v>2.710139442206013E-3</v>
      </c>
      <c r="BN41" s="519">
        <f>BN40*'Unit Costs and Indicators'!$A$133*0.5</f>
        <v>2.710139442206013E-3</v>
      </c>
      <c r="BO41" s="519">
        <f>BO40*'Unit Costs and Indicators'!$A$133*0.5</f>
        <v>2.710139442206013E-3</v>
      </c>
      <c r="BP41" s="519">
        <f>BP40*'Unit Costs and Indicators'!$A$133*0.5</f>
        <v>2.710139442206013E-3</v>
      </c>
      <c r="BQ41" s="519">
        <f>BQ40*'Unit Costs and Indicators'!$A$133*0.5</f>
        <v>2.710139442206013E-3</v>
      </c>
      <c r="BR41" s="519">
        <f>BR40*'Unit Costs and Indicators'!$A$133*0.5</f>
        <v>2.710139442206013E-3</v>
      </c>
      <c r="BS41" s="519">
        <f>BS40*'Unit Costs and Indicators'!$A$133*0.5</f>
        <v>2.710139442206013E-3</v>
      </c>
      <c r="BT41" s="519">
        <f>BT40*'Unit Costs and Indicators'!$A$133*0.5</f>
        <v>2.710139442206013E-3</v>
      </c>
      <c r="BU41" s="519">
        <f>BU40*'Unit Costs and Indicators'!$A$133*0.5</f>
        <v>2.710139442206013E-3</v>
      </c>
      <c r="BV41" s="519">
        <f>BV40*'Unit Costs and Indicators'!$A$133*0.5</f>
        <v>2.710139442206013E-3</v>
      </c>
      <c r="BW41" s="519">
        <f>BW40*'Unit Costs and Indicators'!$A$133*0.5</f>
        <v>2.710139442206013E-3</v>
      </c>
      <c r="BX41" s="519">
        <f>BX40*'Unit Costs and Indicators'!$A$133*0.5</f>
        <v>2.710139442206013E-3</v>
      </c>
      <c r="BY41" s="519">
        <f>BY40*'Unit Costs and Indicators'!$A$133*0.5</f>
        <v>2.710139442206013E-3</v>
      </c>
      <c r="BZ41" s="519">
        <f>BZ40*'Unit Costs and Indicators'!$A$133*0.5</f>
        <v>2.710139442206013E-3</v>
      </c>
      <c r="CA41" s="519">
        <f>CA40*'Unit Costs and Indicators'!$A$133*0.5</f>
        <v>2.710139442206013E-3</v>
      </c>
      <c r="CB41" s="519">
        <f>CB40*'Unit Costs and Indicators'!$A$133*0.5</f>
        <v>2.710139442206013E-3</v>
      </c>
      <c r="CC41" s="519">
        <f>CC40*'Unit Costs and Indicators'!$A$133*0.5</f>
        <v>2.710139442206013E-3</v>
      </c>
      <c r="CD41" s="519">
        <f>CD40*'Unit Costs and Indicators'!$A$133*0.5</f>
        <v>2.710139442206013E-3</v>
      </c>
      <c r="CE41" s="519">
        <f>CE40*'Unit Costs and Indicators'!$A$133*0.5</f>
        <v>2.710139442206013E-3</v>
      </c>
      <c r="CF41" s="519">
        <f>CF40*'Unit Costs and Indicators'!$A$133*0.5</f>
        <v>2.710139442206013E-3</v>
      </c>
      <c r="CG41" s="519">
        <f>CG40*'Unit Costs and Indicators'!$A$133*0.5</f>
        <v>2.710139442206013E-3</v>
      </c>
      <c r="CH41" s="519">
        <f>CH40*'Unit Costs and Indicators'!$A$133*0.5</f>
        <v>2.710139442206013E-3</v>
      </c>
      <c r="CI41" s="519">
        <f>CI40*'Unit Costs and Indicators'!$A$133*0.5</f>
        <v>2.710139442206013E-3</v>
      </c>
      <c r="CJ41" s="519">
        <f>CJ40*'Unit Costs and Indicators'!$A$133*0.5</f>
        <v>2.710139442206013E-3</v>
      </c>
      <c r="CK41" s="519">
        <f>CK40*'Unit Costs and Indicators'!$A$133*0.5</f>
        <v>2.710139442206013E-3</v>
      </c>
      <c r="CL41" s="519">
        <f>CL40*'Unit Costs and Indicators'!$A$133*0.5</f>
        <v>2.710139442206013E-3</v>
      </c>
      <c r="CM41" s="519">
        <f>CM40*'Unit Costs and Indicators'!$A$133*0.5</f>
        <v>2.710139442206013E-3</v>
      </c>
      <c r="CN41" s="519">
        <f>CN40*'Unit Costs and Indicators'!$A$133*0.5</f>
        <v>2.710139442206013E-3</v>
      </c>
      <c r="CO41" s="519">
        <f>CO40*'Unit Costs and Indicators'!$A$133*0.5</f>
        <v>2.710139442206013E-3</v>
      </c>
      <c r="CP41" s="519">
        <f>CP40*'Unit Costs and Indicators'!$A$133*0.5</f>
        <v>2.710139442206013E-3</v>
      </c>
      <c r="CQ41" s="519">
        <f>CQ40*'Unit Costs and Indicators'!$A$133*0.5</f>
        <v>2.710139442206013E-3</v>
      </c>
      <c r="CR41" s="519">
        <f>CR40*'Unit Costs and Indicators'!$A$133*0.5</f>
        <v>2.710139442206013E-3</v>
      </c>
      <c r="CS41" s="519">
        <f>CS40*'Unit Costs and Indicators'!$A$133*0.5</f>
        <v>2.710139442206013E-3</v>
      </c>
      <c r="CT41" s="519">
        <f>CT40*'Unit Costs and Indicators'!$A$133*0.5</f>
        <v>2.710139442206013E-3</v>
      </c>
      <c r="CU41" s="519">
        <f>CU40*'Unit Costs and Indicators'!$A$133*0.5</f>
        <v>2.710139442206013E-3</v>
      </c>
      <c r="CV41" s="519">
        <f>CV40*'Unit Costs and Indicators'!$A$133*0.5</f>
        <v>2.710139442206013E-3</v>
      </c>
      <c r="CW41" s="519">
        <f>CW40*'Unit Costs and Indicators'!$A$133*0.5</f>
        <v>2.710139442206013E-3</v>
      </c>
      <c r="CX41" s="519">
        <f>CX40*'Unit Costs and Indicators'!$A$133*0.5</f>
        <v>2.710139442206013E-3</v>
      </c>
      <c r="CY41" s="519">
        <f>CY40*'Unit Costs and Indicators'!$A$133*0.5</f>
        <v>2.710139442206013E-3</v>
      </c>
      <c r="CZ41" s="519">
        <f>CZ40*'Unit Costs and Indicators'!$A$133*0.5</f>
        <v>2.710139442206013E-3</v>
      </c>
      <c r="DA41" s="519">
        <f>DA40*'Unit Costs and Indicators'!$A$133*0.5</f>
        <v>2.710139442206013E-3</v>
      </c>
      <c r="DB41" s="519">
        <f>DB40*'Unit Costs and Indicators'!$A$133*0.5</f>
        <v>2.710139442206013E-3</v>
      </c>
      <c r="DC41" s="519">
        <f>DC40*'Unit Costs and Indicators'!$A$133*0.5</f>
        <v>2.710139442206013E-3</v>
      </c>
      <c r="DD41" s="519">
        <f>DD40*'Unit Costs and Indicators'!$A$133*0.5</f>
        <v>2.710139442206013E-3</v>
      </c>
      <c r="DE41" s="519">
        <f>DE40*'Unit Costs and Indicators'!$A$133*0.5</f>
        <v>2.710139442206013E-3</v>
      </c>
      <c r="DF41" s="520"/>
      <c r="DG41" s="520"/>
      <c r="DH41" s="520"/>
      <c r="DI41" s="520"/>
      <c r="DJ41" s="520"/>
      <c r="DK41" s="520"/>
      <c r="DL41" s="520"/>
    </row>
    <row r="42" spans="1:116" ht="15.75" customHeight="1" x14ac:dyDescent="0.25">
      <c r="A42" s="751"/>
      <c r="B42" s="751"/>
      <c r="C42" s="374" t="s">
        <v>273</v>
      </c>
      <c r="D42" s="279"/>
      <c r="E42" s="280"/>
      <c r="F42" s="280"/>
      <c r="G42" s="310"/>
      <c r="H42" s="286">
        <v>170</v>
      </c>
      <c r="I42" s="287">
        <f>H42*(1+'Unit Costs and Indicators'!C171)</f>
        <v>195.31017369727047</v>
      </c>
      <c r="J42" s="287">
        <f>I42*(1+'Unit Costs and Indicators'!D171)</f>
        <v>195.31017369727047</v>
      </c>
      <c r="K42" s="287">
        <f>J42*(1+'Unit Costs and Indicators'!E171)</f>
        <v>195.31017369727047</v>
      </c>
      <c r="L42" s="287">
        <f>K42*(1+'Unit Costs and Indicators'!F171)</f>
        <v>195.31017369727047</v>
      </c>
      <c r="M42" s="287">
        <f>L42*(1+'Unit Costs and Indicators'!G171)</f>
        <v>195.31017369727047</v>
      </c>
      <c r="N42" s="287">
        <f>M42*(1+'Unit Costs and Indicators'!H171)</f>
        <v>195.31017369727047</v>
      </c>
      <c r="O42" s="287">
        <f>N42*(1+'Unit Costs and Indicators'!I171)</f>
        <v>195.31017369727047</v>
      </c>
      <c r="P42" s="287">
        <f>O42*(1+'Unit Costs and Indicators'!J171)</f>
        <v>195.31017369727047</v>
      </c>
      <c r="Q42" s="287">
        <f>P42*(1+'Unit Costs and Indicators'!K171)</f>
        <v>195.31017369727047</v>
      </c>
      <c r="R42" s="287">
        <f>Q42*(1+'Unit Costs and Indicators'!L171)</f>
        <v>195.31017369727047</v>
      </c>
      <c r="S42" s="287">
        <f>R42*(1+'Unit Costs and Indicators'!M171)</f>
        <v>195.31017369727047</v>
      </c>
      <c r="T42" s="287">
        <f>S42*(1+'Unit Costs and Indicators'!N171)</f>
        <v>195.31017369727047</v>
      </c>
      <c r="U42" s="287">
        <f>T42*(1+'Unit Costs and Indicators'!O171)</f>
        <v>195.31017369727047</v>
      </c>
      <c r="V42" s="287">
        <f>U42*(1+'Unit Costs and Indicators'!P171)</f>
        <v>195.31017369727047</v>
      </c>
      <c r="W42" s="287">
        <f>V42*(1+'Unit Costs and Indicators'!Q171)</f>
        <v>195.31017369727047</v>
      </c>
      <c r="X42" s="287">
        <f>W42*(1+'Unit Costs and Indicators'!R171)</f>
        <v>195.31017369727047</v>
      </c>
      <c r="Y42" s="287">
        <f>X42*(1+'Unit Costs and Indicators'!S171)</f>
        <v>195.31017369727047</v>
      </c>
      <c r="Z42" s="287">
        <f>Y42*(1+'Unit Costs and Indicators'!T171)</f>
        <v>195.31017369727047</v>
      </c>
      <c r="AA42" s="287">
        <f>Z42*(1+'Unit Costs and Indicators'!U171)</f>
        <v>195.31017369727047</v>
      </c>
      <c r="AB42" s="287">
        <f>AA42*(1+'Unit Costs and Indicators'!V171)</f>
        <v>195.31017369727047</v>
      </c>
      <c r="AC42" s="287">
        <f>AB42*(1+'Unit Costs and Indicators'!W171)</f>
        <v>195.31017369727047</v>
      </c>
      <c r="AD42" s="287">
        <f>AC42*(1+'Unit Costs and Indicators'!X171)</f>
        <v>195.31017369727047</v>
      </c>
      <c r="AE42" s="287">
        <f>AD42*(1+'Unit Costs and Indicators'!Y171)</f>
        <v>195.31017369727047</v>
      </c>
      <c r="AF42" s="287">
        <f>AE42*(1+'Unit Costs and Indicators'!Z171)</f>
        <v>195.31017369727047</v>
      </c>
      <c r="AG42" s="287">
        <f>AF42*(1+'Unit Costs and Indicators'!AA171)</f>
        <v>195.31017369727047</v>
      </c>
      <c r="AH42" s="287">
        <f>AG42*(1+'Unit Costs and Indicators'!AB171)</f>
        <v>195.31017369727047</v>
      </c>
      <c r="AI42" s="287">
        <f>AH42*(1+'Unit Costs and Indicators'!AC171)</f>
        <v>195.31017369727047</v>
      </c>
      <c r="AJ42" s="287">
        <f>AI42*(1+'Unit Costs and Indicators'!AD171)</f>
        <v>195.31017369727047</v>
      </c>
      <c r="AK42" s="287">
        <f>AJ42*(1+'Unit Costs and Indicators'!AE171)</f>
        <v>195.31017369727047</v>
      </c>
      <c r="AL42" s="287">
        <f>AK42*(1+'Unit Costs and Indicators'!AF171)</f>
        <v>195.31017369727047</v>
      </c>
      <c r="AM42" s="287">
        <f>AL42*(1+'Unit Costs and Indicators'!AG171)</f>
        <v>195.31017369727047</v>
      </c>
      <c r="AN42" s="287">
        <f>AM42*(1+'Unit Costs and Indicators'!AH171)</f>
        <v>195.31017369727047</v>
      </c>
      <c r="AO42" s="287">
        <f>AN42*(1+'Unit Costs and Indicators'!AI171)</f>
        <v>195.31017369727047</v>
      </c>
      <c r="AP42" s="287">
        <f>AO42*(1+'Unit Costs and Indicators'!AJ171)</f>
        <v>195.31017369727047</v>
      </c>
      <c r="AQ42" s="287">
        <f>AP42*(1+'Unit Costs and Indicators'!AK171)</f>
        <v>195.31017369727047</v>
      </c>
      <c r="AR42" s="287">
        <f>AQ42*(1+'Unit Costs and Indicators'!AL171)</f>
        <v>195.31017369727047</v>
      </c>
      <c r="AS42" s="287">
        <f>AR42*(1+'Unit Costs and Indicators'!AM171)</f>
        <v>195.31017369727047</v>
      </c>
      <c r="AT42" s="287">
        <f>AS42*(1+'Unit Costs and Indicators'!AN171)</f>
        <v>195.31017369727047</v>
      </c>
      <c r="AU42" s="287">
        <f>AT42*(1+'Unit Costs and Indicators'!AO171)</f>
        <v>195.31017369727047</v>
      </c>
      <c r="AV42" s="287">
        <f>AU42*(1+'Unit Costs and Indicators'!AP171)</f>
        <v>195.31017369727047</v>
      </c>
      <c r="AW42" s="287">
        <f>AV42*(1+'Unit Costs and Indicators'!AQ171)</f>
        <v>195.31017369727047</v>
      </c>
      <c r="AX42" s="287">
        <f>AW42*(1+'Unit Costs and Indicators'!AR171)</f>
        <v>195.31017369727047</v>
      </c>
      <c r="AY42" s="287">
        <f>AX42*(1+'Unit Costs and Indicators'!AS171)</f>
        <v>195.31017369727047</v>
      </c>
      <c r="AZ42" s="287">
        <f>AY42*(1+'Unit Costs and Indicators'!AT171)</f>
        <v>195.31017369727047</v>
      </c>
      <c r="BA42" s="287">
        <f>AZ42*(1+'Unit Costs and Indicators'!AU171)</f>
        <v>195.31017369727047</v>
      </c>
      <c r="BB42" s="287">
        <f>BA42*(1+'Unit Costs and Indicators'!AV171)</f>
        <v>195.31017369727047</v>
      </c>
      <c r="BC42" s="287">
        <f>BB42*(1+'Unit Costs and Indicators'!AW171)</f>
        <v>195.31017369727047</v>
      </c>
      <c r="BD42" s="287">
        <f>BC42*(1+'Unit Costs and Indicators'!AX171)</f>
        <v>195.31017369727047</v>
      </c>
      <c r="BE42" s="287">
        <f>BD42*(1+'Unit Costs and Indicators'!AY171)</f>
        <v>195.31017369727047</v>
      </c>
      <c r="BF42" s="287">
        <f>BE42*(1+'Unit Costs and Indicators'!AZ171)</f>
        <v>195.31017369727047</v>
      </c>
      <c r="BG42" s="287">
        <f>BF42*(1+'Unit Costs and Indicators'!BA171)</f>
        <v>195.31017369727047</v>
      </c>
      <c r="BH42" s="287">
        <f>BG42*(1+'Unit Costs and Indicators'!BB171)</f>
        <v>195.31017369727047</v>
      </c>
      <c r="BI42" s="287">
        <f>BH42*(1+'Unit Costs and Indicators'!BC171)</f>
        <v>195.31017369727047</v>
      </c>
      <c r="BJ42" s="287">
        <f>BI42*(1+'Unit Costs and Indicators'!BD171)</f>
        <v>195.31017369727047</v>
      </c>
      <c r="BK42" s="287">
        <f>BJ42*(1+'Unit Costs and Indicators'!BE171)</f>
        <v>195.31017369727047</v>
      </c>
      <c r="BL42" s="287">
        <f>BK42*(1+'Unit Costs and Indicators'!BF171)</f>
        <v>195.31017369727047</v>
      </c>
      <c r="BM42" s="287">
        <f>BL42*(1+'Unit Costs and Indicators'!BG171)</f>
        <v>195.31017369727047</v>
      </c>
      <c r="BN42" s="287">
        <f>BM42*(1+'Unit Costs and Indicators'!BH171)</f>
        <v>195.31017369727047</v>
      </c>
      <c r="BO42" s="287">
        <f>BN42*(1+'Unit Costs and Indicators'!BI171)</f>
        <v>195.31017369727047</v>
      </c>
      <c r="BP42" s="287">
        <f>BO42*(1+'Unit Costs and Indicators'!BJ171)</f>
        <v>195.31017369727047</v>
      </c>
      <c r="BQ42" s="287">
        <f>BP42*(1+'Unit Costs and Indicators'!BK171)</f>
        <v>195.31017369727047</v>
      </c>
      <c r="BR42" s="287">
        <f>BQ42*(1+'Unit Costs and Indicators'!BL171)</f>
        <v>195.31017369727047</v>
      </c>
      <c r="BS42" s="287">
        <f>BR42*(1+'Unit Costs and Indicators'!BM171)</f>
        <v>195.31017369727047</v>
      </c>
      <c r="BT42" s="287">
        <f>BS42*(1+'Unit Costs and Indicators'!BN171)</f>
        <v>195.31017369727047</v>
      </c>
      <c r="BU42" s="287">
        <f>BT42*(1+'Unit Costs and Indicators'!BO171)</f>
        <v>195.31017369727047</v>
      </c>
      <c r="BV42" s="287">
        <f>BU42*(1+'Unit Costs and Indicators'!BP171)</f>
        <v>195.31017369727047</v>
      </c>
      <c r="BW42" s="287">
        <f>BV42*(1+'Unit Costs and Indicators'!BQ171)</f>
        <v>195.31017369727047</v>
      </c>
      <c r="BX42" s="287">
        <f>BW42*(1+'Unit Costs and Indicators'!BR171)</f>
        <v>195.31017369727047</v>
      </c>
      <c r="BY42" s="287">
        <f>BX42*(1+'Unit Costs and Indicators'!BS171)</f>
        <v>195.31017369727047</v>
      </c>
      <c r="BZ42" s="287">
        <f>BY42*(1+'Unit Costs and Indicators'!BT171)</f>
        <v>195.31017369727047</v>
      </c>
      <c r="CA42" s="287">
        <f>BZ42*(1+'Unit Costs and Indicators'!BU171)</f>
        <v>195.31017369727047</v>
      </c>
      <c r="CB42" s="287">
        <f>CA42*(1+'Unit Costs and Indicators'!BV171)</f>
        <v>195.31017369727047</v>
      </c>
      <c r="CC42" s="287">
        <f>CB42*(1+'Unit Costs and Indicators'!BW171)</f>
        <v>195.31017369727047</v>
      </c>
      <c r="CD42" s="287">
        <f>CC42*(1+'Unit Costs and Indicators'!BX171)</f>
        <v>195.31017369727047</v>
      </c>
      <c r="CE42" s="287">
        <f>CD42*(1+'Unit Costs and Indicators'!BY171)</f>
        <v>195.31017369727047</v>
      </c>
      <c r="CF42" s="287">
        <f>CE42*(1+'Unit Costs and Indicators'!BZ171)</f>
        <v>195.31017369727047</v>
      </c>
      <c r="CG42" s="287">
        <f>CF42*(1+'Unit Costs and Indicators'!CA171)</f>
        <v>195.31017369727047</v>
      </c>
      <c r="CH42" s="287">
        <f>CG42*(1+'Unit Costs and Indicators'!CB171)</f>
        <v>195.31017369727047</v>
      </c>
      <c r="CI42" s="287">
        <f>CH42*(1+'Unit Costs and Indicators'!CC171)</f>
        <v>195.31017369727047</v>
      </c>
      <c r="CJ42" s="287">
        <f>CI42*(1+'Unit Costs and Indicators'!CD171)</f>
        <v>195.31017369727047</v>
      </c>
      <c r="CK42" s="287">
        <f>CJ42*(1+'Unit Costs and Indicators'!CE171)</f>
        <v>195.31017369727047</v>
      </c>
      <c r="CL42" s="287">
        <f>CK42*(1+'Unit Costs and Indicators'!CF171)</f>
        <v>195.31017369727047</v>
      </c>
      <c r="CM42" s="287">
        <f>CL42*(1+'Unit Costs and Indicators'!CG171)</f>
        <v>195.31017369727047</v>
      </c>
      <c r="CN42" s="287">
        <f>CM42*(1+'Unit Costs and Indicators'!CH171)</f>
        <v>195.31017369727047</v>
      </c>
      <c r="CO42" s="287">
        <f>CN42*(1+'Unit Costs and Indicators'!CI171)</f>
        <v>195.31017369727047</v>
      </c>
      <c r="CP42" s="287">
        <f>CO42*(1+'Unit Costs and Indicators'!CJ171)</f>
        <v>195.31017369727047</v>
      </c>
      <c r="CQ42" s="287">
        <f>CP42*(1+'Unit Costs and Indicators'!CK171)</f>
        <v>195.31017369727047</v>
      </c>
      <c r="CR42" s="287">
        <f>CQ42*(1+'Unit Costs and Indicators'!CL171)</f>
        <v>195.31017369727047</v>
      </c>
      <c r="CS42" s="287">
        <f>CR42*(1+'Unit Costs and Indicators'!CM171)</f>
        <v>195.31017369727047</v>
      </c>
      <c r="CT42" s="287">
        <f>CS42*(1+'Unit Costs and Indicators'!CN171)</f>
        <v>195.31017369727047</v>
      </c>
      <c r="CU42" s="287">
        <f>CT42*(1+'Unit Costs and Indicators'!CO171)</f>
        <v>195.31017369727047</v>
      </c>
      <c r="CV42" s="287">
        <f>CU42*(1+'Unit Costs and Indicators'!CP171)</f>
        <v>195.31017369727047</v>
      </c>
      <c r="CW42" s="287">
        <f>CV42*(1+'Unit Costs and Indicators'!CQ171)</f>
        <v>195.31017369727047</v>
      </c>
      <c r="CX42" s="287">
        <f>CW42*(1+'Unit Costs and Indicators'!CR171)</f>
        <v>195.31017369727047</v>
      </c>
      <c r="CY42" s="287">
        <f>CX42*(1+'Unit Costs and Indicators'!CS171)</f>
        <v>195.31017369727047</v>
      </c>
      <c r="CZ42" s="287">
        <f>CY42*(1+'Unit Costs and Indicators'!CT171)</f>
        <v>195.31017369727047</v>
      </c>
      <c r="DA42" s="287">
        <f>CZ42*(1+'Unit Costs and Indicators'!CU171)</f>
        <v>195.31017369727047</v>
      </c>
      <c r="DB42" s="287">
        <f>DA42*(1+'Unit Costs and Indicators'!CV171)</f>
        <v>195.31017369727047</v>
      </c>
      <c r="DC42" s="287">
        <f>DB42*(1+'Unit Costs and Indicators'!CW171)</f>
        <v>195.31017369727047</v>
      </c>
      <c r="DD42" s="287">
        <f>DC42*(1+'Unit Costs and Indicators'!CX171)</f>
        <v>195.31017369727047</v>
      </c>
      <c r="DE42" s="287">
        <f>DD42*(1+'Unit Costs and Indicators'!CY171)</f>
        <v>195.31017369727047</v>
      </c>
      <c r="DF42" s="312"/>
      <c r="DG42" s="312"/>
      <c r="DH42" s="312"/>
      <c r="DI42" s="312"/>
      <c r="DJ42" s="312"/>
      <c r="DK42" s="312"/>
      <c r="DL42" s="312"/>
    </row>
    <row r="43" spans="1:116" ht="15.75" customHeight="1" x14ac:dyDescent="0.25">
      <c r="A43" s="751"/>
      <c r="B43" s="751"/>
      <c r="C43" s="374" t="s">
        <v>274</v>
      </c>
      <c r="D43" s="279"/>
      <c r="E43" s="280"/>
      <c r="F43" s="280"/>
      <c r="G43" s="310"/>
      <c r="H43" s="313">
        <f>((3.49/100)*'Unit Costs and Indicators'!$A$133)*H42</f>
        <v>325510.80320880003</v>
      </c>
      <c r="I43" s="296">
        <f>((3.49/100)*'Unit Costs and Indicators'!$A$133)*I42</f>
        <v>373973.95008852211</v>
      </c>
      <c r="J43" s="296">
        <f>((3.49/100)*'Unit Costs and Indicators'!$A$133)*J42</f>
        <v>373973.95008852211</v>
      </c>
      <c r="K43" s="296">
        <f>((3.49/100)*'Unit Costs and Indicators'!$A$133)*K42</f>
        <v>373973.95008852211</v>
      </c>
      <c r="L43" s="296">
        <f>((3.49/100)*'Unit Costs and Indicators'!$A$133)*L42</f>
        <v>373973.95008852211</v>
      </c>
      <c r="M43" s="296">
        <f>((3.49/100)*'Unit Costs and Indicators'!$A$133)*M42</f>
        <v>373973.95008852211</v>
      </c>
      <c r="N43" s="296">
        <f>((3.49/100)*'Unit Costs and Indicators'!$A$133)*N42</f>
        <v>373973.95008852211</v>
      </c>
      <c r="O43" s="296">
        <f>((3.49/100)*'Unit Costs and Indicators'!$A$133)*O42</f>
        <v>373973.95008852211</v>
      </c>
      <c r="P43" s="296">
        <f>((3.49/100)*'Unit Costs and Indicators'!$A$133)*P42</f>
        <v>373973.95008852211</v>
      </c>
      <c r="Q43" s="296">
        <f>((3.49/100)*'Unit Costs and Indicators'!$A$133)*Q42</f>
        <v>373973.95008852211</v>
      </c>
      <c r="R43" s="296">
        <f>((3.49/100)*'Unit Costs and Indicators'!$A$133)*R42</f>
        <v>373973.95008852211</v>
      </c>
      <c r="S43" s="296">
        <f>((3.49/100)*'Unit Costs and Indicators'!$A$133)*S42</f>
        <v>373973.95008852211</v>
      </c>
      <c r="T43" s="296">
        <f>((3.49/100)*'Unit Costs and Indicators'!$A$133)*T42</f>
        <v>373973.95008852211</v>
      </c>
      <c r="U43" s="296">
        <f>((3.49/100)*'Unit Costs and Indicators'!$A$133)*U42</f>
        <v>373973.95008852211</v>
      </c>
      <c r="V43" s="296">
        <f>((3.49/100)*'Unit Costs and Indicators'!$A$133)*V42</f>
        <v>373973.95008852211</v>
      </c>
      <c r="W43" s="296">
        <f>((3.49/100)*'Unit Costs and Indicators'!$A$133)*W42</f>
        <v>373973.95008852211</v>
      </c>
      <c r="X43" s="296">
        <f>((3.49/100)*'Unit Costs and Indicators'!$A$133)*X42</f>
        <v>373973.95008852211</v>
      </c>
      <c r="Y43" s="296">
        <f>((3.49/100)*'Unit Costs and Indicators'!$A$133)*Y42</f>
        <v>373973.95008852211</v>
      </c>
      <c r="Z43" s="296">
        <f>((3.49/100)*'Unit Costs and Indicators'!$A$133)*Z42</f>
        <v>373973.95008852211</v>
      </c>
      <c r="AA43" s="296">
        <f>((3.49/100)*'Unit Costs and Indicators'!$A$133)*AA42</f>
        <v>373973.95008852211</v>
      </c>
      <c r="AB43" s="296">
        <f>((3.49/100)*'Unit Costs and Indicators'!$A$133)*AB42</f>
        <v>373973.95008852211</v>
      </c>
      <c r="AC43" s="296">
        <f>((3.49/100)*'Unit Costs and Indicators'!$A$133)*AC42</f>
        <v>373973.95008852211</v>
      </c>
      <c r="AD43" s="296">
        <f>((3.49/100)*'Unit Costs and Indicators'!$A$133)*AD42</f>
        <v>373973.95008852211</v>
      </c>
      <c r="AE43" s="296">
        <f>((3.49/100)*'Unit Costs and Indicators'!$A$133)*AE42</f>
        <v>373973.95008852211</v>
      </c>
      <c r="AF43" s="296">
        <f>((3.49/100)*'Unit Costs and Indicators'!$A$133)*AF42</f>
        <v>373973.95008852211</v>
      </c>
      <c r="AG43" s="296">
        <f>((3.49/100)*'Unit Costs and Indicators'!$A$133)*AG42</f>
        <v>373973.95008852211</v>
      </c>
      <c r="AH43" s="296">
        <f>((3.49/100)*'Unit Costs and Indicators'!$A$133)*AH42</f>
        <v>373973.95008852211</v>
      </c>
      <c r="AI43" s="296">
        <f>((3.49/100)*'Unit Costs and Indicators'!$A$133)*AI42</f>
        <v>373973.95008852211</v>
      </c>
      <c r="AJ43" s="296">
        <f>((3.49/100)*'Unit Costs and Indicators'!$A$133)*AJ42</f>
        <v>373973.95008852211</v>
      </c>
      <c r="AK43" s="296">
        <f>((3.49/100)*'Unit Costs and Indicators'!$A$133)*AK42</f>
        <v>373973.95008852211</v>
      </c>
      <c r="AL43" s="296">
        <f>((3.49/100)*'Unit Costs and Indicators'!$A$133)*AL42</f>
        <v>373973.95008852211</v>
      </c>
      <c r="AM43" s="296">
        <f>((3.49/100)*'Unit Costs and Indicators'!$A$133)*AM42</f>
        <v>373973.95008852211</v>
      </c>
      <c r="AN43" s="296">
        <f>((3.49/100)*'Unit Costs and Indicators'!$A$133)*AN42</f>
        <v>373973.95008852211</v>
      </c>
      <c r="AO43" s="296">
        <f>((3.49/100)*'Unit Costs and Indicators'!$A$133)*AO42</f>
        <v>373973.95008852211</v>
      </c>
      <c r="AP43" s="296">
        <f>((3.49/100)*'Unit Costs and Indicators'!$A$133)*AP42</f>
        <v>373973.95008852211</v>
      </c>
      <c r="AQ43" s="296">
        <f>((3.49/100)*'Unit Costs and Indicators'!$A$133)*AQ42</f>
        <v>373973.95008852211</v>
      </c>
      <c r="AR43" s="296">
        <f>((3.49/100)*'Unit Costs and Indicators'!$A$133)*AR42</f>
        <v>373973.95008852211</v>
      </c>
      <c r="AS43" s="296">
        <f>((3.49/100)*'Unit Costs and Indicators'!$A$133)*AS42</f>
        <v>373973.95008852211</v>
      </c>
      <c r="AT43" s="296">
        <f>((3.49/100)*'Unit Costs and Indicators'!$A$133)*AT42</f>
        <v>373973.95008852211</v>
      </c>
      <c r="AU43" s="296">
        <f>((3.49/100)*'Unit Costs and Indicators'!$A$133)*AU42</f>
        <v>373973.95008852211</v>
      </c>
      <c r="AV43" s="296">
        <f>((3.49/100)*'Unit Costs and Indicators'!$A$133)*AV42</f>
        <v>373973.95008852211</v>
      </c>
      <c r="AW43" s="296">
        <f>((3.49/100)*'Unit Costs and Indicators'!$A$133)*AW42</f>
        <v>373973.95008852211</v>
      </c>
      <c r="AX43" s="296">
        <f>((3.49/100)*'Unit Costs and Indicators'!$A$133)*AX42</f>
        <v>373973.95008852211</v>
      </c>
      <c r="AY43" s="296">
        <f>((3.49/100)*'Unit Costs and Indicators'!$A$133)*AY42</f>
        <v>373973.95008852211</v>
      </c>
      <c r="AZ43" s="296">
        <f>((3.49/100)*'Unit Costs and Indicators'!$A$133)*AZ42</f>
        <v>373973.95008852211</v>
      </c>
      <c r="BA43" s="296">
        <f>((3.49/100)*'Unit Costs and Indicators'!$A$133)*BA42</f>
        <v>373973.95008852211</v>
      </c>
      <c r="BB43" s="296">
        <f>((3.49/100)*'Unit Costs and Indicators'!$A$133)*BB42</f>
        <v>373973.95008852211</v>
      </c>
      <c r="BC43" s="296">
        <f>((3.49/100)*'Unit Costs and Indicators'!$A$133)*BC42</f>
        <v>373973.95008852211</v>
      </c>
      <c r="BD43" s="296">
        <f>((3.49/100)*'Unit Costs and Indicators'!$A$133)*BD42</f>
        <v>373973.95008852211</v>
      </c>
      <c r="BE43" s="296">
        <f>((3.49/100)*'Unit Costs and Indicators'!$A$133)*BE42</f>
        <v>373973.95008852211</v>
      </c>
      <c r="BF43" s="296">
        <f>((3.49/100)*'Unit Costs and Indicators'!$A$133)*BF42</f>
        <v>373973.95008852211</v>
      </c>
      <c r="BG43" s="296">
        <f>((3.49/100)*'Unit Costs and Indicators'!$A$133)*BG42</f>
        <v>373973.95008852211</v>
      </c>
      <c r="BH43" s="296">
        <f>((3.49/100)*'Unit Costs and Indicators'!$A$133)*BH42</f>
        <v>373973.95008852211</v>
      </c>
      <c r="BI43" s="296">
        <f>((3.49/100)*'Unit Costs and Indicators'!$A$133)*BI42</f>
        <v>373973.95008852211</v>
      </c>
      <c r="BJ43" s="296">
        <f>((3.49/100)*'Unit Costs and Indicators'!$A$133)*BJ42</f>
        <v>373973.95008852211</v>
      </c>
      <c r="BK43" s="296">
        <f>((3.49/100)*'Unit Costs and Indicators'!$A$133)*BK42</f>
        <v>373973.95008852211</v>
      </c>
      <c r="BL43" s="296">
        <f>((3.49/100)*'Unit Costs and Indicators'!$A$133)*BL42</f>
        <v>373973.95008852211</v>
      </c>
      <c r="BM43" s="296">
        <f>((3.49/100)*'Unit Costs and Indicators'!$A$133)*BM42</f>
        <v>373973.95008852211</v>
      </c>
      <c r="BN43" s="296">
        <f>((3.49/100)*'Unit Costs and Indicators'!$A$133)*BN42</f>
        <v>373973.95008852211</v>
      </c>
      <c r="BO43" s="296">
        <f>((3.49/100)*'Unit Costs and Indicators'!$A$133)*BO42</f>
        <v>373973.95008852211</v>
      </c>
      <c r="BP43" s="296">
        <f>((3.49/100)*'Unit Costs and Indicators'!$A$133)*BP42</f>
        <v>373973.95008852211</v>
      </c>
      <c r="BQ43" s="296">
        <f>((3.49/100)*'Unit Costs and Indicators'!$A$133)*BQ42</f>
        <v>373973.95008852211</v>
      </c>
      <c r="BR43" s="296">
        <f>((3.49/100)*'Unit Costs and Indicators'!$A$133)*BR42</f>
        <v>373973.95008852211</v>
      </c>
      <c r="BS43" s="296">
        <f>((3.49/100)*'Unit Costs and Indicators'!$A$133)*BS42</f>
        <v>373973.95008852211</v>
      </c>
      <c r="BT43" s="296">
        <f>((3.49/100)*'Unit Costs and Indicators'!$A$133)*BT42</f>
        <v>373973.95008852211</v>
      </c>
      <c r="BU43" s="296">
        <f>((3.49/100)*'Unit Costs and Indicators'!$A$133)*BU42</f>
        <v>373973.95008852211</v>
      </c>
      <c r="BV43" s="296">
        <f>((3.49/100)*'Unit Costs and Indicators'!$A$133)*BV42</f>
        <v>373973.95008852211</v>
      </c>
      <c r="BW43" s="296">
        <f>((3.49/100)*'Unit Costs and Indicators'!$A$133)*BW42</f>
        <v>373973.95008852211</v>
      </c>
      <c r="BX43" s="296">
        <f>((3.49/100)*'Unit Costs and Indicators'!$A$133)*BX42</f>
        <v>373973.95008852211</v>
      </c>
      <c r="BY43" s="296">
        <f>((3.49/100)*'Unit Costs and Indicators'!$A$133)*BY42</f>
        <v>373973.95008852211</v>
      </c>
      <c r="BZ43" s="296">
        <f>((3.49/100)*'Unit Costs and Indicators'!$A$133)*BZ42</f>
        <v>373973.95008852211</v>
      </c>
      <c r="CA43" s="296">
        <f>((3.49/100)*'Unit Costs and Indicators'!$A$133)*CA42</f>
        <v>373973.95008852211</v>
      </c>
      <c r="CB43" s="296">
        <f>((3.49/100)*'Unit Costs and Indicators'!$A$133)*CB42</f>
        <v>373973.95008852211</v>
      </c>
      <c r="CC43" s="296">
        <f>((3.49/100)*'Unit Costs and Indicators'!$A$133)*CC42</f>
        <v>373973.95008852211</v>
      </c>
      <c r="CD43" s="296">
        <f>((3.49/100)*'Unit Costs and Indicators'!$A$133)*CD42</f>
        <v>373973.95008852211</v>
      </c>
      <c r="CE43" s="296">
        <f>((3.49/100)*'Unit Costs and Indicators'!$A$133)*CE42</f>
        <v>373973.95008852211</v>
      </c>
      <c r="CF43" s="296">
        <f>((3.49/100)*'Unit Costs and Indicators'!$A$133)*CF42</f>
        <v>373973.95008852211</v>
      </c>
      <c r="CG43" s="296">
        <f>((3.49/100)*'Unit Costs and Indicators'!$A$133)*CG42</f>
        <v>373973.95008852211</v>
      </c>
      <c r="CH43" s="296">
        <f>((3.49/100)*'Unit Costs and Indicators'!$A$133)*CH42</f>
        <v>373973.95008852211</v>
      </c>
      <c r="CI43" s="296">
        <f>((3.49/100)*'Unit Costs and Indicators'!$A$133)*CI42</f>
        <v>373973.95008852211</v>
      </c>
      <c r="CJ43" s="296">
        <f>((3.49/100)*'Unit Costs and Indicators'!$A$133)*CJ42</f>
        <v>373973.95008852211</v>
      </c>
      <c r="CK43" s="296">
        <f>((3.49/100)*'Unit Costs and Indicators'!$A$133)*CK42</f>
        <v>373973.95008852211</v>
      </c>
      <c r="CL43" s="296">
        <f>((3.49/100)*'Unit Costs and Indicators'!$A$133)*CL42</f>
        <v>373973.95008852211</v>
      </c>
      <c r="CM43" s="296">
        <f>((3.49/100)*'Unit Costs and Indicators'!$A$133)*CM42</f>
        <v>373973.95008852211</v>
      </c>
      <c r="CN43" s="296">
        <f>((3.49/100)*'Unit Costs and Indicators'!$A$133)*CN42</f>
        <v>373973.95008852211</v>
      </c>
      <c r="CO43" s="296">
        <f>((3.49/100)*'Unit Costs and Indicators'!$A$133)*CO42</f>
        <v>373973.95008852211</v>
      </c>
      <c r="CP43" s="296">
        <f>((3.49/100)*'Unit Costs and Indicators'!$A$133)*CP42</f>
        <v>373973.95008852211</v>
      </c>
      <c r="CQ43" s="296">
        <f>((3.49/100)*'Unit Costs and Indicators'!$A$133)*CQ42</f>
        <v>373973.95008852211</v>
      </c>
      <c r="CR43" s="296">
        <f>((3.49/100)*'Unit Costs and Indicators'!$A$133)*CR42</f>
        <v>373973.95008852211</v>
      </c>
      <c r="CS43" s="296">
        <f>((3.49/100)*'Unit Costs and Indicators'!$A$133)*CS42</f>
        <v>373973.95008852211</v>
      </c>
      <c r="CT43" s="296">
        <f>((3.49/100)*'Unit Costs and Indicators'!$A$133)*CT42</f>
        <v>373973.95008852211</v>
      </c>
      <c r="CU43" s="296">
        <f>((3.49/100)*'Unit Costs and Indicators'!$A$133)*CU42</f>
        <v>373973.95008852211</v>
      </c>
      <c r="CV43" s="296">
        <f>((3.49/100)*'Unit Costs and Indicators'!$A$133)*CV42</f>
        <v>373973.95008852211</v>
      </c>
      <c r="CW43" s="296">
        <f>((3.49/100)*'Unit Costs and Indicators'!$A$133)*CW42</f>
        <v>373973.95008852211</v>
      </c>
      <c r="CX43" s="296">
        <f>((3.49/100)*'Unit Costs and Indicators'!$A$133)*CX42</f>
        <v>373973.95008852211</v>
      </c>
      <c r="CY43" s="296">
        <f>((3.49/100)*'Unit Costs and Indicators'!$A$133)*CY42</f>
        <v>373973.95008852211</v>
      </c>
      <c r="CZ43" s="296">
        <f>((3.49/100)*'Unit Costs and Indicators'!$A$133)*CZ42</f>
        <v>373973.95008852211</v>
      </c>
      <c r="DA43" s="296">
        <f>((3.49/100)*'Unit Costs and Indicators'!$A$133)*DA42</f>
        <v>373973.95008852211</v>
      </c>
      <c r="DB43" s="296">
        <f>((3.49/100)*'Unit Costs and Indicators'!$A$133)*DB42</f>
        <v>373973.95008852211</v>
      </c>
      <c r="DC43" s="296">
        <f>((3.49/100)*'Unit Costs and Indicators'!$A$133)*DC42</f>
        <v>373973.95008852211</v>
      </c>
      <c r="DD43" s="296">
        <f>((3.49/100)*'Unit Costs and Indicators'!$A$133)*DD42</f>
        <v>373973.95008852211</v>
      </c>
      <c r="DE43" s="296">
        <f>((3.49/100)*'Unit Costs and Indicators'!$A$133)*DE42</f>
        <v>373973.95008852211</v>
      </c>
      <c r="DF43" s="287"/>
      <c r="DG43" s="287"/>
      <c r="DH43" s="287"/>
      <c r="DI43" s="287"/>
      <c r="DJ43" s="287"/>
      <c r="DK43" s="287"/>
      <c r="DL43" s="287"/>
    </row>
    <row r="44" spans="1:116" ht="15.75" customHeight="1" x14ac:dyDescent="0.25">
      <c r="A44" s="751"/>
      <c r="B44" s="751"/>
      <c r="C44" s="377" t="s">
        <v>275</v>
      </c>
      <c r="D44" s="348"/>
      <c r="E44" s="293"/>
      <c r="F44" s="349"/>
      <c r="G44" s="371"/>
      <c r="H44" s="335">
        <f>H43*'Unit Costs and Indicators'!$L$10*0.35</f>
        <v>9.5354763049715903</v>
      </c>
      <c r="I44" s="336">
        <f>I43*'Unit Costs and Indicators'!$L$10*0.35</f>
        <v>10.955150196530635</v>
      </c>
      <c r="J44" s="336">
        <f>J43*'Unit Costs and Indicators'!$L$10*0.35</f>
        <v>10.955150196530635</v>
      </c>
      <c r="K44" s="336">
        <f>K43*'Unit Costs and Indicators'!$L$10*0.35</f>
        <v>10.955150196530635</v>
      </c>
      <c r="L44" s="336">
        <f>L43*'Unit Costs and Indicators'!$L$10*0.35</f>
        <v>10.955150196530635</v>
      </c>
      <c r="M44" s="336">
        <f>M43*'Unit Costs and Indicators'!$L$10*0.35</f>
        <v>10.955150196530635</v>
      </c>
      <c r="N44" s="336">
        <f>N43*'Unit Costs and Indicators'!$L$10*0.35</f>
        <v>10.955150196530635</v>
      </c>
      <c r="O44" s="336">
        <f>O43*'Unit Costs and Indicators'!$L$10*0.35</f>
        <v>10.955150196530635</v>
      </c>
      <c r="P44" s="336">
        <f>P43*'Unit Costs and Indicators'!$L$10*0.35</f>
        <v>10.955150196530635</v>
      </c>
      <c r="Q44" s="336">
        <f>Q43*'Unit Costs and Indicators'!$L$10*0.35</f>
        <v>10.955150196530635</v>
      </c>
      <c r="R44" s="336">
        <f>R43*'Unit Costs and Indicators'!$L$10*0.35</f>
        <v>10.955150196530635</v>
      </c>
      <c r="S44" s="336">
        <f>S43*'Unit Costs and Indicators'!$L$10*0.35</f>
        <v>10.955150196530635</v>
      </c>
      <c r="T44" s="336">
        <f>T43*'Unit Costs and Indicators'!$L$10*0.35</f>
        <v>10.955150196530635</v>
      </c>
      <c r="U44" s="336">
        <f>U43*'Unit Costs and Indicators'!$L$10*0.35</f>
        <v>10.955150196530635</v>
      </c>
      <c r="V44" s="336">
        <f>V43*'Unit Costs and Indicators'!$L$10*0.35</f>
        <v>10.955150196530635</v>
      </c>
      <c r="W44" s="336">
        <f>W43*'Unit Costs and Indicators'!$L$10*0.35</f>
        <v>10.955150196530635</v>
      </c>
      <c r="X44" s="336">
        <f>X43*'Unit Costs and Indicators'!$L$10*0.35</f>
        <v>10.955150196530635</v>
      </c>
      <c r="Y44" s="336">
        <f>Y43*'Unit Costs and Indicators'!$L$10*0.35</f>
        <v>10.955150196530635</v>
      </c>
      <c r="Z44" s="336">
        <f>Z43*'Unit Costs and Indicators'!$L$10*0.35</f>
        <v>10.955150196530635</v>
      </c>
      <c r="AA44" s="336">
        <f>AA43*'Unit Costs and Indicators'!$L$10*0.35</f>
        <v>10.955150196530635</v>
      </c>
      <c r="AB44" s="336">
        <f>AB43*'Unit Costs and Indicators'!$L$10*0.35</f>
        <v>10.955150196530635</v>
      </c>
      <c r="AC44" s="336">
        <f>AC43*'Unit Costs and Indicators'!$L$10*0.35</f>
        <v>10.955150196530635</v>
      </c>
      <c r="AD44" s="336">
        <f>AD43*'Unit Costs and Indicators'!$L$10*0.35</f>
        <v>10.955150196530635</v>
      </c>
      <c r="AE44" s="336">
        <f>AE43*'Unit Costs and Indicators'!$L$10*0.35</f>
        <v>10.955150196530635</v>
      </c>
      <c r="AF44" s="336">
        <f>AF43*'Unit Costs and Indicators'!$L$10*0.35</f>
        <v>10.955150196530635</v>
      </c>
      <c r="AG44" s="336">
        <f>AG43*'Unit Costs and Indicators'!$L$10*0.35</f>
        <v>10.955150196530635</v>
      </c>
      <c r="AH44" s="336">
        <f>AH43*'Unit Costs and Indicators'!$L$10*0.35</f>
        <v>10.955150196530635</v>
      </c>
      <c r="AI44" s="336">
        <f>AI43*'Unit Costs and Indicators'!$L$10*0.35</f>
        <v>10.955150196530635</v>
      </c>
      <c r="AJ44" s="336">
        <f>AJ43*'Unit Costs and Indicators'!$L$10*0.35</f>
        <v>10.955150196530635</v>
      </c>
      <c r="AK44" s="336">
        <f>AK43*'Unit Costs and Indicators'!$L$10*0.35</f>
        <v>10.955150196530635</v>
      </c>
      <c r="AL44" s="336">
        <f>AL43*'Unit Costs and Indicators'!$L$10*0.35</f>
        <v>10.955150196530635</v>
      </c>
      <c r="AM44" s="336">
        <f>AM43*'Unit Costs and Indicators'!$L$10*0.35</f>
        <v>10.955150196530635</v>
      </c>
      <c r="AN44" s="336">
        <f>AN43*'Unit Costs and Indicators'!$L$10*0.35</f>
        <v>10.955150196530635</v>
      </c>
      <c r="AO44" s="336">
        <f>AO43*'Unit Costs and Indicators'!$L$10*0.35</f>
        <v>10.955150196530635</v>
      </c>
      <c r="AP44" s="336">
        <f>AP43*'Unit Costs and Indicators'!$L$10*0.35</f>
        <v>10.955150196530635</v>
      </c>
      <c r="AQ44" s="336">
        <f>AQ43*'Unit Costs and Indicators'!$L$10*0.35</f>
        <v>10.955150196530635</v>
      </c>
      <c r="AR44" s="336">
        <f>AR43*'Unit Costs and Indicators'!$L$10*0.35</f>
        <v>10.955150196530635</v>
      </c>
      <c r="AS44" s="336">
        <f>AS43*'Unit Costs and Indicators'!$L$10*0.35</f>
        <v>10.955150196530635</v>
      </c>
      <c r="AT44" s="336">
        <f>AT43*'Unit Costs and Indicators'!$L$10*0.35</f>
        <v>10.955150196530635</v>
      </c>
      <c r="AU44" s="336">
        <f>AU43*'Unit Costs and Indicators'!$L$10*0.35</f>
        <v>10.955150196530635</v>
      </c>
      <c r="AV44" s="336">
        <f>AV43*'Unit Costs and Indicators'!$L$10*0.35</f>
        <v>10.955150196530635</v>
      </c>
      <c r="AW44" s="336">
        <f>AW43*'Unit Costs and Indicators'!$L$10*0.35</f>
        <v>10.955150196530635</v>
      </c>
      <c r="AX44" s="336">
        <f>AX43*'Unit Costs and Indicators'!$L$10*0.35</f>
        <v>10.955150196530635</v>
      </c>
      <c r="AY44" s="336">
        <f>AY43*'Unit Costs and Indicators'!$L$10*0.35</f>
        <v>10.955150196530635</v>
      </c>
      <c r="AZ44" s="336">
        <f>AZ43*'Unit Costs and Indicators'!$L$10*0.35</f>
        <v>10.955150196530635</v>
      </c>
      <c r="BA44" s="336">
        <f>BA43*'Unit Costs and Indicators'!$L$10*0.35</f>
        <v>10.955150196530635</v>
      </c>
      <c r="BB44" s="336">
        <f>BB43*'Unit Costs and Indicators'!$L$10*0.35</f>
        <v>10.955150196530635</v>
      </c>
      <c r="BC44" s="336">
        <f>BC43*'Unit Costs and Indicators'!$L$10*0.35</f>
        <v>10.955150196530635</v>
      </c>
      <c r="BD44" s="336">
        <f>BD43*'Unit Costs and Indicators'!$L$10*0.35</f>
        <v>10.955150196530635</v>
      </c>
      <c r="BE44" s="336">
        <f>BE43*'Unit Costs and Indicators'!$L$10*0.35</f>
        <v>10.955150196530635</v>
      </c>
      <c r="BF44" s="336">
        <f>BF43*'Unit Costs and Indicators'!$L$10*0.35</f>
        <v>10.955150196530635</v>
      </c>
      <c r="BG44" s="336">
        <f>BG43*'Unit Costs and Indicators'!$L$10*0.35</f>
        <v>10.955150196530635</v>
      </c>
      <c r="BH44" s="336">
        <f>BH43*'Unit Costs and Indicators'!$L$10*0.35</f>
        <v>10.955150196530635</v>
      </c>
      <c r="BI44" s="336">
        <f>BI43*'Unit Costs and Indicators'!$L$10*0.35</f>
        <v>10.955150196530635</v>
      </c>
      <c r="BJ44" s="336">
        <f>BJ43*'Unit Costs and Indicators'!$L$10*0.35</f>
        <v>10.955150196530635</v>
      </c>
      <c r="BK44" s="336">
        <f>BK43*'Unit Costs and Indicators'!$L$10*0.35</f>
        <v>10.955150196530635</v>
      </c>
      <c r="BL44" s="336">
        <f>BL43*'Unit Costs and Indicators'!$L$10*0.35</f>
        <v>10.955150196530635</v>
      </c>
      <c r="BM44" s="336">
        <f>BM43*'Unit Costs and Indicators'!$L$10*0.35</f>
        <v>10.955150196530635</v>
      </c>
      <c r="BN44" s="336">
        <f>BN43*'Unit Costs and Indicators'!$L$10*0.35</f>
        <v>10.955150196530635</v>
      </c>
      <c r="BO44" s="336">
        <f>BO43*'Unit Costs and Indicators'!$L$10*0.35</f>
        <v>10.955150196530635</v>
      </c>
      <c r="BP44" s="336">
        <f>BP43*'Unit Costs and Indicators'!$L$10*0.35</f>
        <v>10.955150196530635</v>
      </c>
      <c r="BQ44" s="336">
        <f>BQ43*'Unit Costs and Indicators'!$L$10*0.35</f>
        <v>10.955150196530635</v>
      </c>
      <c r="BR44" s="336">
        <f>BR43*'Unit Costs and Indicators'!$L$10*0.35</f>
        <v>10.955150196530635</v>
      </c>
      <c r="BS44" s="336">
        <f>BS43*'Unit Costs and Indicators'!$L$10*0.35</f>
        <v>10.955150196530635</v>
      </c>
      <c r="BT44" s="336">
        <f>BT43*'Unit Costs and Indicators'!$L$10*0.35</f>
        <v>10.955150196530635</v>
      </c>
      <c r="BU44" s="336">
        <f>BU43*'Unit Costs and Indicators'!$L$10*0.35</f>
        <v>10.955150196530635</v>
      </c>
      <c r="BV44" s="336">
        <f>BV43*'Unit Costs and Indicators'!$L$10*0.35</f>
        <v>10.955150196530635</v>
      </c>
      <c r="BW44" s="336">
        <f>BW43*'Unit Costs and Indicators'!$L$10*0.35</f>
        <v>10.955150196530635</v>
      </c>
      <c r="BX44" s="336">
        <f>BX43*'Unit Costs and Indicators'!$L$10*0.35</f>
        <v>10.955150196530635</v>
      </c>
      <c r="BY44" s="336">
        <f>BY43*'Unit Costs and Indicators'!$L$10*0.35</f>
        <v>10.955150196530635</v>
      </c>
      <c r="BZ44" s="336">
        <f>BZ43*'Unit Costs and Indicators'!$L$10*0.35</f>
        <v>10.955150196530635</v>
      </c>
      <c r="CA44" s="336">
        <f>CA43*'Unit Costs and Indicators'!$L$10*0.35</f>
        <v>10.955150196530635</v>
      </c>
      <c r="CB44" s="336">
        <f>CB43*'Unit Costs and Indicators'!$L$10*0.35</f>
        <v>10.955150196530635</v>
      </c>
      <c r="CC44" s="336">
        <f>CC43*'Unit Costs and Indicators'!$L$10*0.35</f>
        <v>10.955150196530635</v>
      </c>
      <c r="CD44" s="336">
        <f>CD43*'Unit Costs and Indicators'!$L$10*0.35</f>
        <v>10.955150196530635</v>
      </c>
      <c r="CE44" s="336">
        <f>CE43*'Unit Costs and Indicators'!$L$10*0.35</f>
        <v>10.955150196530635</v>
      </c>
      <c r="CF44" s="336">
        <f>CF43*'Unit Costs and Indicators'!$L$10*0.35</f>
        <v>10.955150196530635</v>
      </c>
      <c r="CG44" s="336">
        <f>CG43*'Unit Costs and Indicators'!$L$10*0.35</f>
        <v>10.955150196530635</v>
      </c>
      <c r="CH44" s="336">
        <f>CH43*'Unit Costs and Indicators'!$L$10*0.35</f>
        <v>10.955150196530635</v>
      </c>
      <c r="CI44" s="336">
        <f>CI43*'Unit Costs and Indicators'!$L$10*0.35</f>
        <v>10.955150196530635</v>
      </c>
      <c r="CJ44" s="336">
        <f>CJ43*'Unit Costs and Indicators'!$L$10*0.35</f>
        <v>10.955150196530635</v>
      </c>
      <c r="CK44" s="336">
        <f>CK43*'Unit Costs and Indicators'!$L$10*0.35</f>
        <v>10.955150196530635</v>
      </c>
      <c r="CL44" s="336">
        <f>CL43*'Unit Costs and Indicators'!$L$10*0.35</f>
        <v>10.955150196530635</v>
      </c>
      <c r="CM44" s="336">
        <f>CM43*'Unit Costs and Indicators'!$L$10*0.35</f>
        <v>10.955150196530635</v>
      </c>
      <c r="CN44" s="336">
        <f>CN43*'Unit Costs and Indicators'!$L$10*0.35</f>
        <v>10.955150196530635</v>
      </c>
      <c r="CO44" s="336">
        <f>CO43*'Unit Costs and Indicators'!$L$10*0.35</f>
        <v>10.955150196530635</v>
      </c>
      <c r="CP44" s="336">
        <f>CP43*'Unit Costs and Indicators'!$L$10*0.35</f>
        <v>10.955150196530635</v>
      </c>
      <c r="CQ44" s="336">
        <f>CQ43*'Unit Costs and Indicators'!$L$10*0.35</f>
        <v>10.955150196530635</v>
      </c>
      <c r="CR44" s="336">
        <f>CR43*'Unit Costs and Indicators'!$L$10*0.35</f>
        <v>10.955150196530635</v>
      </c>
      <c r="CS44" s="336">
        <f>CS43*'Unit Costs and Indicators'!$L$10*0.35</f>
        <v>10.955150196530635</v>
      </c>
      <c r="CT44" s="336">
        <f>CT43*'Unit Costs and Indicators'!$L$10*0.35</f>
        <v>10.955150196530635</v>
      </c>
      <c r="CU44" s="336">
        <f>CU43*'Unit Costs and Indicators'!$L$10*0.35</f>
        <v>10.955150196530635</v>
      </c>
      <c r="CV44" s="336">
        <f>CV43*'Unit Costs and Indicators'!$L$10*0.35</f>
        <v>10.955150196530635</v>
      </c>
      <c r="CW44" s="336">
        <f>CW43*'Unit Costs and Indicators'!$L$10*0.35</f>
        <v>10.955150196530635</v>
      </c>
      <c r="CX44" s="336">
        <f>CX43*'Unit Costs and Indicators'!$L$10*0.35</f>
        <v>10.955150196530635</v>
      </c>
      <c r="CY44" s="336">
        <f>CY43*'Unit Costs and Indicators'!$L$10*0.35</f>
        <v>10.955150196530635</v>
      </c>
      <c r="CZ44" s="336">
        <f>CZ43*'Unit Costs and Indicators'!$L$10*0.35</f>
        <v>10.955150196530635</v>
      </c>
      <c r="DA44" s="336">
        <f>DA43*'Unit Costs and Indicators'!$L$10*0.35</f>
        <v>10.955150196530635</v>
      </c>
      <c r="DB44" s="336">
        <f>DB43*'Unit Costs and Indicators'!$L$10*0.35</f>
        <v>10.955150196530635</v>
      </c>
      <c r="DC44" s="336">
        <f>DC43*'Unit Costs and Indicators'!$L$10*0.35</f>
        <v>10.955150196530635</v>
      </c>
      <c r="DD44" s="336">
        <f>DD43*'Unit Costs and Indicators'!$L$10*0.35</f>
        <v>10.955150196530635</v>
      </c>
      <c r="DE44" s="336">
        <f>DE43*'Unit Costs and Indicators'!$L$10*0.35</f>
        <v>10.955150196530635</v>
      </c>
      <c r="DF44" s="287"/>
      <c r="DG44" s="287"/>
      <c r="DH44" s="287"/>
      <c r="DI44" s="287"/>
      <c r="DJ44" s="287"/>
      <c r="DK44" s="287"/>
      <c r="DL44" s="287"/>
    </row>
    <row r="45" spans="1:116" ht="15.75" customHeight="1" x14ac:dyDescent="0.25">
      <c r="A45" s="751"/>
      <c r="B45" s="521"/>
      <c r="C45" s="522" t="s">
        <v>244</v>
      </c>
      <c r="D45" s="523" t="s">
        <v>247</v>
      </c>
      <c r="E45" s="524"/>
      <c r="F45" s="316" t="s">
        <v>14</v>
      </c>
      <c r="G45" s="317">
        <f t="array" ref="G45">NPV($C$4, J45:DE45)+I45</f>
        <v>489.64477367552615</v>
      </c>
      <c r="H45" s="359">
        <f t="shared" ref="H45:I45" si="20">H44+H41</f>
        <v>9.538186444413796</v>
      </c>
      <c r="I45" s="514">
        <f t="shared" si="20"/>
        <v>10.957860335972841</v>
      </c>
      <c r="J45" s="514">
        <f t="shared" ref="J45:DE45" si="21">(J44+J41)*(1 + $C$3)^(J5 - $I$5)</f>
        <v>11.177017542692298</v>
      </c>
      <c r="K45" s="514">
        <f t="shared" si="21"/>
        <v>11.400557893546143</v>
      </c>
      <c r="L45" s="514">
        <f t="shared" si="21"/>
        <v>11.628569051417065</v>
      </c>
      <c r="M45" s="514">
        <f t="shared" si="21"/>
        <v>11.861140432445408</v>
      </c>
      <c r="N45" s="514">
        <f t="shared" si="21"/>
        <v>12.098363241094317</v>
      </c>
      <c r="O45" s="514">
        <f t="shared" si="21"/>
        <v>12.340330505916203</v>
      </c>
      <c r="P45" s="514">
        <f t="shared" si="21"/>
        <v>12.587137116034524</v>
      </c>
      <c r="Q45" s="514">
        <f t="shared" si="21"/>
        <v>12.838879858355217</v>
      </c>
      <c r="R45" s="514">
        <f t="shared" si="21"/>
        <v>13.09565745552232</v>
      </c>
      <c r="S45" s="514">
        <f t="shared" si="21"/>
        <v>13.357570604632768</v>
      </c>
      <c r="T45" s="514">
        <f t="shared" si="21"/>
        <v>13.624722016725419</v>
      </c>
      <c r="U45" s="514">
        <f t="shared" si="21"/>
        <v>13.897216457059931</v>
      </c>
      <c r="V45" s="514">
        <f t="shared" si="21"/>
        <v>14.175160786201129</v>
      </c>
      <c r="W45" s="514">
        <f t="shared" si="21"/>
        <v>14.458664001925152</v>
      </c>
      <c r="X45" s="514">
        <f t="shared" si="21"/>
        <v>14.747837281963651</v>
      </c>
      <c r="Y45" s="514">
        <f t="shared" si="21"/>
        <v>15.042794027602927</v>
      </c>
      <c r="Z45" s="514">
        <f t="shared" si="21"/>
        <v>15.343649908154987</v>
      </c>
      <c r="AA45" s="514">
        <f t="shared" si="21"/>
        <v>15.650522906318084</v>
      </c>
      <c r="AB45" s="514">
        <f t="shared" si="21"/>
        <v>15.963533364444446</v>
      </c>
      <c r="AC45" s="514">
        <f t="shared" si="21"/>
        <v>16.282804031733338</v>
      </c>
      <c r="AD45" s="514">
        <f t="shared" si="21"/>
        <v>16.608460112368004</v>
      </c>
      <c r="AE45" s="514">
        <f t="shared" si="21"/>
        <v>16.940629314615364</v>
      </c>
      <c r="AF45" s="514">
        <f t="shared" si="21"/>
        <v>17.279441900907667</v>
      </c>
      <c r="AG45" s="514">
        <f t="shared" si="21"/>
        <v>17.625030738925823</v>
      </c>
      <c r="AH45" s="514">
        <f t="shared" si="21"/>
        <v>17.97753135370434</v>
      </c>
      <c r="AI45" s="514">
        <f t="shared" si="21"/>
        <v>18.337081980778425</v>
      </c>
      <c r="AJ45" s="514">
        <f t="shared" si="21"/>
        <v>18.70382362039399</v>
      </c>
      <c r="AK45" s="514">
        <f t="shared" si="21"/>
        <v>19.077900092801876</v>
      </c>
      <c r="AL45" s="514">
        <f t="shared" si="21"/>
        <v>19.459458094657911</v>
      </c>
      <c r="AM45" s="514">
        <f t="shared" si="21"/>
        <v>19.848647256551072</v>
      </c>
      <c r="AN45" s="514">
        <f t="shared" si="21"/>
        <v>20.245620201682087</v>
      </c>
      <c r="AO45" s="514">
        <f t="shared" si="21"/>
        <v>20.650532605715732</v>
      </c>
      <c r="AP45" s="514">
        <f t="shared" si="21"/>
        <v>21.063543257830048</v>
      </c>
      <c r="AQ45" s="514">
        <f t="shared" si="21"/>
        <v>21.484814122986648</v>
      </c>
      <c r="AR45" s="514">
        <f t="shared" si="21"/>
        <v>21.914510405446379</v>
      </c>
      <c r="AS45" s="514">
        <f t="shared" si="21"/>
        <v>22.352800613555306</v>
      </c>
      <c r="AT45" s="514">
        <f t="shared" si="21"/>
        <v>22.799856625826415</v>
      </c>
      <c r="AU45" s="514">
        <f t="shared" si="21"/>
        <v>23.255853758342948</v>
      </c>
      <c r="AV45" s="514">
        <f t="shared" si="21"/>
        <v>23.720970833509796</v>
      </c>
      <c r="AW45" s="514">
        <f t="shared" si="21"/>
        <v>24.195390250179997</v>
      </c>
      <c r="AX45" s="514">
        <f t="shared" si="21"/>
        <v>24.679298055183597</v>
      </c>
      <c r="AY45" s="514">
        <f t="shared" si="21"/>
        <v>25.17288401628727</v>
      </c>
      <c r="AZ45" s="514">
        <f t="shared" si="21"/>
        <v>25.676341696613012</v>
      </c>
      <c r="BA45" s="514">
        <f t="shared" si="21"/>
        <v>26.189868530545276</v>
      </c>
      <c r="BB45" s="514">
        <f t="shared" si="21"/>
        <v>26.71366590115618</v>
      </c>
      <c r="BC45" s="514">
        <f t="shared" si="21"/>
        <v>27.247939219179308</v>
      </c>
      <c r="BD45" s="514">
        <f t="shared" si="21"/>
        <v>27.792898003562883</v>
      </c>
      <c r="BE45" s="514">
        <f t="shared" si="21"/>
        <v>28.348755963634147</v>
      </c>
      <c r="BF45" s="514">
        <f t="shared" si="21"/>
        <v>28.915731082906831</v>
      </c>
      <c r="BG45" s="514">
        <f t="shared" si="21"/>
        <v>29.494045704564968</v>
      </c>
      <c r="BH45" s="514">
        <f t="shared" si="21"/>
        <v>30.083926618656264</v>
      </c>
      <c r="BI45" s="514">
        <f t="shared" si="21"/>
        <v>30.685605151029392</v>
      </c>
      <c r="BJ45" s="514">
        <f t="shared" si="21"/>
        <v>31.299317254049974</v>
      </c>
      <c r="BK45" s="514">
        <f t="shared" si="21"/>
        <v>31.925303599130981</v>
      </c>
      <c r="BL45" s="514">
        <f t="shared" si="21"/>
        <v>32.563809671113589</v>
      </c>
      <c r="BM45" s="514">
        <f t="shared" si="21"/>
        <v>33.215085864535865</v>
      </c>
      <c r="BN45" s="514">
        <f t="shared" si="21"/>
        <v>33.879387581826578</v>
      </c>
      <c r="BO45" s="514">
        <f t="shared" si="21"/>
        <v>34.556975333463114</v>
      </c>
      <c r="BP45" s="514">
        <f t="shared" si="21"/>
        <v>35.248114840132374</v>
      </c>
      <c r="BQ45" s="514">
        <f t="shared" si="21"/>
        <v>35.953077136935029</v>
      </c>
      <c r="BR45" s="514">
        <f t="shared" si="21"/>
        <v>36.672138679673722</v>
      </c>
      <c r="BS45" s="514">
        <f t="shared" si="21"/>
        <v>37.405581453267203</v>
      </c>
      <c r="BT45" s="514">
        <f t="shared" si="21"/>
        <v>38.153693082332538</v>
      </c>
      <c r="BU45" s="514">
        <f t="shared" si="21"/>
        <v>38.916766943979198</v>
      </c>
      <c r="BV45" s="514">
        <f t="shared" si="21"/>
        <v>39.695102282858784</v>
      </c>
      <c r="BW45" s="514">
        <f t="shared" si="21"/>
        <v>40.489004328515954</v>
      </c>
      <c r="BX45" s="514">
        <f t="shared" si="21"/>
        <v>41.298784415086274</v>
      </c>
      <c r="BY45" s="514">
        <f t="shared" si="21"/>
        <v>42.124760103387999</v>
      </c>
      <c r="BZ45" s="514">
        <f t="shared" si="21"/>
        <v>42.967255305455758</v>
      </c>
      <c r="CA45" s="514">
        <f t="shared" si="21"/>
        <v>43.826600411564876</v>
      </c>
      <c r="CB45" s="514">
        <f t="shared" si="21"/>
        <v>44.703132419796169</v>
      </c>
      <c r="CC45" s="514">
        <f t="shared" si="21"/>
        <v>45.597195068192093</v>
      </c>
      <c r="CD45" s="514">
        <f t="shared" si="21"/>
        <v>46.509138969555934</v>
      </c>
      <c r="CE45" s="514">
        <f t="shared" si="21"/>
        <v>47.439321748947059</v>
      </c>
      <c r="CF45" s="514">
        <f t="shared" si="21"/>
        <v>48.388108183925986</v>
      </c>
      <c r="CG45" s="514">
        <f t="shared" si="21"/>
        <v>49.355870347604515</v>
      </c>
      <c r="CH45" s="514">
        <f t="shared" si="21"/>
        <v>50.34298775455661</v>
      </c>
      <c r="CI45" s="514">
        <f t="shared" si="21"/>
        <v>51.349847509647745</v>
      </c>
      <c r="CJ45" s="514">
        <f t="shared" si="21"/>
        <v>52.376844459840683</v>
      </c>
      <c r="CK45" s="514">
        <f t="shared" si="21"/>
        <v>53.424381349037503</v>
      </c>
      <c r="CL45" s="514">
        <f t="shared" si="21"/>
        <v>54.492868976018251</v>
      </c>
      <c r="CM45" s="514">
        <f t="shared" si="21"/>
        <v>55.582726355538611</v>
      </c>
      <c r="CN45" s="514">
        <f t="shared" si="21"/>
        <v>56.694380882649384</v>
      </c>
      <c r="CO45" s="514">
        <f t="shared" si="21"/>
        <v>57.828268500302379</v>
      </c>
      <c r="CP45" s="514">
        <f t="shared" si="21"/>
        <v>58.984833870308428</v>
      </c>
      <c r="CQ45" s="514">
        <f t="shared" si="21"/>
        <v>60.164530547714598</v>
      </c>
      <c r="CR45" s="514">
        <f t="shared" si="21"/>
        <v>61.367821158668875</v>
      </c>
      <c r="CS45" s="514">
        <f t="shared" si="21"/>
        <v>62.595177581842258</v>
      </c>
      <c r="CT45" s="514">
        <f t="shared" si="21"/>
        <v>63.847081133479108</v>
      </c>
      <c r="CU45" s="514">
        <f t="shared" si="21"/>
        <v>65.12402275614869</v>
      </c>
      <c r="CV45" s="514">
        <f t="shared" si="21"/>
        <v>66.426503211271651</v>
      </c>
      <c r="CW45" s="514">
        <f t="shared" si="21"/>
        <v>67.755033275497098</v>
      </c>
      <c r="CX45" s="514">
        <f t="shared" si="21"/>
        <v>69.110133941007035</v>
      </c>
      <c r="CY45" s="514">
        <f t="shared" si="21"/>
        <v>70.492336619827185</v>
      </c>
      <c r="CZ45" s="514">
        <f t="shared" si="21"/>
        <v>71.902183352223702</v>
      </c>
      <c r="DA45" s="514">
        <f t="shared" si="21"/>
        <v>73.340227019268198</v>
      </c>
      <c r="DB45" s="514">
        <f t="shared" si="21"/>
        <v>74.807031559653566</v>
      </c>
      <c r="DC45" s="514">
        <f t="shared" si="21"/>
        <v>76.303172190846624</v>
      </c>
      <c r="DD45" s="514">
        <f t="shared" si="21"/>
        <v>77.829235634663561</v>
      </c>
      <c r="DE45" s="514">
        <f t="shared" si="21"/>
        <v>79.385820347356827</v>
      </c>
      <c r="DF45" s="525"/>
      <c r="DG45" s="525"/>
      <c r="DH45" s="525"/>
      <c r="DI45" s="525"/>
      <c r="DJ45" s="525"/>
      <c r="DK45" s="525"/>
      <c r="DL45" s="525"/>
    </row>
    <row r="46" spans="1:116" ht="15.75" customHeight="1" x14ac:dyDescent="0.25">
      <c r="A46" s="751"/>
      <c r="B46" s="753" t="s">
        <v>276</v>
      </c>
      <c r="C46" s="383" t="s">
        <v>277</v>
      </c>
      <c r="D46" s="384"/>
      <c r="E46" s="385" t="s">
        <v>392</v>
      </c>
      <c r="F46" s="385"/>
      <c r="G46" s="386"/>
      <c r="H46" s="526">
        <f t="shared" ref="H46:DE46" si="22">(1.1/100)*(1820/5280)</f>
        <v>3.7916666666666671E-3</v>
      </c>
      <c r="I46" s="527">
        <f t="shared" si="22"/>
        <v>3.7916666666666671E-3</v>
      </c>
      <c r="J46" s="527">
        <f t="shared" si="22"/>
        <v>3.7916666666666671E-3</v>
      </c>
      <c r="K46" s="527">
        <f t="shared" si="22"/>
        <v>3.7916666666666671E-3</v>
      </c>
      <c r="L46" s="527">
        <f t="shared" si="22"/>
        <v>3.7916666666666671E-3</v>
      </c>
      <c r="M46" s="527">
        <f t="shared" si="22"/>
        <v>3.7916666666666671E-3</v>
      </c>
      <c r="N46" s="527">
        <f t="shared" si="22"/>
        <v>3.7916666666666671E-3</v>
      </c>
      <c r="O46" s="527">
        <f t="shared" si="22"/>
        <v>3.7916666666666671E-3</v>
      </c>
      <c r="P46" s="527">
        <f t="shared" si="22"/>
        <v>3.7916666666666671E-3</v>
      </c>
      <c r="Q46" s="527">
        <f t="shared" si="22"/>
        <v>3.7916666666666671E-3</v>
      </c>
      <c r="R46" s="527">
        <f t="shared" si="22"/>
        <v>3.7916666666666671E-3</v>
      </c>
      <c r="S46" s="527">
        <f t="shared" si="22"/>
        <v>3.7916666666666671E-3</v>
      </c>
      <c r="T46" s="527">
        <f t="shared" si="22"/>
        <v>3.7916666666666671E-3</v>
      </c>
      <c r="U46" s="527">
        <f t="shared" si="22"/>
        <v>3.7916666666666671E-3</v>
      </c>
      <c r="V46" s="527">
        <f t="shared" si="22"/>
        <v>3.7916666666666671E-3</v>
      </c>
      <c r="W46" s="527">
        <f t="shared" si="22"/>
        <v>3.7916666666666671E-3</v>
      </c>
      <c r="X46" s="527">
        <f t="shared" si="22"/>
        <v>3.7916666666666671E-3</v>
      </c>
      <c r="Y46" s="527">
        <f t="shared" si="22"/>
        <v>3.7916666666666671E-3</v>
      </c>
      <c r="Z46" s="527">
        <f t="shared" si="22"/>
        <v>3.7916666666666671E-3</v>
      </c>
      <c r="AA46" s="527">
        <f t="shared" si="22"/>
        <v>3.7916666666666671E-3</v>
      </c>
      <c r="AB46" s="527">
        <f t="shared" si="22"/>
        <v>3.7916666666666671E-3</v>
      </c>
      <c r="AC46" s="527">
        <f t="shared" si="22"/>
        <v>3.7916666666666671E-3</v>
      </c>
      <c r="AD46" s="527">
        <f t="shared" si="22"/>
        <v>3.7916666666666671E-3</v>
      </c>
      <c r="AE46" s="527">
        <f t="shared" si="22"/>
        <v>3.7916666666666671E-3</v>
      </c>
      <c r="AF46" s="527">
        <f t="shared" si="22"/>
        <v>3.7916666666666671E-3</v>
      </c>
      <c r="AG46" s="527">
        <f t="shared" si="22"/>
        <v>3.7916666666666671E-3</v>
      </c>
      <c r="AH46" s="527">
        <f t="shared" si="22"/>
        <v>3.7916666666666671E-3</v>
      </c>
      <c r="AI46" s="527">
        <f t="shared" si="22"/>
        <v>3.7916666666666671E-3</v>
      </c>
      <c r="AJ46" s="527">
        <f t="shared" si="22"/>
        <v>3.7916666666666671E-3</v>
      </c>
      <c r="AK46" s="527">
        <f t="shared" si="22"/>
        <v>3.7916666666666671E-3</v>
      </c>
      <c r="AL46" s="527">
        <f t="shared" si="22"/>
        <v>3.7916666666666671E-3</v>
      </c>
      <c r="AM46" s="527">
        <f t="shared" si="22"/>
        <v>3.7916666666666671E-3</v>
      </c>
      <c r="AN46" s="527">
        <f t="shared" si="22"/>
        <v>3.7916666666666671E-3</v>
      </c>
      <c r="AO46" s="527">
        <f t="shared" si="22"/>
        <v>3.7916666666666671E-3</v>
      </c>
      <c r="AP46" s="527">
        <f t="shared" si="22"/>
        <v>3.7916666666666671E-3</v>
      </c>
      <c r="AQ46" s="527">
        <f t="shared" si="22"/>
        <v>3.7916666666666671E-3</v>
      </c>
      <c r="AR46" s="527">
        <f t="shared" si="22"/>
        <v>3.7916666666666671E-3</v>
      </c>
      <c r="AS46" s="527">
        <f t="shared" si="22"/>
        <v>3.7916666666666671E-3</v>
      </c>
      <c r="AT46" s="527">
        <f t="shared" si="22"/>
        <v>3.7916666666666671E-3</v>
      </c>
      <c r="AU46" s="527">
        <f t="shared" si="22"/>
        <v>3.7916666666666671E-3</v>
      </c>
      <c r="AV46" s="527">
        <f t="shared" si="22"/>
        <v>3.7916666666666671E-3</v>
      </c>
      <c r="AW46" s="527">
        <f t="shared" si="22"/>
        <v>3.7916666666666671E-3</v>
      </c>
      <c r="AX46" s="527">
        <f t="shared" si="22"/>
        <v>3.7916666666666671E-3</v>
      </c>
      <c r="AY46" s="527">
        <f t="shared" si="22"/>
        <v>3.7916666666666671E-3</v>
      </c>
      <c r="AZ46" s="527">
        <f t="shared" si="22"/>
        <v>3.7916666666666671E-3</v>
      </c>
      <c r="BA46" s="527">
        <f t="shared" si="22"/>
        <v>3.7916666666666671E-3</v>
      </c>
      <c r="BB46" s="527">
        <f t="shared" si="22"/>
        <v>3.7916666666666671E-3</v>
      </c>
      <c r="BC46" s="527">
        <f t="shared" si="22"/>
        <v>3.7916666666666671E-3</v>
      </c>
      <c r="BD46" s="527">
        <f t="shared" si="22"/>
        <v>3.7916666666666671E-3</v>
      </c>
      <c r="BE46" s="527">
        <f t="shared" si="22"/>
        <v>3.7916666666666671E-3</v>
      </c>
      <c r="BF46" s="527">
        <f t="shared" si="22"/>
        <v>3.7916666666666671E-3</v>
      </c>
      <c r="BG46" s="527">
        <f t="shared" si="22"/>
        <v>3.7916666666666671E-3</v>
      </c>
      <c r="BH46" s="527">
        <f t="shared" si="22"/>
        <v>3.7916666666666671E-3</v>
      </c>
      <c r="BI46" s="527">
        <f t="shared" si="22"/>
        <v>3.7916666666666671E-3</v>
      </c>
      <c r="BJ46" s="527">
        <f t="shared" si="22"/>
        <v>3.7916666666666671E-3</v>
      </c>
      <c r="BK46" s="527">
        <f t="shared" si="22"/>
        <v>3.7916666666666671E-3</v>
      </c>
      <c r="BL46" s="527">
        <f t="shared" si="22"/>
        <v>3.7916666666666671E-3</v>
      </c>
      <c r="BM46" s="527">
        <f t="shared" si="22"/>
        <v>3.7916666666666671E-3</v>
      </c>
      <c r="BN46" s="527">
        <f t="shared" si="22"/>
        <v>3.7916666666666671E-3</v>
      </c>
      <c r="BO46" s="527">
        <f t="shared" si="22"/>
        <v>3.7916666666666671E-3</v>
      </c>
      <c r="BP46" s="527">
        <f t="shared" si="22"/>
        <v>3.7916666666666671E-3</v>
      </c>
      <c r="BQ46" s="527">
        <f t="shared" si="22"/>
        <v>3.7916666666666671E-3</v>
      </c>
      <c r="BR46" s="527">
        <f t="shared" si="22"/>
        <v>3.7916666666666671E-3</v>
      </c>
      <c r="BS46" s="527">
        <f t="shared" si="22"/>
        <v>3.7916666666666671E-3</v>
      </c>
      <c r="BT46" s="527">
        <f t="shared" si="22"/>
        <v>3.7916666666666671E-3</v>
      </c>
      <c r="BU46" s="527">
        <f t="shared" si="22"/>
        <v>3.7916666666666671E-3</v>
      </c>
      <c r="BV46" s="527">
        <f t="shared" si="22"/>
        <v>3.7916666666666671E-3</v>
      </c>
      <c r="BW46" s="527">
        <f t="shared" si="22"/>
        <v>3.7916666666666671E-3</v>
      </c>
      <c r="BX46" s="527">
        <f t="shared" si="22"/>
        <v>3.7916666666666671E-3</v>
      </c>
      <c r="BY46" s="527">
        <f t="shared" si="22"/>
        <v>3.7916666666666671E-3</v>
      </c>
      <c r="BZ46" s="527">
        <f t="shared" si="22"/>
        <v>3.7916666666666671E-3</v>
      </c>
      <c r="CA46" s="527">
        <f t="shared" si="22"/>
        <v>3.7916666666666671E-3</v>
      </c>
      <c r="CB46" s="527">
        <f t="shared" si="22"/>
        <v>3.7916666666666671E-3</v>
      </c>
      <c r="CC46" s="527">
        <f t="shared" si="22"/>
        <v>3.7916666666666671E-3</v>
      </c>
      <c r="CD46" s="527">
        <f t="shared" si="22"/>
        <v>3.7916666666666671E-3</v>
      </c>
      <c r="CE46" s="527">
        <f t="shared" si="22"/>
        <v>3.7916666666666671E-3</v>
      </c>
      <c r="CF46" s="527">
        <f t="shared" si="22"/>
        <v>3.7916666666666671E-3</v>
      </c>
      <c r="CG46" s="527">
        <f t="shared" si="22"/>
        <v>3.7916666666666671E-3</v>
      </c>
      <c r="CH46" s="527">
        <f t="shared" si="22"/>
        <v>3.7916666666666671E-3</v>
      </c>
      <c r="CI46" s="527">
        <f t="shared" si="22"/>
        <v>3.7916666666666671E-3</v>
      </c>
      <c r="CJ46" s="527">
        <f t="shared" si="22"/>
        <v>3.7916666666666671E-3</v>
      </c>
      <c r="CK46" s="527">
        <f t="shared" si="22"/>
        <v>3.7916666666666671E-3</v>
      </c>
      <c r="CL46" s="527">
        <f t="shared" si="22"/>
        <v>3.7916666666666671E-3</v>
      </c>
      <c r="CM46" s="527">
        <f t="shared" si="22"/>
        <v>3.7916666666666671E-3</v>
      </c>
      <c r="CN46" s="527">
        <f t="shared" si="22"/>
        <v>3.7916666666666671E-3</v>
      </c>
      <c r="CO46" s="527">
        <f t="shared" si="22"/>
        <v>3.7916666666666671E-3</v>
      </c>
      <c r="CP46" s="527">
        <f t="shared" si="22"/>
        <v>3.7916666666666671E-3</v>
      </c>
      <c r="CQ46" s="527">
        <f t="shared" si="22"/>
        <v>3.7916666666666671E-3</v>
      </c>
      <c r="CR46" s="527">
        <f t="shared" si="22"/>
        <v>3.7916666666666671E-3</v>
      </c>
      <c r="CS46" s="527">
        <f t="shared" si="22"/>
        <v>3.7916666666666671E-3</v>
      </c>
      <c r="CT46" s="527">
        <f t="shared" si="22"/>
        <v>3.7916666666666671E-3</v>
      </c>
      <c r="CU46" s="527">
        <f t="shared" si="22"/>
        <v>3.7916666666666671E-3</v>
      </c>
      <c r="CV46" s="527">
        <f t="shared" si="22"/>
        <v>3.7916666666666671E-3</v>
      </c>
      <c r="CW46" s="527">
        <f t="shared" si="22"/>
        <v>3.7916666666666671E-3</v>
      </c>
      <c r="CX46" s="527">
        <f t="shared" si="22"/>
        <v>3.7916666666666671E-3</v>
      </c>
      <c r="CY46" s="527">
        <f t="shared" si="22"/>
        <v>3.7916666666666671E-3</v>
      </c>
      <c r="CZ46" s="527">
        <f t="shared" si="22"/>
        <v>3.7916666666666671E-3</v>
      </c>
      <c r="DA46" s="527">
        <f t="shared" si="22"/>
        <v>3.7916666666666671E-3</v>
      </c>
      <c r="DB46" s="527">
        <f t="shared" si="22"/>
        <v>3.7916666666666671E-3</v>
      </c>
      <c r="DC46" s="527">
        <f t="shared" si="22"/>
        <v>3.7916666666666671E-3</v>
      </c>
      <c r="DD46" s="527">
        <f t="shared" si="22"/>
        <v>3.7916666666666671E-3</v>
      </c>
      <c r="DE46" s="527">
        <f t="shared" si="22"/>
        <v>3.7916666666666671E-3</v>
      </c>
      <c r="DF46" s="527"/>
      <c r="DG46" s="527"/>
      <c r="DH46" s="527"/>
      <c r="DI46" s="527"/>
      <c r="DJ46" s="527"/>
      <c r="DK46" s="527"/>
      <c r="DL46" s="527"/>
    </row>
    <row r="47" spans="1:116" ht="15.75" customHeight="1" x14ac:dyDescent="0.25">
      <c r="A47" s="751"/>
      <c r="B47" s="751"/>
      <c r="C47" s="278" t="s">
        <v>279</v>
      </c>
      <c r="D47" s="386"/>
      <c r="E47" s="383"/>
      <c r="F47" s="383"/>
      <c r="G47" s="386">
        <f>((17252353)/7000)*(1 +2%)^3</f>
        <v>2615.4764317748568</v>
      </c>
      <c r="H47" s="528">
        <f t="shared" ref="H47:DE47" si="23">G47</f>
        <v>2615.4764317748568</v>
      </c>
      <c r="I47" s="529">
        <f t="shared" si="23"/>
        <v>2615.4764317748568</v>
      </c>
      <c r="J47" s="529">
        <f t="shared" si="23"/>
        <v>2615.4764317748568</v>
      </c>
      <c r="K47" s="529">
        <f t="shared" si="23"/>
        <v>2615.4764317748568</v>
      </c>
      <c r="L47" s="529">
        <f t="shared" si="23"/>
        <v>2615.4764317748568</v>
      </c>
      <c r="M47" s="529">
        <f t="shared" si="23"/>
        <v>2615.4764317748568</v>
      </c>
      <c r="N47" s="529">
        <f t="shared" si="23"/>
        <v>2615.4764317748568</v>
      </c>
      <c r="O47" s="529">
        <f t="shared" si="23"/>
        <v>2615.4764317748568</v>
      </c>
      <c r="P47" s="529">
        <f t="shared" si="23"/>
        <v>2615.4764317748568</v>
      </c>
      <c r="Q47" s="529">
        <f t="shared" si="23"/>
        <v>2615.4764317748568</v>
      </c>
      <c r="R47" s="529">
        <f t="shared" si="23"/>
        <v>2615.4764317748568</v>
      </c>
      <c r="S47" s="529">
        <f t="shared" si="23"/>
        <v>2615.4764317748568</v>
      </c>
      <c r="T47" s="529">
        <f t="shared" si="23"/>
        <v>2615.4764317748568</v>
      </c>
      <c r="U47" s="529">
        <f t="shared" si="23"/>
        <v>2615.4764317748568</v>
      </c>
      <c r="V47" s="529">
        <f t="shared" si="23"/>
        <v>2615.4764317748568</v>
      </c>
      <c r="W47" s="529">
        <f t="shared" si="23"/>
        <v>2615.4764317748568</v>
      </c>
      <c r="X47" s="529">
        <f t="shared" si="23"/>
        <v>2615.4764317748568</v>
      </c>
      <c r="Y47" s="529">
        <f t="shared" si="23"/>
        <v>2615.4764317748568</v>
      </c>
      <c r="Z47" s="529">
        <f t="shared" si="23"/>
        <v>2615.4764317748568</v>
      </c>
      <c r="AA47" s="529">
        <f t="shared" si="23"/>
        <v>2615.4764317748568</v>
      </c>
      <c r="AB47" s="529">
        <f t="shared" si="23"/>
        <v>2615.4764317748568</v>
      </c>
      <c r="AC47" s="529">
        <f t="shared" si="23"/>
        <v>2615.4764317748568</v>
      </c>
      <c r="AD47" s="529">
        <f t="shared" si="23"/>
        <v>2615.4764317748568</v>
      </c>
      <c r="AE47" s="529">
        <f t="shared" si="23"/>
        <v>2615.4764317748568</v>
      </c>
      <c r="AF47" s="529">
        <f t="shared" si="23"/>
        <v>2615.4764317748568</v>
      </c>
      <c r="AG47" s="529">
        <f t="shared" si="23"/>
        <v>2615.4764317748568</v>
      </c>
      <c r="AH47" s="529">
        <f t="shared" si="23"/>
        <v>2615.4764317748568</v>
      </c>
      <c r="AI47" s="529">
        <f t="shared" si="23"/>
        <v>2615.4764317748568</v>
      </c>
      <c r="AJ47" s="529">
        <f t="shared" si="23"/>
        <v>2615.4764317748568</v>
      </c>
      <c r="AK47" s="529">
        <f t="shared" si="23"/>
        <v>2615.4764317748568</v>
      </c>
      <c r="AL47" s="529">
        <f t="shared" si="23"/>
        <v>2615.4764317748568</v>
      </c>
      <c r="AM47" s="529">
        <f t="shared" si="23"/>
        <v>2615.4764317748568</v>
      </c>
      <c r="AN47" s="529">
        <f t="shared" si="23"/>
        <v>2615.4764317748568</v>
      </c>
      <c r="AO47" s="529">
        <f t="shared" si="23"/>
        <v>2615.4764317748568</v>
      </c>
      <c r="AP47" s="529">
        <f t="shared" si="23"/>
        <v>2615.4764317748568</v>
      </c>
      <c r="AQ47" s="529">
        <f t="shared" si="23"/>
        <v>2615.4764317748568</v>
      </c>
      <c r="AR47" s="529">
        <f t="shared" si="23"/>
        <v>2615.4764317748568</v>
      </c>
      <c r="AS47" s="529">
        <f t="shared" si="23"/>
        <v>2615.4764317748568</v>
      </c>
      <c r="AT47" s="529">
        <f t="shared" si="23"/>
        <v>2615.4764317748568</v>
      </c>
      <c r="AU47" s="529">
        <f t="shared" si="23"/>
        <v>2615.4764317748568</v>
      </c>
      <c r="AV47" s="529">
        <f t="shared" si="23"/>
        <v>2615.4764317748568</v>
      </c>
      <c r="AW47" s="529">
        <f t="shared" si="23"/>
        <v>2615.4764317748568</v>
      </c>
      <c r="AX47" s="529">
        <f t="shared" si="23"/>
        <v>2615.4764317748568</v>
      </c>
      <c r="AY47" s="529">
        <f t="shared" si="23"/>
        <v>2615.4764317748568</v>
      </c>
      <c r="AZ47" s="529">
        <f t="shared" si="23"/>
        <v>2615.4764317748568</v>
      </c>
      <c r="BA47" s="529">
        <f t="shared" si="23"/>
        <v>2615.4764317748568</v>
      </c>
      <c r="BB47" s="529">
        <f t="shared" si="23"/>
        <v>2615.4764317748568</v>
      </c>
      <c r="BC47" s="529">
        <f t="shared" si="23"/>
        <v>2615.4764317748568</v>
      </c>
      <c r="BD47" s="529">
        <f t="shared" si="23"/>
        <v>2615.4764317748568</v>
      </c>
      <c r="BE47" s="529">
        <f t="shared" si="23"/>
        <v>2615.4764317748568</v>
      </c>
      <c r="BF47" s="529">
        <f t="shared" si="23"/>
        <v>2615.4764317748568</v>
      </c>
      <c r="BG47" s="529">
        <f t="shared" si="23"/>
        <v>2615.4764317748568</v>
      </c>
      <c r="BH47" s="529">
        <f t="shared" si="23"/>
        <v>2615.4764317748568</v>
      </c>
      <c r="BI47" s="529">
        <f t="shared" si="23"/>
        <v>2615.4764317748568</v>
      </c>
      <c r="BJ47" s="529">
        <f t="shared" si="23"/>
        <v>2615.4764317748568</v>
      </c>
      <c r="BK47" s="529">
        <f t="shared" si="23"/>
        <v>2615.4764317748568</v>
      </c>
      <c r="BL47" s="529">
        <f t="shared" si="23"/>
        <v>2615.4764317748568</v>
      </c>
      <c r="BM47" s="529">
        <f t="shared" si="23"/>
        <v>2615.4764317748568</v>
      </c>
      <c r="BN47" s="529">
        <f t="shared" si="23"/>
        <v>2615.4764317748568</v>
      </c>
      <c r="BO47" s="529">
        <f t="shared" si="23"/>
        <v>2615.4764317748568</v>
      </c>
      <c r="BP47" s="529">
        <f t="shared" si="23"/>
        <v>2615.4764317748568</v>
      </c>
      <c r="BQ47" s="529">
        <f t="shared" si="23"/>
        <v>2615.4764317748568</v>
      </c>
      <c r="BR47" s="529">
        <f t="shared" si="23"/>
        <v>2615.4764317748568</v>
      </c>
      <c r="BS47" s="529">
        <f t="shared" si="23"/>
        <v>2615.4764317748568</v>
      </c>
      <c r="BT47" s="529">
        <f t="shared" si="23"/>
        <v>2615.4764317748568</v>
      </c>
      <c r="BU47" s="529">
        <f t="shared" si="23"/>
        <v>2615.4764317748568</v>
      </c>
      <c r="BV47" s="529">
        <f t="shared" si="23"/>
        <v>2615.4764317748568</v>
      </c>
      <c r="BW47" s="529">
        <f t="shared" si="23"/>
        <v>2615.4764317748568</v>
      </c>
      <c r="BX47" s="529">
        <f t="shared" si="23"/>
        <v>2615.4764317748568</v>
      </c>
      <c r="BY47" s="529">
        <f t="shared" si="23"/>
        <v>2615.4764317748568</v>
      </c>
      <c r="BZ47" s="529">
        <f t="shared" si="23"/>
        <v>2615.4764317748568</v>
      </c>
      <c r="CA47" s="529">
        <f t="shared" si="23"/>
        <v>2615.4764317748568</v>
      </c>
      <c r="CB47" s="529">
        <f t="shared" si="23"/>
        <v>2615.4764317748568</v>
      </c>
      <c r="CC47" s="529">
        <f t="shared" si="23"/>
        <v>2615.4764317748568</v>
      </c>
      <c r="CD47" s="529">
        <f t="shared" si="23"/>
        <v>2615.4764317748568</v>
      </c>
      <c r="CE47" s="529">
        <f t="shared" si="23"/>
        <v>2615.4764317748568</v>
      </c>
      <c r="CF47" s="529">
        <f t="shared" si="23"/>
        <v>2615.4764317748568</v>
      </c>
      <c r="CG47" s="529">
        <f t="shared" si="23"/>
        <v>2615.4764317748568</v>
      </c>
      <c r="CH47" s="529">
        <f t="shared" si="23"/>
        <v>2615.4764317748568</v>
      </c>
      <c r="CI47" s="529">
        <f t="shared" si="23"/>
        <v>2615.4764317748568</v>
      </c>
      <c r="CJ47" s="529">
        <f t="shared" si="23"/>
        <v>2615.4764317748568</v>
      </c>
      <c r="CK47" s="529">
        <f t="shared" si="23"/>
        <v>2615.4764317748568</v>
      </c>
      <c r="CL47" s="529">
        <f t="shared" si="23"/>
        <v>2615.4764317748568</v>
      </c>
      <c r="CM47" s="529">
        <f t="shared" si="23"/>
        <v>2615.4764317748568</v>
      </c>
      <c r="CN47" s="529">
        <f t="shared" si="23"/>
        <v>2615.4764317748568</v>
      </c>
      <c r="CO47" s="529">
        <f t="shared" si="23"/>
        <v>2615.4764317748568</v>
      </c>
      <c r="CP47" s="529">
        <f t="shared" si="23"/>
        <v>2615.4764317748568</v>
      </c>
      <c r="CQ47" s="529">
        <f t="shared" si="23"/>
        <v>2615.4764317748568</v>
      </c>
      <c r="CR47" s="529">
        <f t="shared" si="23"/>
        <v>2615.4764317748568</v>
      </c>
      <c r="CS47" s="529">
        <f t="shared" si="23"/>
        <v>2615.4764317748568</v>
      </c>
      <c r="CT47" s="529">
        <f t="shared" si="23"/>
        <v>2615.4764317748568</v>
      </c>
      <c r="CU47" s="529">
        <f t="shared" si="23"/>
        <v>2615.4764317748568</v>
      </c>
      <c r="CV47" s="529">
        <f t="shared" si="23"/>
        <v>2615.4764317748568</v>
      </c>
      <c r="CW47" s="529">
        <f t="shared" si="23"/>
        <v>2615.4764317748568</v>
      </c>
      <c r="CX47" s="529">
        <f t="shared" si="23"/>
        <v>2615.4764317748568</v>
      </c>
      <c r="CY47" s="529">
        <f t="shared" si="23"/>
        <v>2615.4764317748568</v>
      </c>
      <c r="CZ47" s="529">
        <f t="shared" si="23"/>
        <v>2615.4764317748568</v>
      </c>
      <c r="DA47" s="529">
        <f t="shared" si="23"/>
        <v>2615.4764317748568</v>
      </c>
      <c r="DB47" s="529">
        <f t="shared" si="23"/>
        <v>2615.4764317748568</v>
      </c>
      <c r="DC47" s="529">
        <f t="shared" si="23"/>
        <v>2615.4764317748568</v>
      </c>
      <c r="DD47" s="529">
        <f t="shared" si="23"/>
        <v>2615.4764317748568</v>
      </c>
      <c r="DE47" s="529">
        <f t="shared" si="23"/>
        <v>2615.4764317748568</v>
      </c>
      <c r="DF47" s="310"/>
      <c r="DG47" s="310"/>
      <c r="DH47" s="310"/>
      <c r="DI47" s="310"/>
      <c r="DJ47" s="310"/>
      <c r="DK47" s="310"/>
      <c r="DL47" s="310"/>
    </row>
    <row r="48" spans="1:116" ht="15.75" customHeight="1" x14ac:dyDescent="0.25">
      <c r="A48" s="751"/>
      <c r="B48" s="751"/>
      <c r="C48" s="291" t="s">
        <v>281</v>
      </c>
      <c r="D48" s="530"/>
      <c r="E48" s="531"/>
      <c r="F48" s="532"/>
      <c r="G48" s="533"/>
      <c r="H48" s="372">
        <f t="shared" ref="H48:DE48" si="24">H47*H46</f>
        <v>9.9170148038130002</v>
      </c>
      <c r="I48" s="336">
        <f t="shared" si="24"/>
        <v>9.9170148038130002</v>
      </c>
      <c r="J48" s="336">
        <f t="shared" si="24"/>
        <v>9.9170148038130002</v>
      </c>
      <c r="K48" s="336">
        <f t="shared" si="24"/>
        <v>9.9170148038130002</v>
      </c>
      <c r="L48" s="336">
        <f t="shared" si="24"/>
        <v>9.9170148038130002</v>
      </c>
      <c r="M48" s="336">
        <f t="shared" si="24"/>
        <v>9.9170148038130002</v>
      </c>
      <c r="N48" s="336">
        <f t="shared" si="24"/>
        <v>9.9170148038130002</v>
      </c>
      <c r="O48" s="336">
        <f t="shared" si="24"/>
        <v>9.9170148038130002</v>
      </c>
      <c r="P48" s="336">
        <f t="shared" si="24"/>
        <v>9.9170148038130002</v>
      </c>
      <c r="Q48" s="336">
        <f t="shared" si="24"/>
        <v>9.9170148038130002</v>
      </c>
      <c r="R48" s="336">
        <f t="shared" si="24"/>
        <v>9.9170148038130002</v>
      </c>
      <c r="S48" s="336">
        <f t="shared" si="24"/>
        <v>9.9170148038130002</v>
      </c>
      <c r="T48" s="336">
        <f t="shared" si="24"/>
        <v>9.9170148038130002</v>
      </c>
      <c r="U48" s="336">
        <f t="shared" si="24"/>
        <v>9.9170148038130002</v>
      </c>
      <c r="V48" s="336">
        <f t="shared" si="24"/>
        <v>9.9170148038130002</v>
      </c>
      <c r="W48" s="336">
        <f t="shared" si="24"/>
        <v>9.9170148038130002</v>
      </c>
      <c r="X48" s="336">
        <f t="shared" si="24"/>
        <v>9.9170148038130002</v>
      </c>
      <c r="Y48" s="336">
        <f t="shared" si="24"/>
        <v>9.9170148038130002</v>
      </c>
      <c r="Z48" s="336">
        <f t="shared" si="24"/>
        <v>9.9170148038130002</v>
      </c>
      <c r="AA48" s="336">
        <f t="shared" si="24"/>
        <v>9.9170148038130002</v>
      </c>
      <c r="AB48" s="336">
        <f t="shared" si="24"/>
        <v>9.9170148038130002</v>
      </c>
      <c r="AC48" s="336">
        <f t="shared" si="24"/>
        <v>9.9170148038130002</v>
      </c>
      <c r="AD48" s="336">
        <f t="shared" si="24"/>
        <v>9.9170148038130002</v>
      </c>
      <c r="AE48" s="336">
        <f t="shared" si="24"/>
        <v>9.9170148038130002</v>
      </c>
      <c r="AF48" s="336">
        <f t="shared" si="24"/>
        <v>9.9170148038130002</v>
      </c>
      <c r="AG48" s="336">
        <f t="shared" si="24"/>
        <v>9.9170148038130002</v>
      </c>
      <c r="AH48" s="336">
        <f t="shared" si="24"/>
        <v>9.9170148038130002</v>
      </c>
      <c r="AI48" s="336">
        <f t="shared" si="24"/>
        <v>9.9170148038130002</v>
      </c>
      <c r="AJ48" s="336">
        <f t="shared" si="24"/>
        <v>9.9170148038130002</v>
      </c>
      <c r="AK48" s="336">
        <f t="shared" si="24"/>
        <v>9.9170148038130002</v>
      </c>
      <c r="AL48" s="336">
        <f t="shared" si="24"/>
        <v>9.9170148038130002</v>
      </c>
      <c r="AM48" s="336">
        <f t="shared" si="24"/>
        <v>9.9170148038130002</v>
      </c>
      <c r="AN48" s="336">
        <f t="shared" si="24"/>
        <v>9.9170148038130002</v>
      </c>
      <c r="AO48" s="336">
        <f t="shared" si="24"/>
        <v>9.9170148038130002</v>
      </c>
      <c r="AP48" s="336">
        <f t="shared" si="24"/>
        <v>9.9170148038130002</v>
      </c>
      <c r="AQ48" s="336">
        <f t="shared" si="24"/>
        <v>9.9170148038130002</v>
      </c>
      <c r="AR48" s="336">
        <f t="shared" si="24"/>
        <v>9.9170148038130002</v>
      </c>
      <c r="AS48" s="336">
        <f t="shared" si="24"/>
        <v>9.9170148038130002</v>
      </c>
      <c r="AT48" s="336">
        <f t="shared" si="24"/>
        <v>9.9170148038130002</v>
      </c>
      <c r="AU48" s="336">
        <f t="shared" si="24"/>
        <v>9.9170148038130002</v>
      </c>
      <c r="AV48" s="336">
        <f t="shared" si="24"/>
        <v>9.9170148038130002</v>
      </c>
      <c r="AW48" s="336">
        <f t="shared" si="24"/>
        <v>9.9170148038130002</v>
      </c>
      <c r="AX48" s="336">
        <f t="shared" si="24"/>
        <v>9.9170148038130002</v>
      </c>
      <c r="AY48" s="336">
        <f t="shared" si="24"/>
        <v>9.9170148038130002</v>
      </c>
      <c r="AZ48" s="336">
        <f t="shared" si="24"/>
        <v>9.9170148038130002</v>
      </c>
      <c r="BA48" s="336">
        <f t="shared" si="24"/>
        <v>9.9170148038130002</v>
      </c>
      <c r="BB48" s="336">
        <f t="shared" si="24"/>
        <v>9.9170148038130002</v>
      </c>
      <c r="BC48" s="336">
        <f t="shared" si="24"/>
        <v>9.9170148038130002</v>
      </c>
      <c r="BD48" s="336">
        <f t="shared" si="24"/>
        <v>9.9170148038130002</v>
      </c>
      <c r="BE48" s="336">
        <f t="shared" si="24"/>
        <v>9.9170148038130002</v>
      </c>
      <c r="BF48" s="336">
        <f t="shared" si="24"/>
        <v>9.9170148038130002</v>
      </c>
      <c r="BG48" s="336">
        <f t="shared" si="24"/>
        <v>9.9170148038130002</v>
      </c>
      <c r="BH48" s="336">
        <f t="shared" si="24"/>
        <v>9.9170148038130002</v>
      </c>
      <c r="BI48" s="336">
        <f t="shared" si="24"/>
        <v>9.9170148038130002</v>
      </c>
      <c r="BJ48" s="336">
        <f t="shared" si="24"/>
        <v>9.9170148038130002</v>
      </c>
      <c r="BK48" s="336">
        <f t="shared" si="24"/>
        <v>9.9170148038130002</v>
      </c>
      <c r="BL48" s="336">
        <f t="shared" si="24"/>
        <v>9.9170148038130002</v>
      </c>
      <c r="BM48" s="336">
        <f t="shared" si="24"/>
        <v>9.9170148038130002</v>
      </c>
      <c r="BN48" s="336">
        <f t="shared" si="24"/>
        <v>9.9170148038130002</v>
      </c>
      <c r="BO48" s="336">
        <f t="shared" si="24"/>
        <v>9.9170148038130002</v>
      </c>
      <c r="BP48" s="336">
        <f t="shared" si="24"/>
        <v>9.9170148038130002</v>
      </c>
      <c r="BQ48" s="336">
        <f t="shared" si="24"/>
        <v>9.9170148038130002</v>
      </c>
      <c r="BR48" s="336">
        <f t="shared" si="24"/>
        <v>9.9170148038130002</v>
      </c>
      <c r="BS48" s="336">
        <f t="shared" si="24"/>
        <v>9.9170148038130002</v>
      </c>
      <c r="BT48" s="336">
        <f t="shared" si="24"/>
        <v>9.9170148038130002</v>
      </c>
      <c r="BU48" s="336">
        <f t="shared" si="24"/>
        <v>9.9170148038130002</v>
      </c>
      <c r="BV48" s="336">
        <f t="shared" si="24"/>
        <v>9.9170148038130002</v>
      </c>
      <c r="BW48" s="336">
        <f t="shared" si="24"/>
        <v>9.9170148038130002</v>
      </c>
      <c r="BX48" s="336">
        <f t="shared" si="24"/>
        <v>9.9170148038130002</v>
      </c>
      <c r="BY48" s="336">
        <f t="shared" si="24"/>
        <v>9.9170148038130002</v>
      </c>
      <c r="BZ48" s="336">
        <f t="shared" si="24"/>
        <v>9.9170148038130002</v>
      </c>
      <c r="CA48" s="336">
        <f t="shared" si="24"/>
        <v>9.9170148038130002</v>
      </c>
      <c r="CB48" s="336">
        <f t="shared" si="24"/>
        <v>9.9170148038130002</v>
      </c>
      <c r="CC48" s="336">
        <f t="shared" si="24"/>
        <v>9.9170148038130002</v>
      </c>
      <c r="CD48" s="336">
        <f t="shared" si="24"/>
        <v>9.9170148038130002</v>
      </c>
      <c r="CE48" s="336">
        <f t="shared" si="24"/>
        <v>9.9170148038130002</v>
      </c>
      <c r="CF48" s="336">
        <f t="shared" si="24"/>
        <v>9.9170148038130002</v>
      </c>
      <c r="CG48" s="336">
        <f t="shared" si="24"/>
        <v>9.9170148038130002</v>
      </c>
      <c r="CH48" s="336">
        <f t="shared" si="24"/>
        <v>9.9170148038130002</v>
      </c>
      <c r="CI48" s="336">
        <f t="shared" si="24"/>
        <v>9.9170148038130002</v>
      </c>
      <c r="CJ48" s="336">
        <f t="shared" si="24"/>
        <v>9.9170148038130002</v>
      </c>
      <c r="CK48" s="336">
        <f t="shared" si="24"/>
        <v>9.9170148038130002</v>
      </c>
      <c r="CL48" s="336">
        <f t="shared" si="24"/>
        <v>9.9170148038130002</v>
      </c>
      <c r="CM48" s="336">
        <f t="shared" si="24"/>
        <v>9.9170148038130002</v>
      </c>
      <c r="CN48" s="336">
        <f t="shared" si="24"/>
        <v>9.9170148038130002</v>
      </c>
      <c r="CO48" s="336">
        <f t="shared" si="24"/>
        <v>9.9170148038130002</v>
      </c>
      <c r="CP48" s="336">
        <f t="shared" si="24"/>
        <v>9.9170148038130002</v>
      </c>
      <c r="CQ48" s="336">
        <f t="shared" si="24"/>
        <v>9.9170148038130002</v>
      </c>
      <c r="CR48" s="336">
        <f t="shared" si="24"/>
        <v>9.9170148038130002</v>
      </c>
      <c r="CS48" s="336">
        <f t="shared" si="24"/>
        <v>9.9170148038130002</v>
      </c>
      <c r="CT48" s="336">
        <f t="shared" si="24"/>
        <v>9.9170148038130002</v>
      </c>
      <c r="CU48" s="336">
        <f t="shared" si="24"/>
        <v>9.9170148038130002</v>
      </c>
      <c r="CV48" s="336">
        <f t="shared" si="24"/>
        <v>9.9170148038130002</v>
      </c>
      <c r="CW48" s="336">
        <f t="shared" si="24"/>
        <v>9.9170148038130002</v>
      </c>
      <c r="CX48" s="336">
        <f t="shared" si="24"/>
        <v>9.9170148038130002</v>
      </c>
      <c r="CY48" s="336">
        <f t="shared" si="24"/>
        <v>9.9170148038130002</v>
      </c>
      <c r="CZ48" s="336">
        <f t="shared" si="24"/>
        <v>9.9170148038130002</v>
      </c>
      <c r="DA48" s="336">
        <f t="shared" si="24"/>
        <v>9.9170148038130002</v>
      </c>
      <c r="DB48" s="336">
        <f t="shared" si="24"/>
        <v>9.9170148038130002</v>
      </c>
      <c r="DC48" s="336">
        <f t="shared" si="24"/>
        <v>9.9170148038130002</v>
      </c>
      <c r="DD48" s="336">
        <f t="shared" si="24"/>
        <v>9.9170148038130002</v>
      </c>
      <c r="DE48" s="336">
        <f t="shared" si="24"/>
        <v>9.9170148038130002</v>
      </c>
      <c r="DF48" s="289"/>
      <c r="DG48" s="289"/>
      <c r="DH48" s="289"/>
      <c r="DI48" s="289"/>
      <c r="DJ48" s="289"/>
      <c r="DK48" s="289"/>
      <c r="DL48" s="289"/>
    </row>
    <row r="49" spans="1:134" ht="15.75" customHeight="1" x14ac:dyDescent="0.25">
      <c r="A49" s="751"/>
      <c r="B49" s="751"/>
      <c r="C49" s="321" t="s">
        <v>282</v>
      </c>
      <c r="D49" s="384"/>
      <c r="E49" s="385"/>
      <c r="F49" s="385"/>
      <c r="G49" s="386"/>
      <c r="H49" s="388">
        <v>3487</v>
      </c>
      <c r="I49" s="534">
        <f>H49*(1+('Unit Costs and Indicators'!$D$145/2))</f>
        <v>3487</v>
      </c>
      <c r="J49" s="534">
        <f>I49*(1+('Unit Costs and Indicators'!$D$145/2))</f>
        <v>3487</v>
      </c>
      <c r="K49" s="534">
        <f>J49*(1+('Unit Costs and Indicators'!$D$145/2))</f>
        <v>3487</v>
      </c>
      <c r="L49" s="534">
        <f>K49*(1+('Unit Costs and Indicators'!$D$145/2))</f>
        <v>3487</v>
      </c>
      <c r="M49" s="534">
        <f>L49*(1+('Unit Costs and Indicators'!$D$145/2))</f>
        <v>3487</v>
      </c>
      <c r="N49" s="534">
        <f>M49*(1+('Unit Costs and Indicators'!$D$145/2))</f>
        <v>3487</v>
      </c>
      <c r="O49" s="534">
        <f>N49*(1+('Unit Costs and Indicators'!$D$145/2))</f>
        <v>3487</v>
      </c>
      <c r="P49" s="534">
        <f>O49*(1+('Unit Costs and Indicators'!$D$145/2))</f>
        <v>3487</v>
      </c>
      <c r="Q49" s="534">
        <f>P49*(1+('Unit Costs and Indicators'!$D$145/2))</f>
        <v>3487</v>
      </c>
      <c r="R49" s="534">
        <f>Q49*(1+('Unit Costs and Indicators'!$D$145/2))</f>
        <v>3487</v>
      </c>
      <c r="S49" s="534">
        <f>R49*(1+('Unit Costs and Indicators'!$D$145/2))</f>
        <v>3487</v>
      </c>
      <c r="T49" s="534">
        <f>S49*(1+('Unit Costs and Indicators'!$D$145/2))</f>
        <v>3487</v>
      </c>
      <c r="U49" s="534">
        <f>T49*(1+('Unit Costs and Indicators'!$D$145/2))</f>
        <v>3487</v>
      </c>
      <c r="V49" s="534">
        <f>U49*(1+('Unit Costs and Indicators'!$D$145/2))</f>
        <v>3487</v>
      </c>
      <c r="W49" s="534">
        <f>V49*(1+('Unit Costs and Indicators'!$D$145/2))</f>
        <v>3487</v>
      </c>
      <c r="X49" s="534">
        <f>W49*(1+('Unit Costs and Indicators'!$D$145/2))</f>
        <v>3487</v>
      </c>
      <c r="Y49" s="534">
        <f>X49*(1+('Unit Costs and Indicators'!$D$145/2))</f>
        <v>3487</v>
      </c>
      <c r="Z49" s="534">
        <f>Y49*(1+('Unit Costs and Indicators'!$D$145/2))</f>
        <v>3487</v>
      </c>
      <c r="AA49" s="534">
        <f>Z49*(1+('Unit Costs and Indicators'!$D$145/2))</f>
        <v>3487</v>
      </c>
      <c r="AB49" s="534">
        <f>AA49*(1+('Unit Costs and Indicators'!$D$145/2))</f>
        <v>3487</v>
      </c>
      <c r="AC49" s="534">
        <f>AB49*(1+('Unit Costs and Indicators'!$D$145/2))</f>
        <v>3487</v>
      </c>
      <c r="AD49" s="534">
        <f>AC49*(1+('Unit Costs and Indicators'!$D$145/2))</f>
        <v>3487</v>
      </c>
      <c r="AE49" s="534">
        <f>AD49*(1+('Unit Costs and Indicators'!$D$145/2))</f>
        <v>3487</v>
      </c>
      <c r="AF49" s="534">
        <f>AE49*(1+('Unit Costs and Indicators'!$D$145/2))</f>
        <v>3487</v>
      </c>
      <c r="AG49" s="534">
        <f>AF49*(1+('Unit Costs and Indicators'!$D$145/2))</f>
        <v>3487</v>
      </c>
      <c r="AH49" s="534">
        <f>AG49*(1+('Unit Costs and Indicators'!$D$145/2))</f>
        <v>3487</v>
      </c>
      <c r="AI49" s="534">
        <f>AH49*(1+('Unit Costs and Indicators'!$D$145/2))</f>
        <v>3487</v>
      </c>
      <c r="AJ49" s="534">
        <f>AI49*(1+('Unit Costs and Indicators'!$D$145/2))</f>
        <v>3487</v>
      </c>
      <c r="AK49" s="534">
        <f>AJ49*(1+('Unit Costs and Indicators'!$D$145/2))</f>
        <v>3487</v>
      </c>
      <c r="AL49" s="534">
        <f>AK49*(1+('Unit Costs and Indicators'!$D$145/2))</f>
        <v>3487</v>
      </c>
      <c r="AM49" s="534">
        <f>AL49*(1+('Unit Costs and Indicators'!$D$145/2))</f>
        <v>3487</v>
      </c>
      <c r="AN49" s="534">
        <f>AM49*(1+('Unit Costs and Indicators'!$D$145/2))</f>
        <v>3487</v>
      </c>
      <c r="AO49" s="534">
        <f>AN49*(1+('Unit Costs and Indicators'!$D$145/2))</f>
        <v>3487</v>
      </c>
      <c r="AP49" s="534">
        <f>AO49*(1+('Unit Costs and Indicators'!$D$145/2))</f>
        <v>3487</v>
      </c>
      <c r="AQ49" s="534">
        <f>AP49*(1+('Unit Costs and Indicators'!$D$145/2))</f>
        <v>3487</v>
      </c>
      <c r="AR49" s="534">
        <f>AQ49*(1+('Unit Costs and Indicators'!$D$145/2))</f>
        <v>3487</v>
      </c>
      <c r="AS49" s="534">
        <f>AR49*(1+('Unit Costs and Indicators'!$D$145/2))</f>
        <v>3487</v>
      </c>
      <c r="AT49" s="534">
        <f>AS49*(1+('Unit Costs and Indicators'!$D$145/2))</f>
        <v>3487</v>
      </c>
      <c r="AU49" s="534">
        <f>AT49*(1+('Unit Costs and Indicators'!$D$145/2))</f>
        <v>3487</v>
      </c>
      <c r="AV49" s="534">
        <f>AU49*(1+('Unit Costs and Indicators'!$D$145/2))</f>
        <v>3487</v>
      </c>
      <c r="AW49" s="534">
        <f>AV49*(1+('Unit Costs and Indicators'!$D$145/2))</f>
        <v>3487</v>
      </c>
      <c r="AX49" s="534">
        <f>AW49*(1+('Unit Costs and Indicators'!$D$145/2))</f>
        <v>3487</v>
      </c>
      <c r="AY49" s="534">
        <f>AX49*(1+('Unit Costs and Indicators'!$D$145/2))</f>
        <v>3487</v>
      </c>
      <c r="AZ49" s="534">
        <f>AY49*(1+('Unit Costs and Indicators'!$D$145/2))</f>
        <v>3487</v>
      </c>
      <c r="BA49" s="534">
        <f>AZ49*(1+('Unit Costs and Indicators'!$D$145/2))</f>
        <v>3487</v>
      </c>
      <c r="BB49" s="534">
        <f>BA49*(1+('Unit Costs and Indicators'!$D$145/2))</f>
        <v>3487</v>
      </c>
      <c r="BC49" s="534">
        <f>BB49*(1+('Unit Costs and Indicators'!$D$145/2))</f>
        <v>3487</v>
      </c>
      <c r="BD49" s="534">
        <f>BC49*(1+('Unit Costs and Indicators'!$D$145/2))</f>
        <v>3487</v>
      </c>
      <c r="BE49" s="534">
        <f>BD49*(1+('Unit Costs and Indicators'!$D$145/2))</f>
        <v>3487</v>
      </c>
      <c r="BF49" s="534">
        <f>BE49*(1+('Unit Costs and Indicators'!$D$145/2))</f>
        <v>3487</v>
      </c>
      <c r="BG49" s="534">
        <f>BF49*(1+('Unit Costs and Indicators'!$D$145/2))</f>
        <v>3487</v>
      </c>
      <c r="BH49" s="534">
        <f>BG49*(1+('Unit Costs and Indicators'!$D$145/2))</f>
        <v>3487</v>
      </c>
      <c r="BI49" s="534">
        <f>BH49*(1+('Unit Costs and Indicators'!$D$145/2))</f>
        <v>3487</v>
      </c>
      <c r="BJ49" s="534">
        <f>BI49*(1+('Unit Costs and Indicators'!$D$145/2))</f>
        <v>3487</v>
      </c>
      <c r="BK49" s="534">
        <f>BJ49*(1+('Unit Costs and Indicators'!$D$145/2))</f>
        <v>3487</v>
      </c>
      <c r="BL49" s="534">
        <f>BK49*(1+('Unit Costs and Indicators'!$D$145/2))</f>
        <v>3487</v>
      </c>
      <c r="BM49" s="534">
        <f>BL49*(1+('Unit Costs and Indicators'!$D$145/2))</f>
        <v>3487</v>
      </c>
      <c r="BN49" s="534">
        <f>BM49*(1+('Unit Costs and Indicators'!$D$145/2))</f>
        <v>3487</v>
      </c>
      <c r="BO49" s="534">
        <f>BN49*(1+('Unit Costs and Indicators'!$D$145/2))</f>
        <v>3487</v>
      </c>
      <c r="BP49" s="534">
        <f>BO49*(1+('Unit Costs and Indicators'!$D$145/2))</f>
        <v>3487</v>
      </c>
      <c r="BQ49" s="534">
        <f>BP49*(1+('Unit Costs and Indicators'!$D$145/2))</f>
        <v>3487</v>
      </c>
      <c r="BR49" s="534">
        <f>BQ49*(1+('Unit Costs and Indicators'!$D$145/2))</f>
        <v>3487</v>
      </c>
      <c r="BS49" s="534">
        <f>BR49*(1+('Unit Costs and Indicators'!$D$145/2))</f>
        <v>3487</v>
      </c>
      <c r="BT49" s="534">
        <f>BS49*(1+('Unit Costs and Indicators'!$D$145/2))</f>
        <v>3487</v>
      </c>
      <c r="BU49" s="534">
        <f>BT49*(1+('Unit Costs and Indicators'!$D$145/2))</f>
        <v>3487</v>
      </c>
      <c r="BV49" s="534">
        <f>BU49*(1+('Unit Costs and Indicators'!$D$145/2))</f>
        <v>3487</v>
      </c>
      <c r="BW49" s="534">
        <f>BV49*(1+('Unit Costs and Indicators'!$D$145/2))</f>
        <v>3487</v>
      </c>
      <c r="BX49" s="534">
        <f>BW49*(1+('Unit Costs and Indicators'!$D$145/2))</f>
        <v>3487</v>
      </c>
      <c r="BY49" s="534">
        <f>BX49*(1+('Unit Costs and Indicators'!$D$145/2))</f>
        <v>3487</v>
      </c>
      <c r="BZ49" s="534">
        <f>BY49*(1+('Unit Costs and Indicators'!$D$145/2))</f>
        <v>3487</v>
      </c>
      <c r="CA49" s="534">
        <f>BZ49*(1+('Unit Costs and Indicators'!$D$145/2))</f>
        <v>3487</v>
      </c>
      <c r="CB49" s="534">
        <f>CA49*(1+('Unit Costs and Indicators'!$D$145/2))</f>
        <v>3487</v>
      </c>
      <c r="CC49" s="534">
        <f>CB49*(1+('Unit Costs and Indicators'!$D$145/2))</f>
        <v>3487</v>
      </c>
      <c r="CD49" s="534">
        <f>CC49*(1+('Unit Costs and Indicators'!$D$145/2))</f>
        <v>3487</v>
      </c>
      <c r="CE49" s="534">
        <f>CD49*(1+('Unit Costs and Indicators'!$D$145/2))</f>
        <v>3487</v>
      </c>
      <c r="CF49" s="534">
        <f>CE49*(1+('Unit Costs and Indicators'!$D$145/2))</f>
        <v>3487</v>
      </c>
      <c r="CG49" s="534">
        <f>CF49*(1+('Unit Costs and Indicators'!$D$145/2))</f>
        <v>3487</v>
      </c>
      <c r="CH49" s="534">
        <f>CG49*(1+('Unit Costs and Indicators'!$D$145/2))</f>
        <v>3487</v>
      </c>
      <c r="CI49" s="534">
        <f>CH49*(1+('Unit Costs and Indicators'!$D$145/2))</f>
        <v>3487</v>
      </c>
      <c r="CJ49" s="534">
        <f>CI49*(1+('Unit Costs and Indicators'!$D$145/2))</f>
        <v>3487</v>
      </c>
      <c r="CK49" s="534">
        <f>CJ49*(1+('Unit Costs and Indicators'!$D$145/2))</f>
        <v>3487</v>
      </c>
      <c r="CL49" s="534">
        <f>CK49*(1+('Unit Costs and Indicators'!$D$145/2))</f>
        <v>3487</v>
      </c>
      <c r="CM49" s="534">
        <f>CL49*(1+('Unit Costs and Indicators'!$D$145/2))</f>
        <v>3487</v>
      </c>
      <c r="CN49" s="534">
        <f>CM49*(1+('Unit Costs and Indicators'!$D$145/2))</f>
        <v>3487</v>
      </c>
      <c r="CO49" s="534">
        <f>CN49*(1+('Unit Costs and Indicators'!$D$145/2))</f>
        <v>3487</v>
      </c>
      <c r="CP49" s="534">
        <f>CO49*(1+('Unit Costs and Indicators'!$D$145/2))</f>
        <v>3487</v>
      </c>
      <c r="CQ49" s="534">
        <f>CP49*(1+('Unit Costs and Indicators'!$D$145/2))</f>
        <v>3487</v>
      </c>
      <c r="CR49" s="534">
        <f>CQ49*(1+('Unit Costs and Indicators'!$D$145/2))</f>
        <v>3487</v>
      </c>
      <c r="CS49" s="534">
        <f>CR49*(1+('Unit Costs and Indicators'!$D$145/2))</f>
        <v>3487</v>
      </c>
      <c r="CT49" s="534">
        <f>CS49*(1+('Unit Costs and Indicators'!$D$145/2))</f>
        <v>3487</v>
      </c>
      <c r="CU49" s="534">
        <f>CT49*(1+('Unit Costs and Indicators'!$D$145/2))</f>
        <v>3487</v>
      </c>
      <c r="CV49" s="534">
        <f>CU49*(1+('Unit Costs and Indicators'!$D$145/2))</f>
        <v>3487</v>
      </c>
      <c r="CW49" s="534">
        <f>CV49*(1+('Unit Costs and Indicators'!$D$145/2))</f>
        <v>3487</v>
      </c>
      <c r="CX49" s="534">
        <f>CW49*(1+('Unit Costs and Indicators'!$D$145/2))</f>
        <v>3487</v>
      </c>
      <c r="CY49" s="534">
        <f>CX49*(1+('Unit Costs and Indicators'!$D$145/2))</f>
        <v>3487</v>
      </c>
      <c r="CZ49" s="534">
        <f>CY49*(1+('Unit Costs and Indicators'!$D$145/2))</f>
        <v>3487</v>
      </c>
      <c r="DA49" s="534">
        <f>CZ49*(1+('Unit Costs and Indicators'!$D$145/2))</f>
        <v>3487</v>
      </c>
      <c r="DB49" s="534">
        <f>DA49*(1+('Unit Costs and Indicators'!$D$145/2))</f>
        <v>3487</v>
      </c>
      <c r="DC49" s="534">
        <f>DB49*(1+('Unit Costs and Indicators'!$D$145/2))</f>
        <v>3487</v>
      </c>
      <c r="DD49" s="534">
        <f>DC49*(1+('Unit Costs and Indicators'!$D$145/2))</f>
        <v>3487</v>
      </c>
      <c r="DE49" s="534">
        <f>DD49*(1+('Unit Costs and Indicators'!$D$145/2))</f>
        <v>3487</v>
      </c>
      <c r="DF49" s="535"/>
      <c r="DG49" s="535"/>
      <c r="DH49" s="535"/>
      <c r="DI49" s="535"/>
      <c r="DJ49" s="535"/>
      <c r="DK49" s="535"/>
      <c r="DL49" s="535"/>
    </row>
    <row r="50" spans="1:134" ht="15.75" customHeight="1" x14ac:dyDescent="0.25">
      <c r="A50" s="751"/>
      <c r="B50" s="751"/>
      <c r="C50" s="321" t="s">
        <v>285</v>
      </c>
      <c r="D50" s="384"/>
      <c r="E50" s="385"/>
      <c r="F50" s="385"/>
      <c r="G50" s="386"/>
      <c r="H50" s="388">
        <v>0</v>
      </c>
      <c r="I50" s="536">
        <v>0</v>
      </c>
      <c r="J50" s="536">
        <v>0</v>
      </c>
      <c r="K50" s="536">
        <v>0</v>
      </c>
      <c r="L50" s="536">
        <v>0</v>
      </c>
      <c r="M50" s="536">
        <v>0</v>
      </c>
      <c r="N50" s="536">
        <v>0</v>
      </c>
      <c r="O50" s="536">
        <v>0</v>
      </c>
      <c r="P50" s="536">
        <v>0</v>
      </c>
      <c r="Q50" s="536">
        <v>0</v>
      </c>
      <c r="R50" s="536">
        <v>0</v>
      </c>
      <c r="S50" s="536">
        <v>0</v>
      </c>
      <c r="T50" s="536">
        <v>0</v>
      </c>
      <c r="U50" s="536">
        <v>0</v>
      </c>
      <c r="V50" s="536">
        <v>0</v>
      </c>
      <c r="W50" s="536">
        <v>0</v>
      </c>
      <c r="X50" s="536">
        <v>0</v>
      </c>
      <c r="Y50" s="536">
        <v>0</v>
      </c>
      <c r="Z50" s="536">
        <v>0</v>
      </c>
      <c r="AA50" s="536">
        <v>0</v>
      </c>
      <c r="AB50" s="536">
        <v>0</v>
      </c>
      <c r="AC50" s="536">
        <v>0</v>
      </c>
      <c r="AD50" s="536">
        <v>0</v>
      </c>
      <c r="AE50" s="536">
        <v>0</v>
      </c>
      <c r="AF50" s="536">
        <v>0</v>
      </c>
      <c r="AG50" s="536">
        <v>0</v>
      </c>
      <c r="AH50" s="536">
        <v>0</v>
      </c>
      <c r="AI50" s="536">
        <v>0</v>
      </c>
      <c r="AJ50" s="536">
        <v>0</v>
      </c>
      <c r="AK50" s="536">
        <v>0</v>
      </c>
      <c r="AL50" s="536">
        <v>0</v>
      </c>
      <c r="AM50" s="536">
        <v>0</v>
      </c>
      <c r="AN50" s="536">
        <v>0</v>
      </c>
      <c r="AO50" s="536">
        <v>0</v>
      </c>
      <c r="AP50" s="536">
        <v>0</v>
      </c>
      <c r="AQ50" s="536">
        <v>0</v>
      </c>
      <c r="AR50" s="536">
        <v>0</v>
      </c>
      <c r="AS50" s="536">
        <v>0</v>
      </c>
      <c r="AT50" s="536">
        <v>0</v>
      </c>
      <c r="AU50" s="536">
        <v>0</v>
      </c>
      <c r="AV50" s="536">
        <v>0</v>
      </c>
      <c r="AW50" s="536">
        <v>0</v>
      </c>
      <c r="AX50" s="536">
        <v>0</v>
      </c>
      <c r="AY50" s="536">
        <v>0</v>
      </c>
      <c r="AZ50" s="536">
        <v>0</v>
      </c>
      <c r="BA50" s="536">
        <v>0</v>
      </c>
      <c r="BB50" s="536">
        <v>0</v>
      </c>
      <c r="BC50" s="536">
        <v>0</v>
      </c>
      <c r="BD50" s="536">
        <v>0</v>
      </c>
      <c r="BE50" s="536">
        <v>0</v>
      </c>
      <c r="BF50" s="536">
        <v>0</v>
      </c>
      <c r="BG50" s="536">
        <v>0</v>
      </c>
      <c r="BH50" s="536">
        <v>0</v>
      </c>
      <c r="BI50" s="536">
        <v>0</v>
      </c>
      <c r="BJ50" s="536">
        <v>0</v>
      </c>
      <c r="BK50" s="536">
        <v>0</v>
      </c>
      <c r="BL50" s="536">
        <v>0</v>
      </c>
      <c r="BM50" s="536">
        <v>0</v>
      </c>
      <c r="BN50" s="536">
        <v>0</v>
      </c>
      <c r="BO50" s="536">
        <v>0</v>
      </c>
      <c r="BP50" s="536">
        <v>0</v>
      </c>
      <c r="BQ50" s="536">
        <v>0</v>
      </c>
      <c r="BR50" s="536">
        <v>0</v>
      </c>
      <c r="BS50" s="536">
        <v>0</v>
      </c>
      <c r="BT50" s="536">
        <v>0</v>
      </c>
      <c r="BU50" s="536">
        <v>0</v>
      </c>
      <c r="BV50" s="536">
        <v>0</v>
      </c>
      <c r="BW50" s="536">
        <v>0</v>
      </c>
      <c r="BX50" s="536">
        <v>0</v>
      </c>
      <c r="BY50" s="536">
        <v>0</v>
      </c>
      <c r="BZ50" s="536">
        <v>0</v>
      </c>
      <c r="CA50" s="536">
        <v>0</v>
      </c>
      <c r="CB50" s="536">
        <v>0</v>
      </c>
      <c r="CC50" s="536">
        <v>0</v>
      </c>
      <c r="CD50" s="536">
        <v>0</v>
      </c>
      <c r="CE50" s="536">
        <v>0</v>
      </c>
      <c r="CF50" s="536">
        <v>0</v>
      </c>
      <c r="CG50" s="536">
        <v>0</v>
      </c>
      <c r="CH50" s="536">
        <v>0</v>
      </c>
      <c r="CI50" s="536">
        <v>0</v>
      </c>
      <c r="CJ50" s="536">
        <v>0</v>
      </c>
      <c r="CK50" s="536">
        <v>0</v>
      </c>
      <c r="CL50" s="536">
        <v>0</v>
      </c>
      <c r="CM50" s="536">
        <v>0</v>
      </c>
      <c r="CN50" s="536">
        <v>0</v>
      </c>
      <c r="CO50" s="536">
        <v>0</v>
      </c>
      <c r="CP50" s="536">
        <v>0</v>
      </c>
      <c r="CQ50" s="536">
        <v>0</v>
      </c>
      <c r="CR50" s="536">
        <v>0</v>
      </c>
      <c r="CS50" s="536">
        <v>0</v>
      </c>
      <c r="CT50" s="536">
        <v>0</v>
      </c>
      <c r="CU50" s="536">
        <v>0</v>
      </c>
      <c r="CV50" s="536">
        <v>0</v>
      </c>
      <c r="CW50" s="536">
        <v>0</v>
      </c>
      <c r="CX50" s="536">
        <v>0</v>
      </c>
      <c r="CY50" s="536">
        <v>0</v>
      </c>
      <c r="CZ50" s="536">
        <v>0</v>
      </c>
      <c r="DA50" s="536">
        <v>0</v>
      </c>
      <c r="DB50" s="536">
        <v>0</v>
      </c>
      <c r="DC50" s="536">
        <v>0</v>
      </c>
      <c r="DD50" s="536">
        <v>0</v>
      </c>
      <c r="DE50" s="536">
        <v>0</v>
      </c>
      <c r="DF50" s="536"/>
      <c r="DG50" s="536"/>
      <c r="DH50" s="536"/>
      <c r="DI50" s="536"/>
      <c r="DJ50" s="536"/>
      <c r="DK50" s="536"/>
      <c r="DL50" s="536"/>
    </row>
    <row r="51" spans="1:134" ht="15.75" customHeight="1" x14ac:dyDescent="0.25">
      <c r="A51" s="751"/>
      <c r="B51" s="751"/>
      <c r="C51" s="283" t="s">
        <v>286</v>
      </c>
      <c r="D51" s="384"/>
      <c r="E51" s="385"/>
      <c r="F51" s="385"/>
      <c r="G51" s="386"/>
      <c r="H51" s="526">
        <f t="shared" ref="H51:DE51" si="25">(1.1/100)*(1820/5280)</f>
        <v>3.7916666666666671E-3</v>
      </c>
      <c r="I51" s="527">
        <f t="shared" si="25"/>
        <v>3.7916666666666671E-3</v>
      </c>
      <c r="J51" s="527">
        <f t="shared" si="25"/>
        <v>3.7916666666666671E-3</v>
      </c>
      <c r="K51" s="527">
        <f t="shared" si="25"/>
        <v>3.7916666666666671E-3</v>
      </c>
      <c r="L51" s="527">
        <f t="shared" si="25"/>
        <v>3.7916666666666671E-3</v>
      </c>
      <c r="M51" s="527">
        <f t="shared" si="25"/>
        <v>3.7916666666666671E-3</v>
      </c>
      <c r="N51" s="527">
        <f t="shared" si="25"/>
        <v>3.7916666666666671E-3</v>
      </c>
      <c r="O51" s="527">
        <f t="shared" si="25"/>
        <v>3.7916666666666671E-3</v>
      </c>
      <c r="P51" s="527">
        <f t="shared" si="25"/>
        <v>3.7916666666666671E-3</v>
      </c>
      <c r="Q51" s="527">
        <f t="shared" si="25"/>
        <v>3.7916666666666671E-3</v>
      </c>
      <c r="R51" s="527">
        <f t="shared" si="25"/>
        <v>3.7916666666666671E-3</v>
      </c>
      <c r="S51" s="527">
        <f t="shared" si="25"/>
        <v>3.7916666666666671E-3</v>
      </c>
      <c r="T51" s="527">
        <f t="shared" si="25"/>
        <v>3.7916666666666671E-3</v>
      </c>
      <c r="U51" s="527">
        <f t="shared" si="25"/>
        <v>3.7916666666666671E-3</v>
      </c>
      <c r="V51" s="527">
        <f t="shared" si="25"/>
        <v>3.7916666666666671E-3</v>
      </c>
      <c r="W51" s="527">
        <f t="shared" si="25"/>
        <v>3.7916666666666671E-3</v>
      </c>
      <c r="X51" s="527">
        <f t="shared" si="25"/>
        <v>3.7916666666666671E-3</v>
      </c>
      <c r="Y51" s="527">
        <f t="shared" si="25"/>
        <v>3.7916666666666671E-3</v>
      </c>
      <c r="Z51" s="527">
        <f t="shared" si="25"/>
        <v>3.7916666666666671E-3</v>
      </c>
      <c r="AA51" s="527">
        <f t="shared" si="25"/>
        <v>3.7916666666666671E-3</v>
      </c>
      <c r="AB51" s="527">
        <f t="shared" si="25"/>
        <v>3.7916666666666671E-3</v>
      </c>
      <c r="AC51" s="527">
        <f t="shared" si="25"/>
        <v>3.7916666666666671E-3</v>
      </c>
      <c r="AD51" s="527">
        <f t="shared" si="25"/>
        <v>3.7916666666666671E-3</v>
      </c>
      <c r="AE51" s="527">
        <f t="shared" si="25"/>
        <v>3.7916666666666671E-3</v>
      </c>
      <c r="AF51" s="527">
        <f t="shared" si="25"/>
        <v>3.7916666666666671E-3</v>
      </c>
      <c r="AG51" s="527">
        <f t="shared" si="25"/>
        <v>3.7916666666666671E-3</v>
      </c>
      <c r="AH51" s="527">
        <f t="shared" si="25"/>
        <v>3.7916666666666671E-3</v>
      </c>
      <c r="AI51" s="527">
        <f t="shared" si="25"/>
        <v>3.7916666666666671E-3</v>
      </c>
      <c r="AJ51" s="527">
        <f t="shared" si="25"/>
        <v>3.7916666666666671E-3</v>
      </c>
      <c r="AK51" s="527">
        <f t="shared" si="25"/>
        <v>3.7916666666666671E-3</v>
      </c>
      <c r="AL51" s="527">
        <f t="shared" si="25"/>
        <v>3.7916666666666671E-3</v>
      </c>
      <c r="AM51" s="527">
        <f t="shared" si="25"/>
        <v>3.7916666666666671E-3</v>
      </c>
      <c r="AN51" s="527">
        <f t="shared" si="25"/>
        <v>3.7916666666666671E-3</v>
      </c>
      <c r="AO51" s="527">
        <f t="shared" si="25"/>
        <v>3.7916666666666671E-3</v>
      </c>
      <c r="AP51" s="527">
        <f t="shared" si="25"/>
        <v>3.7916666666666671E-3</v>
      </c>
      <c r="AQ51" s="527">
        <f t="shared" si="25"/>
        <v>3.7916666666666671E-3</v>
      </c>
      <c r="AR51" s="527">
        <f t="shared" si="25"/>
        <v>3.7916666666666671E-3</v>
      </c>
      <c r="AS51" s="527">
        <f t="shared" si="25"/>
        <v>3.7916666666666671E-3</v>
      </c>
      <c r="AT51" s="527">
        <f t="shared" si="25"/>
        <v>3.7916666666666671E-3</v>
      </c>
      <c r="AU51" s="527">
        <f t="shared" si="25"/>
        <v>3.7916666666666671E-3</v>
      </c>
      <c r="AV51" s="527">
        <f t="shared" si="25"/>
        <v>3.7916666666666671E-3</v>
      </c>
      <c r="AW51" s="527">
        <f t="shared" si="25"/>
        <v>3.7916666666666671E-3</v>
      </c>
      <c r="AX51" s="527">
        <f t="shared" si="25"/>
        <v>3.7916666666666671E-3</v>
      </c>
      <c r="AY51" s="527">
        <f t="shared" si="25"/>
        <v>3.7916666666666671E-3</v>
      </c>
      <c r="AZ51" s="527">
        <f t="shared" si="25"/>
        <v>3.7916666666666671E-3</v>
      </c>
      <c r="BA51" s="527">
        <f t="shared" si="25"/>
        <v>3.7916666666666671E-3</v>
      </c>
      <c r="BB51" s="527">
        <f t="shared" si="25"/>
        <v>3.7916666666666671E-3</v>
      </c>
      <c r="BC51" s="527">
        <f t="shared" si="25"/>
        <v>3.7916666666666671E-3</v>
      </c>
      <c r="BD51" s="527">
        <f t="shared" si="25"/>
        <v>3.7916666666666671E-3</v>
      </c>
      <c r="BE51" s="527">
        <f t="shared" si="25"/>
        <v>3.7916666666666671E-3</v>
      </c>
      <c r="BF51" s="527">
        <f t="shared" si="25"/>
        <v>3.7916666666666671E-3</v>
      </c>
      <c r="BG51" s="527">
        <f t="shared" si="25"/>
        <v>3.7916666666666671E-3</v>
      </c>
      <c r="BH51" s="527">
        <f t="shared" si="25"/>
        <v>3.7916666666666671E-3</v>
      </c>
      <c r="BI51" s="527">
        <f t="shared" si="25"/>
        <v>3.7916666666666671E-3</v>
      </c>
      <c r="BJ51" s="527">
        <f t="shared" si="25"/>
        <v>3.7916666666666671E-3</v>
      </c>
      <c r="BK51" s="527">
        <f t="shared" si="25"/>
        <v>3.7916666666666671E-3</v>
      </c>
      <c r="BL51" s="527">
        <f t="shared" si="25"/>
        <v>3.7916666666666671E-3</v>
      </c>
      <c r="BM51" s="527">
        <f t="shared" si="25"/>
        <v>3.7916666666666671E-3</v>
      </c>
      <c r="BN51" s="527">
        <f t="shared" si="25"/>
        <v>3.7916666666666671E-3</v>
      </c>
      <c r="BO51" s="527">
        <f t="shared" si="25"/>
        <v>3.7916666666666671E-3</v>
      </c>
      <c r="BP51" s="527">
        <f t="shared" si="25"/>
        <v>3.7916666666666671E-3</v>
      </c>
      <c r="BQ51" s="527">
        <f t="shared" si="25"/>
        <v>3.7916666666666671E-3</v>
      </c>
      <c r="BR51" s="527">
        <f t="shared" si="25"/>
        <v>3.7916666666666671E-3</v>
      </c>
      <c r="BS51" s="527">
        <f t="shared" si="25"/>
        <v>3.7916666666666671E-3</v>
      </c>
      <c r="BT51" s="527">
        <f t="shared" si="25"/>
        <v>3.7916666666666671E-3</v>
      </c>
      <c r="BU51" s="527">
        <f t="shared" si="25"/>
        <v>3.7916666666666671E-3</v>
      </c>
      <c r="BV51" s="527">
        <f t="shared" si="25"/>
        <v>3.7916666666666671E-3</v>
      </c>
      <c r="BW51" s="527">
        <f t="shared" si="25"/>
        <v>3.7916666666666671E-3</v>
      </c>
      <c r="BX51" s="527">
        <f t="shared" si="25"/>
        <v>3.7916666666666671E-3</v>
      </c>
      <c r="BY51" s="527">
        <f t="shared" si="25"/>
        <v>3.7916666666666671E-3</v>
      </c>
      <c r="BZ51" s="527">
        <f t="shared" si="25"/>
        <v>3.7916666666666671E-3</v>
      </c>
      <c r="CA51" s="527">
        <f t="shared" si="25"/>
        <v>3.7916666666666671E-3</v>
      </c>
      <c r="CB51" s="527">
        <f t="shared" si="25"/>
        <v>3.7916666666666671E-3</v>
      </c>
      <c r="CC51" s="527">
        <f t="shared" si="25"/>
        <v>3.7916666666666671E-3</v>
      </c>
      <c r="CD51" s="527">
        <f t="shared" si="25"/>
        <v>3.7916666666666671E-3</v>
      </c>
      <c r="CE51" s="527">
        <f t="shared" si="25"/>
        <v>3.7916666666666671E-3</v>
      </c>
      <c r="CF51" s="527">
        <f t="shared" si="25"/>
        <v>3.7916666666666671E-3</v>
      </c>
      <c r="CG51" s="527">
        <f t="shared" si="25"/>
        <v>3.7916666666666671E-3</v>
      </c>
      <c r="CH51" s="527">
        <f t="shared" si="25"/>
        <v>3.7916666666666671E-3</v>
      </c>
      <c r="CI51" s="527">
        <f t="shared" si="25"/>
        <v>3.7916666666666671E-3</v>
      </c>
      <c r="CJ51" s="527">
        <f t="shared" si="25"/>
        <v>3.7916666666666671E-3</v>
      </c>
      <c r="CK51" s="527">
        <f t="shared" si="25"/>
        <v>3.7916666666666671E-3</v>
      </c>
      <c r="CL51" s="527">
        <f t="shared" si="25"/>
        <v>3.7916666666666671E-3</v>
      </c>
      <c r="CM51" s="527">
        <f t="shared" si="25"/>
        <v>3.7916666666666671E-3</v>
      </c>
      <c r="CN51" s="527">
        <f t="shared" si="25"/>
        <v>3.7916666666666671E-3</v>
      </c>
      <c r="CO51" s="527">
        <f t="shared" si="25"/>
        <v>3.7916666666666671E-3</v>
      </c>
      <c r="CP51" s="527">
        <f t="shared" si="25"/>
        <v>3.7916666666666671E-3</v>
      </c>
      <c r="CQ51" s="527">
        <f t="shared" si="25"/>
        <v>3.7916666666666671E-3</v>
      </c>
      <c r="CR51" s="527">
        <f t="shared" si="25"/>
        <v>3.7916666666666671E-3</v>
      </c>
      <c r="CS51" s="527">
        <f t="shared" si="25"/>
        <v>3.7916666666666671E-3</v>
      </c>
      <c r="CT51" s="527">
        <f t="shared" si="25"/>
        <v>3.7916666666666671E-3</v>
      </c>
      <c r="CU51" s="527">
        <f t="shared" si="25"/>
        <v>3.7916666666666671E-3</v>
      </c>
      <c r="CV51" s="527">
        <f t="shared" si="25"/>
        <v>3.7916666666666671E-3</v>
      </c>
      <c r="CW51" s="527">
        <f t="shared" si="25"/>
        <v>3.7916666666666671E-3</v>
      </c>
      <c r="CX51" s="527">
        <f t="shared" si="25"/>
        <v>3.7916666666666671E-3</v>
      </c>
      <c r="CY51" s="527">
        <f t="shared" si="25"/>
        <v>3.7916666666666671E-3</v>
      </c>
      <c r="CZ51" s="527">
        <f t="shared" si="25"/>
        <v>3.7916666666666671E-3</v>
      </c>
      <c r="DA51" s="527">
        <f t="shared" si="25"/>
        <v>3.7916666666666671E-3</v>
      </c>
      <c r="DB51" s="527">
        <f t="shared" si="25"/>
        <v>3.7916666666666671E-3</v>
      </c>
      <c r="DC51" s="527">
        <f t="shared" si="25"/>
        <v>3.7916666666666671E-3</v>
      </c>
      <c r="DD51" s="527">
        <f t="shared" si="25"/>
        <v>3.7916666666666671E-3</v>
      </c>
      <c r="DE51" s="527">
        <f t="shared" si="25"/>
        <v>3.7916666666666671E-3</v>
      </c>
      <c r="DF51" s="527"/>
      <c r="DG51" s="527"/>
      <c r="DH51" s="527"/>
      <c r="DI51" s="527"/>
      <c r="DJ51" s="527"/>
      <c r="DK51" s="527"/>
      <c r="DL51" s="527"/>
    </row>
    <row r="52" spans="1:134" ht="15.75" customHeight="1" x14ac:dyDescent="0.25">
      <c r="A52" s="751"/>
      <c r="B52" s="751"/>
      <c r="C52" s="321" t="s">
        <v>288</v>
      </c>
      <c r="D52" s="384"/>
      <c r="E52" s="385"/>
      <c r="F52" s="385"/>
      <c r="G52" s="386">
        <v>2</v>
      </c>
      <c r="H52" s="288">
        <f t="shared" ref="H52:DE52" si="26">$G$52*H51</f>
        <v>7.5833333333333343E-3</v>
      </c>
      <c r="I52" s="536">
        <f t="shared" si="26"/>
        <v>7.5833333333333343E-3</v>
      </c>
      <c r="J52" s="536">
        <f t="shared" si="26"/>
        <v>7.5833333333333343E-3</v>
      </c>
      <c r="K52" s="536">
        <f t="shared" si="26"/>
        <v>7.5833333333333343E-3</v>
      </c>
      <c r="L52" s="536">
        <f t="shared" si="26"/>
        <v>7.5833333333333343E-3</v>
      </c>
      <c r="M52" s="536">
        <f t="shared" si="26"/>
        <v>7.5833333333333343E-3</v>
      </c>
      <c r="N52" s="536">
        <f t="shared" si="26"/>
        <v>7.5833333333333343E-3</v>
      </c>
      <c r="O52" s="536">
        <f t="shared" si="26"/>
        <v>7.5833333333333343E-3</v>
      </c>
      <c r="P52" s="536">
        <f t="shared" si="26"/>
        <v>7.5833333333333343E-3</v>
      </c>
      <c r="Q52" s="536">
        <f t="shared" si="26"/>
        <v>7.5833333333333343E-3</v>
      </c>
      <c r="R52" s="536">
        <f t="shared" si="26"/>
        <v>7.5833333333333343E-3</v>
      </c>
      <c r="S52" s="536">
        <f t="shared" si="26"/>
        <v>7.5833333333333343E-3</v>
      </c>
      <c r="T52" s="536">
        <f t="shared" si="26"/>
        <v>7.5833333333333343E-3</v>
      </c>
      <c r="U52" s="536">
        <f t="shared" si="26"/>
        <v>7.5833333333333343E-3</v>
      </c>
      <c r="V52" s="536">
        <f t="shared" si="26"/>
        <v>7.5833333333333343E-3</v>
      </c>
      <c r="W52" s="536">
        <f t="shared" si="26"/>
        <v>7.5833333333333343E-3</v>
      </c>
      <c r="X52" s="536">
        <f t="shared" si="26"/>
        <v>7.5833333333333343E-3</v>
      </c>
      <c r="Y52" s="536">
        <f t="shared" si="26"/>
        <v>7.5833333333333343E-3</v>
      </c>
      <c r="Z52" s="536">
        <f t="shared" si="26"/>
        <v>7.5833333333333343E-3</v>
      </c>
      <c r="AA52" s="536">
        <f t="shared" si="26"/>
        <v>7.5833333333333343E-3</v>
      </c>
      <c r="AB52" s="536">
        <f t="shared" si="26"/>
        <v>7.5833333333333343E-3</v>
      </c>
      <c r="AC52" s="536">
        <f t="shared" si="26"/>
        <v>7.5833333333333343E-3</v>
      </c>
      <c r="AD52" s="536">
        <f t="shared" si="26"/>
        <v>7.5833333333333343E-3</v>
      </c>
      <c r="AE52" s="536">
        <f t="shared" si="26"/>
        <v>7.5833333333333343E-3</v>
      </c>
      <c r="AF52" s="536">
        <f t="shared" si="26"/>
        <v>7.5833333333333343E-3</v>
      </c>
      <c r="AG52" s="536">
        <f t="shared" si="26"/>
        <v>7.5833333333333343E-3</v>
      </c>
      <c r="AH52" s="536">
        <f t="shared" si="26"/>
        <v>7.5833333333333343E-3</v>
      </c>
      <c r="AI52" s="536">
        <f t="shared" si="26"/>
        <v>7.5833333333333343E-3</v>
      </c>
      <c r="AJ52" s="536">
        <f t="shared" si="26"/>
        <v>7.5833333333333343E-3</v>
      </c>
      <c r="AK52" s="536">
        <f t="shared" si="26"/>
        <v>7.5833333333333343E-3</v>
      </c>
      <c r="AL52" s="536">
        <f t="shared" si="26"/>
        <v>7.5833333333333343E-3</v>
      </c>
      <c r="AM52" s="536">
        <f t="shared" si="26"/>
        <v>7.5833333333333343E-3</v>
      </c>
      <c r="AN52" s="536">
        <f t="shared" si="26"/>
        <v>7.5833333333333343E-3</v>
      </c>
      <c r="AO52" s="536">
        <f t="shared" si="26"/>
        <v>7.5833333333333343E-3</v>
      </c>
      <c r="AP52" s="536">
        <f t="shared" si="26"/>
        <v>7.5833333333333343E-3</v>
      </c>
      <c r="AQ52" s="536">
        <f t="shared" si="26"/>
        <v>7.5833333333333343E-3</v>
      </c>
      <c r="AR52" s="536">
        <f t="shared" si="26"/>
        <v>7.5833333333333343E-3</v>
      </c>
      <c r="AS52" s="536">
        <f t="shared" si="26"/>
        <v>7.5833333333333343E-3</v>
      </c>
      <c r="AT52" s="536">
        <f t="shared" si="26"/>
        <v>7.5833333333333343E-3</v>
      </c>
      <c r="AU52" s="536">
        <f t="shared" si="26"/>
        <v>7.5833333333333343E-3</v>
      </c>
      <c r="AV52" s="536">
        <f t="shared" si="26"/>
        <v>7.5833333333333343E-3</v>
      </c>
      <c r="AW52" s="536">
        <f t="shared" si="26"/>
        <v>7.5833333333333343E-3</v>
      </c>
      <c r="AX52" s="536">
        <f t="shared" si="26"/>
        <v>7.5833333333333343E-3</v>
      </c>
      <c r="AY52" s="536">
        <f t="shared" si="26"/>
        <v>7.5833333333333343E-3</v>
      </c>
      <c r="AZ52" s="536">
        <f t="shared" si="26"/>
        <v>7.5833333333333343E-3</v>
      </c>
      <c r="BA52" s="536">
        <f t="shared" si="26"/>
        <v>7.5833333333333343E-3</v>
      </c>
      <c r="BB52" s="536">
        <f t="shared" si="26"/>
        <v>7.5833333333333343E-3</v>
      </c>
      <c r="BC52" s="536">
        <f t="shared" si="26"/>
        <v>7.5833333333333343E-3</v>
      </c>
      <c r="BD52" s="536">
        <f t="shared" si="26"/>
        <v>7.5833333333333343E-3</v>
      </c>
      <c r="BE52" s="536">
        <f t="shared" si="26"/>
        <v>7.5833333333333343E-3</v>
      </c>
      <c r="BF52" s="536">
        <f t="shared" si="26"/>
        <v>7.5833333333333343E-3</v>
      </c>
      <c r="BG52" s="536">
        <f t="shared" si="26"/>
        <v>7.5833333333333343E-3</v>
      </c>
      <c r="BH52" s="536">
        <f t="shared" si="26"/>
        <v>7.5833333333333343E-3</v>
      </c>
      <c r="BI52" s="536">
        <f t="shared" si="26"/>
        <v>7.5833333333333343E-3</v>
      </c>
      <c r="BJ52" s="536">
        <f t="shared" si="26"/>
        <v>7.5833333333333343E-3</v>
      </c>
      <c r="BK52" s="536">
        <f t="shared" si="26"/>
        <v>7.5833333333333343E-3</v>
      </c>
      <c r="BL52" s="536">
        <f t="shared" si="26"/>
        <v>7.5833333333333343E-3</v>
      </c>
      <c r="BM52" s="536">
        <f t="shared" si="26"/>
        <v>7.5833333333333343E-3</v>
      </c>
      <c r="BN52" s="536">
        <f t="shared" si="26"/>
        <v>7.5833333333333343E-3</v>
      </c>
      <c r="BO52" s="536">
        <f t="shared" si="26"/>
        <v>7.5833333333333343E-3</v>
      </c>
      <c r="BP52" s="536">
        <f t="shared" si="26"/>
        <v>7.5833333333333343E-3</v>
      </c>
      <c r="BQ52" s="536">
        <f t="shared" si="26"/>
        <v>7.5833333333333343E-3</v>
      </c>
      <c r="BR52" s="536">
        <f t="shared" si="26"/>
        <v>7.5833333333333343E-3</v>
      </c>
      <c r="BS52" s="536">
        <f t="shared" si="26"/>
        <v>7.5833333333333343E-3</v>
      </c>
      <c r="BT52" s="536">
        <f t="shared" si="26"/>
        <v>7.5833333333333343E-3</v>
      </c>
      <c r="BU52" s="536">
        <f t="shared" si="26"/>
        <v>7.5833333333333343E-3</v>
      </c>
      <c r="BV52" s="536">
        <f t="shared" si="26"/>
        <v>7.5833333333333343E-3</v>
      </c>
      <c r="BW52" s="536">
        <f t="shared" si="26"/>
        <v>7.5833333333333343E-3</v>
      </c>
      <c r="BX52" s="536">
        <f t="shared" si="26"/>
        <v>7.5833333333333343E-3</v>
      </c>
      <c r="BY52" s="536">
        <f t="shared" si="26"/>
        <v>7.5833333333333343E-3</v>
      </c>
      <c r="BZ52" s="536">
        <f t="shared" si="26"/>
        <v>7.5833333333333343E-3</v>
      </c>
      <c r="CA52" s="536">
        <f t="shared" si="26"/>
        <v>7.5833333333333343E-3</v>
      </c>
      <c r="CB52" s="536">
        <f t="shared" si="26"/>
        <v>7.5833333333333343E-3</v>
      </c>
      <c r="CC52" s="536">
        <f t="shared" si="26"/>
        <v>7.5833333333333343E-3</v>
      </c>
      <c r="CD52" s="536">
        <f t="shared" si="26"/>
        <v>7.5833333333333343E-3</v>
      </c>
      <c r="CE52" s="536">
        <f t="shared" si="26"/>
        <v>7.5833333333333343E-3</v>
      </c>
      <c r="CF52" s="536">
        <f t="shared" si="26"/>
        <v>7.5833333333333343E-3</v>
      </c>
      <c r="CG52" s="536">
        <f t="shared" si="26"/>
        <v>7.5833333333333343E-3</v>
      </c>
      <c r="CH52" s="536">
        <f t="shared" si="26"/>
        <v>7.5833333333333343E-3</v>
      </c>
      <c r="CI52" s="536">
        <f t="shared" si="26"/>
        <v>7.5833333333333343E-3</v>
      </c>
      <c r="CJ52" s="536">
        <f t="shared" si="26"/>
        <v>7.5833333333333343E-3</v>
      </c>
      <c r="CK52" s="536">
        <f t="shared" si="26"/>
        <v>7.5833333333333343E-3</v>
      </c>
      <c r="CL52" s="536">
        <f t="shared" si="26"/>
        <v>7.5833333333333343E-3</v>
      </c>
      <c r="CM52" s="536">
        <f t="shared" si="26"/>
        <v>7.5833333333333343E-3</v>
      </c>
      <c r="CN52" s="536">
        <f t="shared" si="26"/>
        <v>7.5833333333333343E-3</v>
      </c>
      <c r="CO52" s="536">
        <f t="shared" si="26"/>
        <v>7.5833333333333343E-3</v>
      </c>
      <c r="CP52" s="536">
        <f t="shared" si="26"/>
        <v>7.5833333333333343E-3</v>
      </c>
      <c r="CQ52" s="536">
        <f t="shared" si="26"/>
        <v>7.5833333333333343E-3</v>
      </c>
      <c r="CR52" s="536">
        <f t="shared" si="26"/>
        <v>7.5833333333333343E-3</v>
      </c>
      <c r="CS52" s="536">
        <f t="shared" si="26"/>
        <v>7.5833333333333343E-3</v>
      </c>
      <c r="CT52" s="536">
        <f t="shared" si="26"/>
        <v>7.5833333333333343E-3</v>
      </c>
      <c r="CU52" s="536">
        <f t="shared" si="26"/>
        <v>7.5833333333333343E-3</v>
      </c>
      <c r="CV52" s="536">
        <f t="shared" si="26"/>
        <v>7.5833333333333343E-3</v>
      </c>
      <c r="CW52" s="536">
        <f t="shared" si="26"/>
        <v>7.5833333333333343E-3</v>
      </c>
      <c r="CX52" s="536">
        <f t="shared" si="26"/>
        <v>7.5833333333333343E-3</v>
      </c>
      <c r="CY52" s="536">
        <f t="shared" si="26"/>
        <v>7.5833333333333343E-3</v>
      </c>
      <c r="CZ52" s="536">
        <f t="shared" si="26"/>
        <v>7.5833333333333343E-3</v>
      </c>
      <c r="DA52" s="536">
        <f t="shared" si="26"/>
        <v>7.5833333333333343E-3</v>
      </c>
      <c r="DB52" s="536">
        <f t="shared" si="26"/>
        <v>7.5833333333333343E-3</v>
      </c>
      <c r="DC52" s="536">
        <f t="shared" si="26"/>
        <v>7.5833333333333343E-3</v>
      </c>
      <c r="DD52" s="536">
        <f t="shared" si="26"/>
        <v>7.5833333333333343E-3</v>
      </c>
      <c r="DE52" s="536">
        <f t="shared" si="26"/>
        <v>7.5833333333333343E-3</v>
      </c>
      <c r="DF52" s="289"/>
      <c r="DG52" s="289"/>
      <c r="DH52" s="289"/>
      <c r="DI52" s="289"/>
      <c r="DJ52" s="289"/>
      <c r="DK52" s="289"/>
      <c r="DL52" s="289"/>
    </row>
    <row r="53" spans="1:134" ht="15.75" customHeight="1" x14ac:dyDescent="0.25">
      <c r="A53" s="751"/>
      <c r="B53" s="751"/>
      <c r="C53" s="347" t="s">
        <v>290</v>
      </c>
      <c r="D53" s="530"/>
      <c r="E53" s="531"/>
      <c r="F53" s="532"/>
      <c r="G53" s="533"/>
      <c r="H53" s="372">
        <f>H52*'Unit Costs and Indicators'!$A$131</f>
        <v>1.5940821448275864</v>
      </c>
      <c r="I53" s="336">
        <f>I52*'Unit Costs and Indicators'!$A$131</f>
        <v>1.5940821448275864</v>
      </c>
      <c r="J53" s="336">
        <f>J52*'Unit Costs and Indicators'!$A$131</f>
        <v>1.5940821448275864</v>
      </c>
      <c r="K53" s="336">
        <f>K52*'Unit Costs and Indicators'!$A$131</f>
        <v>1.5940821448275864</v>
      </c>
      <c r="L53" s="336">
        <f>L52*'Unit Costs and Indicators'!$A$131</f>
        <v>1.5940821448275864</v>
      </c>
      <c r="M53" s="336">
        <f>M52*'Unit Costs and Indicators'!$A$131</f>
        <v>1.5940821448275864</v>
      </c>
      <c r="N53" s="336">
        <f>N52*'Unit Costs and Indicators'!$A$131</f>
        <v>1.5940821448275864</v>
      </c>
      <c r="O53" s="336">
        <f>O52*'Unit Costs and Indicators'!$A$131</f>
        <v>1.5940821448275864</v>
      </c>
      <c r="P53" s="336">
        <f>P52*'Unit Costs and Indicators'!$A$131</f>
        <v>1.5940821448275864</v>
      </c>
      <c r="Q53" s="336">
        <f>Q52*'Unit Costs and Indicators'!$A$131</f>
        <v>1.5940821448275864</v>
      </c>
      <c r="R53" s="336">
        <f>R52*'Unit Costs and Indicators'!$A$131</f>
        <v>1.5940821448275864</v>
      </c>
      <c r="S53" s="336">
        <f>S52*'Unit Costs and Indicators'!$A$131</f>
        <v>1.5940821448275864</v>
      </c>
      <c r="T53" s="336">
        <f>T52*'Unit Costs and Indicators'!$A$131</f>
        <v>1.5940821448275864</v>
      </c>
      <c r="U53" s="336">
        <f>U52*'Unit Costs and Indicators'!$A$131</f>
        <v>1.5940821448275864</v>
      </c>
      <c r="V53" s="336">
        <f>V52*'Unit Costs and Indicators'!$A$131</f>
        <v>1.5940821448275864</v>
      </c>
      <c r="W53" s="336">
        <f>W52*'Unit Costs and Indicators'!$A$131</f>
        <v>1.5940821448275864</v>
      </c>
      <c r="X53" s="336">
        <f>X52*'Unit Costs and Indicators'!$A$131</f>
        <v>1.5940821448275864</v>
      </c>
      <c r="Y53" s="336">
        <f>Y52*'Unit Costs and Indicators'!$A$131</f>
        <v>1.5940821448275864</v>
      </c>
      <c r="Z53" s="336">
        <f>Z52*'Unit Costs and Indicators'!$A$131</f>
        <v>1.5940821448275864</v>
      </c>
      <c r="AA53" s="336">
        <f>AA52*'Unit Costs and Indicators'!$A$131</f>
        <v>1.5940821448275864</v>
      </c>
      <c r="AB53" s="336">
        <f>AB52*'Unit Costs and Indicators'!$A$131</f>
        <v>1.5940821448275864</v>
      </c>
      <c r="AC53" s="336">
        <f>AC52*'Unit Costs and Indicators'!$A$131</f>
        <v>1.5940821448275864</v>
      </c>
      <c r="AD53" s="336">
        <f>AD52*'Unit Costs and Indicators'!$A$131</f>
        <v>1.5940821448275864</v>
      </c>
      <c r="AE53" s="336">
        <f>AE52*'Unit Costs and Indicators'!$A$131</f>
        <v>1.5940821448275864</v>
      </c>
      <c r="AF53" s="336">
        <f>AF52*'Unit Costs and Indicators'!$A$131</f>
        <v>1.5940821448275864</v>
      </c>
      <c r="AG53" s="336">
        <f>AG52*'Unit Costs and Indicators'!$A$131</f>
        <v>1.5940821448275864</v>
      </c>
      <c r="AH53" s="336">
        <f>AH52*'Unit Costs and Indicators'!$A$131</f>
        <v>1.5940821448275864</v>
      </c>
      <c r="AI53" s="336">
        <f>AI52*'Unit Costs and Indicators'!$A$131</f>
        <v>1.5940821448275864</v>
      </c>
      <c r="AJ53" s="336">
        <f>AJ52*'Unit Costs and Indicators'!$A$131</f>
        <v>1.5940821448275864</v>
      </c>
      <c r="AK53" s="336">
        <f>AK52*'Unit Costs and Indicators'!$A$131</f>
        <v>1.5940821448275864</v>
      </c>
      <c r="AL53" s="336">
        <f>AL52*'Unit Costs and Indicators'!$A$131</f>
        <v>1.5940821448275864</v>
      </c>
      <c r="AM53" s="336">
        <f>AM52*'Unit Costs and Indicators'!$A$131</f>
        <v>1.5940821448275864</v>
      </c>
      <c r="AN53" s="336">
        <f>AN52*'Unit Costs and Indicators'!$A$131</f>
        <v>1.5940821448275864</v>
      </c>
      <c r="AO53" s="336">
        <f>AO52*'Unit Costs and Indicators'!$A$131</f>
        <v>1.5940821448275864</v>
      </c>
      <c r="AP53" s="336">
        <f>AP52*'Unit Costs and Indicators'!$A$131</f>
        <v>1.5940821448275864</v>
      </c>
      <c r="AQ53" s="336">
        <f>AQ52*'Unit Costs and Indicators'!$A$131</f>
        <v>1.5940821448275864</v>
      </c>
      <c r="AR53" s="336">
        <f>AR52*'Unit Costs and Indicators'!$A$131</f>
        <v>1.5940821448275864</v>
      </c>
      <c r="AS53" s="336">
        <f>AS52*'Unit Costs and Indicators'!$A$131</f>
        <v>1.5940821448275864</v>
      </c>
      <c r="AT53" s="336">
        <f>AT52*'Unit Costs and Indicators'!$A$131</f>
        <v>1.5940821448275864</v>
      </c>
      <c r="AU53" s="336">
        <f>AU52*'Unit Costs and Indicators'!$A$131</f>
        <v>1.5940821448275864</v>
      </c>
      <c r="AV53" s="336">
        <f>AV52*'Unit Costs and Indicators'!$A$131</f>
        <v>1.5940821448275864</v>
      </c>
      <c r="AW53" s="336">
        <f>AW52*'Unit Costs and Indicators'!$A$131</f>
        <v>1.5940821448275864</v>
      </c>
      <c r="AX53" s="336">
        <f>AX52*'Unit Costs and Indicators'!$A$131</f>
        <v>1.5940821448275864</v>
      </c>
      <c r="AY53" s="336">
        <f>AY52*'Unit Costs and Indicators'!$A$131</f>
        <v>1.5940821448275864</v>
      </c>
      <c r="AZ53" s="336">
        <f>AZ52*'Unit Costs and Indicators'!$A$131</f>
        <v>1.5940821448275864</v>
      </c>
      <c r="BA53" s="336">
        <f>BA52*'Unit Costs and Indicators'!$A$131</f>
        <v>1.5940821448275864</v>
      </c>
      <c r="BB53" s="336">
        <f>BB52*'Unit Costs and Indicators'!$A$131</f>
        <v>1.5940821448275864</v>
      </c>
      <c r="BC53" s="336">
        <f>BC52*'Unit Costs and Indicators'!$A$131</f>
        <v>1.5940821448275864</v>
      </c>
      <c r="BD53" s="336">
        <f>BD52*'Unit Costs and Indicators'!$A$131</f>
        <v>1.5940821448275864</v>
      </c>
      <c r="BE53" s="336">
        <f>BE52*'Unit Costs and Indicators'!$A$131</f>
        <v>1.5940821448275864</v>
      </c>
      <c r="BF53" s="336">
        <f>BF52*'Unit Costs and Indicators'!$A$131</f>
        <v>1.5940821448275864</v>
      </c>
      <c r="BG53" s="336">
        <f>BG52*'Unit Costs and Indicators'!$A$131</f>
        <v>1.5940821448275864</v>
      </c>
      <c r="BH53" s="336">
        <f>BH52*'Unit Costs and Indicators'!$A$131</f>
        <v>1.5940821448275864</v>
      </c>
      <c r="BI53" s="336">
        <f>BI52*'Unit Costs and Indicators'!$A$131</f>
        <v>1.5940821448275864</v>
      </c>
      <c r="BJ53" s="336">
        <f>BJ52*'Unit Costs and Indicators'!$A$131</f>
        <v>1.5940821448275864</v>
      </c>
      <c r="BK53" s="336">
        <f>BK52*'Unit Costs and Indicators'!$A$131</f>
        <v>1.5940821448275864</v>
      </c>
      <c r="BL53" s="336">
        <f>BL52*'Unit Costs and Indicators'!$A$131</f>
        <v>1.5940821448275864</v>
      </c>
      <c r="BM53" s="336">
        <f>BM52*'Unit Costs and Indicators'!$A$131</f>
        <v>1.5940821448275864</v>
      </c>
      <c r="BN53" s="336">
        <f>BN52*'Unit Costs and Indicators'!$A$131</f>
        <v>1.5940821448275864</v>
      </c>
      <c r="BO53" s="336">
        <f>BO52*'Unit Costs and Indicators'!$A$131</f>
        <v>1.5940821448275864</v>
      </c>
      <c r="BP53" s="336">
        <f>BP52*'Unit Costs and Indicators'!$A$131</f>
        <v>1.5940821448275864</v>
      </c>
      <c r="BQ53" s="336">
        <f>BQ52*'Unit Costs and Indicators'!$A$131</f>
        <v>1.5940821448275864</v>
      </c>
      <c r="BR53" s="336">
        <f>BR52*'Unit Costs and Indicators'!$A$131</f>
        <v>1.5940821448275864</v>
      </c>
      <c r="BS53" s="336">
        <f>BS52*'Unit Costs and Indicators'!$A$131</f>
        <v>1.5940821448275864</v>
      </c>
      <c r="BT53" s="336">
        <f>BT52*'Unit Costs and Indicators'!$A$131</f>
        <v>1.5940821448275864</v>
      </c>
      <c r="BU53" s="336">
        <f>BU52*'Unit Costs and Indicators'!$A$131</f>
        <v>1.5940821448275864</v>
      </c>
      <c r="BV53" s="336">
        <f>BV52*'Unit Costs and Indicators'!$A$131</f>
        <v>1.5940821448275864</v>
      </c>
      <c r="BW53" s="336">
        <f>BW52*'Unit Costs and Indicators'!$A$131</f>
        <v>1.5940821448275864</v>
      </c>
      <c r="BX53" s="336">
        <f>BX52*'Unit Costs and Indicators'!$A$131</f>
        <v>1.5940821448275864</v>
      </c>
      <c r="BY53" s="336">
        <f>BY52*'Unit Costs and Indicators'!$A$131</f>
        <v>1.5940821448275864</v>
      </c>
      <c r="BZ53" s="336">
        <f>BZ52*'Unit Costs and Indicators'!$A$131</f>
        <v>1.5940821448275864</v>
      </c>
      <c r="CA53" s="336">
        <f>CA52*'Unit Costs and Indicators'!$A$131</f>
        <v>1.5940821448275864</v>
      </c>
      <c r="CB53" s="336">
        <f>CB52*'Unit Costs and Indicators'!$A$131</f>
        <v>1.5940821448275864</v>
      </c>
      <c r="CC53" s="336">
        <f>CC52*'Unit Costs and Indicators'!$A$131</f>
        <v>1.5940821448275864</v>
      </c>
      <c r="CD53" s="336">
        <f>CD52*'Unit Costs and Indicators'!$A$131</f>
        <v>1.5940821448275864</v>
      </c>
      <c r="CE53" s="336">
        <f>CE52*'Unit Costs and Indicators'!$A$131</f>
        <v>1.5940821448275864</v>
      </c>
      <c r="CF53" s="336">
        <f>CF52*'Unit Costs and Indicators'!$A$131</f>
        <v>1.5940821448275864</v>
      </c>
      <c r="CG53" s="336">
        <f>CG52*'Unit Costs and Indicators'!$A$131</f>
        <v>1.5940821448275864</v>
      </c>
      <c r="CH53" s="336">
        <f>CH52*'Unit Costs and Indicators'!$A$131</f>
        <v>1.5940821448275864</v>
      </c>
      <c r="CI53" s="336">
        <f>CI52*'Unit Costs and Indicators'!$A$131</f>
        <v>1.5940821448275864</v>
      </c>
      <c r="CJ53" s="336">
        <f>CJ52*'Unit Costs and Indicators'!$A$131</f>
        <v>1.5940821448275864</v>
      </c>
      <c r="CK53" s="336">
        <f>CK52*'Unit Costs and Indicators'!$A$131</f>
        <v>1.5940821448275864</v>
      </c>
      <c r="CL53" s="336">
        <f>CL52*'Unit Costs and Indicators'!$A$131</f>
        <v>1.5940821448275864</v>
      </c>
      <c r="CM53" s="336">
        <f>CM52*'Unit Costs and Indicators'!$A$131</f>
        <v>1.5940821448275864</v>
      </c>
      <c r="CN53" s="336">
        <f>CN52*'Unit Costs and Indicators'!$A$131</f>
        <v>1.5940821448275864</v>
      </c>
      <c r="CO53" s="336">
        <f>CO52*'Unit Costs and Indicators'!$A$131</f>
        <v>1.5940821448275864</v>
      </c>
      <c r="CP53" s="336">
        <f>CP52*'Unit Costs and Indicators'!$A$131</f>
        <v>1.5940821448275864</v>
      </c>
      <c r="CQ53" s="336">
        <f>CQ52*'Unit Costs and Indicators'!$A$131</f>
        <v>1.5940821448275864</v>
      </c>
      <c r="CR53" s="336">
        <f>CR52*'Unit Costs and Indicators'!$A$131</f>
        <v>1.5940821448275864</v>
      </c>
      <c r="CS53" s="336">
        <f>CS52*'Unit Costs and Indicators'!$A$131</f>
        <v>1.5940821448275864</v>
      </c>
      <c r="CT53" s="336">
        <f>CT52*'Unit Costs and Indicators'!$A$131</f>
        <v>1.5940821448275864</v>
      </c>
      <c r="CU53" s="336">
        <f>CU52*'Unit Costs and Indicators'!$A$131</f>
        <v>1.5940821448275864</v>
      </c>
      <c r="CV53" s="336">
        <f>CV52*'Unit Costs and Indicators'!$A$131</f>
        <v>1.5940821448275864</v>
      </c>
      <c r="CW53" s="336">
        <f>CW52*'Unit Costs and Indicators'!$A$131</f>
        <v>1.5940821448275864</v>
      </c>
      <c r="CX53" s="336">
        <f>CX52*'Unit Costs and Indicators'!$A$131</f>
        <v>1.5940821448275864</v>
      </c>
      <c r="CY53" s="336">
        <f>CY52*'Unit Costs and Indicators'!$A$131</f>
        <v>1.5940821448275864</v>
      </c>
      <c r="CZ53" s="336">
        <f>CZ52*'Unit Costs and Indicators'!$A$131</f>
        <v>1.5940821448275864</v>
      </c>
      <c r="DA53" s="336">
        <f>DA52*'Unit Costs and Indicators'!$A$131</f>
        <v>1.5940821448275864</v>
      </c>
      <c r="DB53" s="336">
        <f>DB52*'Unit Costs and Indicators'!$A$131</f>
        <v>1.5940821448275864</v>
      </c>
      <c r="DC53" s="336">
        <f>DC52*'Unit Costs and Indicators'!$A$131</f>
        <v>1.5940821448275864</v>
      </c>
      <c r="DD53" s="336">
        <f>DD52*'Unit Costs and Indicators'!$A$131</f>
        <v>1.5940821448275864</v>
      </c>
      <c r="DE53" s="336">
        <f>DE52*'Unit Costs and Indicators'!$A$131</f>
        <v>1.5940821448275864</v>
      </c>
      <c r="DF53" s="301"/>
      <c r="DG53" s="301"/>
      <c r="DH53" s="301"/>
      <c r="DI53" s="301"/>
      <c r="DJ53" s="301"/>
      <c r="DK53" s="301"/>
      <c r="DL53" s="301"/>
    </row>
    <row r="54" spans="1:134" ht="15.75" customHeight="1" x14ac:dyDescent="0.25">
      <c r="A54" s="751"/>
      <c r="B54" s="380"/>
      <c r="C54" s="355" t="s">
        <v>244</v>
      </c>
      <c r="D54" s="356" t="s">
        <v>247</v>
      </c>
      <c r="E54" s="357"/>
      <c r="F54" s="316" t="s">
        <v>14</v>
      </c>
      <c r="G54" s="317">
        <f t="shared" ref="G54:G55" si="27">NPV($C$4, J54:DE54)+I54</f>
        <v>514.36578742210861</v>
      </c>
      <c r="H54" s="359">
        <f t="shared" ref="H54:I54" si="28">H53+H48</f>
        <v>11.511096948640587</v>
      </c>
      <c r="I54" s="514">
        <f t="shared" si="28"/>
        <v>11.511096948640587</v>
      </c>
      <c r="J54" s="514">
        <f t="shared" ref="J54:DE54" si="29">(J53+J48)*(1 + $C$3)^(J5 - $I$5)</f>
        <v>11.741318887613399</v>
      </c>
      <c r="K54" s="514">
        <f t="shared" si="29"/>
        <v>11.976145265365666</v>
      </c>
      <c r="L54" s="514">
        <f t="shared" si="29"/>
        <v>12.215668170672979</v>
      </c>
      <c r="M54" s="514">
        <f t="shared" si="29"/>
        <v>12.45998153408644</v>
      </c>
      <c r="N54" s="514">
        <f t="shared" si="29"/>
        <v>12.709181164768168</v>
      </c>
      <c r="O54" s="514">
        <f t="shared" si="29"/>
        <v>12.963364788063533</v>
      </c>
      <c r="P54" s="514">
        <f t="shared" si="29"/>
        <v>13.2226320838248</v>
      </c>
      <c r="Q54" s="514">
        <f t="shared" si="29"/>
        <v>13.487084725501298</v>
      </c>
      <c r="R54" s="514">
        <f t="shared" si="29"/>
        <v>13.756826420011324</v>
      </c>
      <c r="S54" s="514">
        <f t="shared" si="29"/>
        <v>14.03196294841155</v>
      </c>
      <c r="T54" s="514">
        <f t="shared" si="29"/>
        <v>14.312602207379779</v>
      </c>
      <c r="U54" s="514">
        <f t="shared" si="29"/>
        <v>14.598854251527376</v>
      </c>
      <c r="V54" s="514">
        <f t="shared" si="29"/>
        <v>14.890831336557923</v>
      </c>
      <c r="W54" s="514">
        <f t="shared" si="29"/>
        <v>15.188647963289084</v>
      </c>
      <c r="X54" s="514">
        <f t="shared" si="29"/>
        <v>15.49242092255486</v>
      </c>
      <c r="Y54" s="514">
        <f t="shared" si="29"/>
        <v>15.80226934100596</v>
      </c>
      <c r="Z54" s="514">
        <f t="shared" si="29"/>
        <v>16.118314727826082</v>
      </c>
      <c r="AA54" s="514">
        <f t="shared" si="29"/>
        <v>16.440681022382602</v>
      </c>
      <c r="AB54" s="514">
        <f t="shared" si="29"/>
        <v>16.769494642830253</v>
      </c>
      <c r="AC54" s="514">
        <f t="shared" si="29"/>
        <v>17.10488453568686</v>
      </c>
      <c r="AD54" s="514">
        <f t="shared" si="29"/>
        <v>17.446982226400596</v>
      </c>
      <c r="AE54" s="514">
        <f t="shared" si="29"/>
        <v>17.795921870928609</v>
      </c>
      <c r="AF54" s="514">
        <f t="shared" si="29"/>
        <v>18.151840308347175</v>
      </c>
      <c r="AG54" s="514">
        <f t="shared" si="29"/>
        <v>18.514877114514121</v>
      </c>
      <c r="AH54" s="514">
        <f t="shared" si="29"/>
        <v>18.885174656804402</v>
      </c>
      <c r="AI54" s="514">
        <f t="shared" si="29"/>
        <v>19.262878149940494</v>
      </c>
      <c r="AJ54" s="514">
        <f t="shared" si="29"/>
        <v>19.6481357129393</v>
      </c>
      <c r="AK54" s="514">
        <f t="shared" si="29"/>
        <v>20.04109842719809</v>
      </c>
      <c r="AL54" s="514">
        <f t="shared" si="29"/>
        <v>20.441920395742049</v>
      </c>
      <c r="AM54" s="514">
        <f t="shared" si="29"/>
        <v>20.850758803656891</v>
      </c>
      <c r="AN54" s="514">
        <f t="shared" si="29"/>
        <v>21.267773979730023</v>
      </c>
      <c r="AO54" s="514">
        <f t="shared" si="29"/>
        <v>21.693129459324631</v>
      </c>
      <c r="AP54" s="514">
        <f t="shared" si="29"/>
        <v>22.126992048511124</v>
      </c>
      <c r="AQ54" s="514">
        <f t="shared" si="29"/>
        <v>22.569531889481343</v>
      </c>
      <c r="AR54" s="514">
        <f t="shared" si="29"/>
        <v>23.020922527270969</v>
      </c>
      <c r="AS54" s="514">
        <f t="shared" si="29"/>
        <v>23.481340977816387</v>
      </c>
      <c r="AT54" s="514">
        <f t="shared" si="29"/>
        <v>23.950967797372719</v>
      </c>
      <c r="AU54" s="514">
        <f t="shared" si="29"/>
        <v>24.429987153320177</v>
      </c>
      <c r="AV54" s="514">
        <f t="shared" si="29"/>
        <v>24.918586896386572</v>
      </c>
      <c r="AW54" s="514">
        <f t="shared" si="29"/>
        <v>25.416958634314309</v>
      </c>
      <c r="AX54" s="514">
        <f t="shared" si="29"/>
        <v>25.925297807000593</v>
      </c>
      <c r="AY54" s="514">
        <f t="shared" si="29"/>
        <v>26.443803763140604</v>
      </c>
      <c r="AZ54" s="514">
        <f t="shared" si="29"/>
        <v>26.972679838403415</v>
      </c>
      <c r="BA54" s="514">
        <f t="shared" si="29"/>
        <v>27.512133435171489</v>
      </c>
      <c r="BB54" s="514">
        <f t="shared" si="29"/>
        <v>28.062376103874914</v>
      </c>
      <c r="BC54" s="514">
        <f t="shared" si="29"/>
        <v>28.623623625952415</v>
      </c>
      <c r="BD54" s="514">
        <f t="shared" si="29"/>
        <v>29.196096098471454</v>
      </c>
      <c r="BE54" s="514">
        <f t="shared" si="29"/>
        <v>29.780018020440888</v>
      </c>
      <c r="BF54" s="514">
        <f t="shared" si="29"/>
        <v>30.375618380849708</v>
      </c>
      <c r="BG54" s="514">
        <f t="shared" si="29"/>
        <v>30.983130748466703</v>
      </c>
      <c r="BH54" s="514">
        <f t="shared" si="29"/>
        <v>31.602793363436032</v>
      </c>
      <c r="BI54" s="514">
        <f t="shared" si="29"/>
        <v>32.234849230704761</v>
      </c>
      <c r="BJ54" s="514">
        <f t="shared" si="29"/>
        <v>32.879546215318847</v>
      </c>
      <c r="BK54" s="514">
        <f t="shared" si="29"/>
        <v>33.53713713962523</v>
      </c>
      <c r="BL54" s="514">
        <f t="shared" si="29"/>
        <v>34.207879882417728</v>
      </c>
      <c r="BM54" s="514">
        <f t="shared" si="29"/>
        <v>34.89203748006608</v>
      </c>
      <c r="BN54" s="514">
        <f t="shared" si="29"/>
        <v>35.589878229667406</v>
      </c>
      <c r="BO54" s="514">
        <f t="shared" si="29"/>
        <v>36.301675794260753</v>
      </c>
      <c r="BP54" s="514">
        <f t="shared" si="29"/>
        <v>37.027709310145966</v>
      </c>
      <c r="BQ54" s="514">
        <f t="shared" si="29"/>
        <v>37.768263496348894</v>
      </c>
      <c r="BR54" s="514">
        <f t="shared" si="29"/>
        <v>38.523628766275863</v>
      </c>
      <c r="BS54" s="514">
        <f t="shared" si="29"/>
        <v>39.294101341601383</v>
      </c>
      <c r="BT54" s="514">
        <f t="shared" si="29"/>
        <v>40.079983368433403</v>
      </c>
      <c r="BU54" s="514">
        <f t="shared" si="29"/>
        <v>40.88158303580208</v>
      </c>
      <c r="BV54" s="514">
        <f t="shared" si="29"/>
        <v>41.699214696518126</v>
      </c>
      <c r="BW54" s="514">
        <f t="shared" si="29"/>
        <v>42.533198990448483</v>
      </c>
      <c r="BX54" s="514">
        <f t="shared" si="29"/>
        <v>43.383862970257454</v>
      </c>
      <c r="BY54" s="514">
        <f t="shared" si="29"/>
        <v>44.251540229662602</v>
      </c>
      <c r="BZ54" s="514">
        <f t="shared" si="29"/>
        <v>45.136571034255851</v>
      </c>
      <c r="CA54" s="514">
        <f t="shared" si="29"/>
        <v>46.039302454940973</v>
      </c>
      <c r="CB54" s="514">
        <f t="shared" si="29"/>
        <v>46.960088504039788</v>
      </c>
      <c r="CC54" s="514">
        <f t="shared" si="29"/>
        <v>47.899290274120588</v>
      </c>
      <c r="CD54" s="514">
        <f t="shared" si="29"/>
        <v>48.857276079602997</v>
      </c>
      <c r="CE54" s="514">
        <f t="shared" si="29"/>
        <v>49.834421601195061</v>
      </c>
      <c r="CF54" s="514">
        <f t="shared" si="29"/>
        <v>50.831110033218948</v>
      </c>
      <c r="CG54" s="514">
        <f t="shared" si="29"/>
        <v>51.847732233883342</v>
      </c>
      <c r="CH54" s="514">
        <f t="shared" si="29"/>
        <v>52.884686878561006</v>
      </c>
      <c r="CI54" s="514">
        <f t="shared" si="29"/>
        <v>53.942380616132226</v>
      </c>
      <c r="CJ54" s="514">
        <f t="shared" si="29"/>
        <v>55.021228228454859</v>
      </c>
      <c r="CK54" s="514">
        <f t="shared" si="29"/>
        <v>56.121652793023962</v>
      </c>
      <c r="CL54" s="514">
        <f t="shared" si="29"/>
        <v>57.244085848884438</v>
      </c>
      <c r="CM54" s="514">
        <f t="shared" si="29"/>
        <v>58.388967565862124</v>
      </c>
      <c r="CN54" s="514">
        <f t="shared" si="29"/>
        <v>59.556746917179368</v>
      </c>
      <c r="CO54" s="514">
        <f t="shared" si="29"/>
        <v>60.747881855522962</v>
      </c>
      <c r="CP54" s="514">
        <f t="shared" si="29"/>
        <v>61.962839492633421</v>
      </c>
      <c r="CQ54" s="514">
        <f t="shared" si="29"/>
        <v>63.202096282486089</v>
      </c>
      <c r="CR54" s="514">
        <f t="shared" si="29"/>
        <v>64.466138208135789</v>
      </c>
      <c r="CS54" s="514">
        <f t="shared" si="29"/>
        <v>65.755460972298522</v>
      </c>
      <c r="CT54" s="514">
        <f t="shared" si="29"/>
        <v>67.070570191744494</v>
      </c>
      <c r="CU54" s="514">
        <f t="shared" si="29"/>
        <v>68.411981595579391</v>
      </c>
      <c r="CV54" s="514">
        <f t="shared" si="29"/>
        <v>69.780221227490955</v>
      </c>
      <c r="CW54" s="514">
        <f t="shared" si="29"/>
        <v>71.1758256520408</v>
      </c>
      <c r="CX54" s="514">
        <f t="shared" si="29"/>
        <v>72.599342165081609</v>
      </c>
      <c r="CY54" s="514">
        <f t="shared" si="29"/>
        <v>74.051329008383235</v>
      </c>
      <c r="CZ54" s="514">
        <f t="shared" si="29"/>
        <v>75.532355588550885</v>
      </c>
      <c r="DA54" s="514">
        <f t="shared" si="29"/>
        <v>77.043002700321921</v>
      </c>
      <c r="DB54" s="514">
        <f t="shared" si="29"/>
        <v>78.583862754328365</v>
      </c>
      <c r="DC54" s="514">
        <f t="shared" si="29"/>
        <v>80.155540009414921</v>
      </c>
      <c r="DD54" s="514">
        <f t="shared" si="29"/>
        <v>81.758650809603225</v>
      </c>
      <c r="DE54" s="514">
        <f t="shared" si="29"/>
        <v>83.39382382579528</v>
      </c>
      <c r="DF54" s="428"/>
      <c r="DG54" s="428"/>
      <c r="DH54" s="428"/>
      <c r="DI54" s="428"/>
      <c r="DJ54" s="428"/>
      <c r="DK54" s="428"/>
      <c r="DL54" s="428"/>
    </row>
    <row r="55" spans="1:134" ht="15.75" customHeight="1" x14ac:dyDescent="0.25">
      <c r="A55" s="537"/>
      <c r="B55" s="538"/>
      <c r="C55" s="504" t="s">
        <v>393</v>
      </c>
      <c r="D55" s="314" t="s">
        <v>247</v>
      </c>
      <c r="E55" s="451"/>
      <c r="F55" s="316" t="s">
        <v>14</v>
      </c>
      <c r="G55" s="317">
        <f t="shared" si="27"/>
        <v>790955.54962688731</v>
      </c>
      <c r="H55" s="539"/>
      <c r="I55" s="540">
        <f t="shared" ref="I55:DE55" si="30">SUM(I45,I37, I54)</f>
        <v>17700.955694295979</v>
      </c>
      <c r="J55" s="540">
        <f t="shared" si="30"/>
        <v>18054.974808181898</v>
      </c>
      <c r="K55" s="540">
        <f t="shared" si="30"/>
        <v>18416.074304345537</v>
      </c>
      <c r="L55" s="540">
        <f t="shared" si="30"/>
        <v>18784.395790432445</v>
      </c>
      <c r="M55" s="540">
        <f t="shared" si="30"/>
        <v>19160.083706241094</v>
      </c>
      <c r="N55" s="540">
        <f t="shared" si="30"/>
        <v>19543.285380365916</v>
      </c>
      <c r="O55" s="540">
        <f t="shared" si="30"/>
        <v>19934.151087973234</v>
      </c>
      <c r="P55" s="540">
        <f t="shared" si="30"/>
        <v>20332.834109732696</v>
      </c>
      <c r="Q55" s="540">
        <f t="shared" si="30"/>
        <v>20739.49079192735</v>
      </c>
      <c r="R55" s="540">
        <f t="shared" si="30"/>
        <v>21154.280607765901</v>
      </c>
      <c r="S55" s="540">
        <f t="shared" si="30"/>
        <v>21577.366219921216</v>
      </c>
      <c r="T55" s="540">
        <f t="shared" si="30"/>
        <v>22008.913544319639</v>
      </c>
      <c r="U55" s="540">
        <f t="shared" si="30"/>
        <v>22449.091815206033</v>
      </c>
      <c r="V55" s="540">
        <f t="shared" si="30"/>
        <v>22898.073651510156</v>
      </c>
      <c r="W55" s="540">
        <f t="shared" si="30"/>
        <v>23356.035124540362</v>
      </c>
      <c r="X55" s="540">
        <f t="shared" si="30"/>
        <v>23823.155827031162</v>
      </c>
      <c r="Y55" s="540">
        <f t="shared" si="30"/>
        <v>24299.618943571786</v>
      </c>
      <c r="Z55" s="540">
        <f t="shared" si="30"/>
        <v>24785.611322443223</v>
      </c>
      <c r="AA55" s="540">
        <f t="shared" si="30"/>
        <v>25281.323548892087</v>
      </c>
      <c r="AB55" s="540">
        <f t="shared" si="30"/>
        <v>25786.950019869928</v>
      </c>
      <c r="AC55" s="540">
        <f t="shared" si="30"/>
        <v>26302.689020267328</v>
      </c>
      <c r="AD55" s="540">
        <f t="shared" si="30"/>
        <v>26828.742800672673</v>
      </c>
      <c r="AE55" s="540">
        <f t="shared" si="30"/>
        <v>27365.317656686129</v>
      </c>
      <c r="AF55" s="540">
        <f t="shared" si="30"/>
        <v>27912.624009819847</v>
      </c>
      <c r="AG55" s="540">
        <f t="shared" si="30"/>
        <v>28470.876490016246</v>
      </c>
      <c r="AH55" s="540">
        <f t="shared" si="30"/>
        <v>29040.294019816567</v>
      </c>
      <c r="AI55" s="540">
        <f t="shared" si="30"/>
        <v>29621.099900212907</v>
      </c>
      <c r="AJ55" s="540">
        <f t="shared" si="30"/>
        <v>30213.521898217157</v>
      </c>
      <c r="AK55" s="540">
        <f t="shared" si="30"/>
        <v>30817.792336181505</v>
      </c>
      <c r="AL55" s="540">
        <f t="shared" si="30"/>
        <v>31434.14818290513</v>
      </c>
      <c r="AM55" s="540">
        <f t="shared" si="30"/>
        <v>32062.831146563236</v>
      </c>
      <c r="AN55" s="540">
        <f t="shared" si="30"/>
        <v>32704.087769494494</v>
      </c>
      <c r="AO55" s="540">
        <f t="shared" si="30"/>
        <v>33358.16952488439</v>
      </c>
      <c r="AP55" s="540">
        <f t="shared" si="30"/>
        <v>34025.332915382081</v>
      </c>
      <c r="AQ55" s="540">
        <f t="shared" si="30"/>
        <v>34705.839573689722</v>
      </c>
      <c r="AR55" s="540">
        <f t="shared" si="30"/>
        <v>35399.956365163511</v>
      </c>
      <c r="AS55" s="540">
        <f t="shared" si="30"/>
        <v>36107.955492466775</v>
      </c>
      <c r="AT55" s="540">
        <f t="shared" si="30"/>
        <v>36830.11460231612</v>
      </c>
      <c r="AU55" s="540">
        <f t="shared" si="30"/>
        <v>37566.716894362457</v>
      </c>
      <c r="AV55" s="540">
        <f t="shared" si="30"/>
        <v>38318.05123224968</v>
      </c>
      <c r="AW55" s="540">
        <f t="shared" si="30"/>
        <v>39084.412256894684</v>
      </c>
      <c r="AX55" s="540">
        <f t="shared" si="30"/>
        <v>39866.100502032576</v>
      </c>
      <c r="AY55" s="540">
        <f t="shared" si="30"/>
        <v>40663.42251207323</v>
      </c>
      <c r="AZ55" s="540">
        <f t="shared" si="30"/>
        <v>41476.690962314686</v>
      </c>
      <c r="BA55" s="540">
        <f t="shared" si="30"/>
        <v>42306.224781560988</v>
      </c>
      <c r="BB55" s="540">
        <f t="shared" si="30"/>
        <v>43152.34927719221</v>
      </c>
      <c r="BC55" s="540">
        <f t="shared" si="30"/>
        <v>44015.39626273606</v>
      </c>
      <c r="BD55" s="540">
        <f t="shared" si="30"/>
        <v>44895.704187990763</v>
      </c>
      <c r="BE55" s="540">
        <f t="shared" si="30"/>
        <v>45793.618271750587</v>
      </c>
      <c r="BF55" s="540">
        <f t="shared" si="30"/>
        <v>46709.490637185598</v>
      </c>
      <c r="BG55" s="540">
        <f t="shared" si="30"/>
        <v>47643.680449929307</v>
      </c>
      <c r="BH55" s="540">
        <f t="shared" si="30"/>
        <v>48596.554058927897</v>
      </c>
      <c r="BI55" s="540">
        <f t="shared" si="30"/>
        <v>49568.485140106459</v>
      </c>
      <c r="BJ55" s="540">
        <f t="shared" si="30"/>
        <v>50559.854842908586</v>
      </c>
      <c r="BK55" s="540">
        <f t="shared" si="30"/>
        <v>51571.051939766752</v>
      </c>
      <c r="BL55" s="540">
        <f t="shared" si="30"/>
        <v>52602.472978562073</v>
      </c>
      <c r="BM55" s="540">
        <f t="shared" si="30"/>
        <v>53654.522438133317</v>
      </c>
      <c r="BN55" s="540">
        <f t="shared" si="30"/>
        <v>54727.612886895986</v>
      </c>
      <c r="BO55" s="540">
        <f t="shared" si="30"/>
        <v>55822.165144633916</v>
      </c>
      <c r="BP55" s="540">
        <f t="shared" si="30"/>
        <v>56938.608447526589</v>
      </c>
      <c r="BQ55" s="540">
        <f t="shared" si="30"/>
        <v>58077.380616477123</v>
      </c>
      <c r="BR55" s="540">
        <f t="shared" si="30"/>
        <v>59238.928228806661</v>
      </c>
      <c r="BS55" s="540">
        <f t="shared" si="30"/>
        <v>60423.7067933828</v>
      </c>
      <c r="BT55" s="540">
        <f t="shared" si="30"/>
        <v>61632.180929250448</v>
      </c>
      <c r="BU55" s="540">
        <f t="shared" si="30"/>
        <v>62864.824547835458</v>
      </c>
      <c r="BV55" s="540">
        <f t="shared" si="30"/>
        <v>64122.121038792182</v>
      </c>
      <c r="BW55" s="540">
        <f t="shared" si="30"/>
        <v>65404.563459568024</v>
      </c>
      <c r="BX55" s="540">
        <f t="shared" si="30"/>
        <v>66712.654728759371</v>
      </c>
      <c r="BY55" s="540">
        <f t="shared" si="30"/>
        <v>68046.90782333455</v>
      </c>
      <c r="BZ55" s="540">
        <f t="shared" si="30"/>
        <v>69407.845979801248</v>
      </c>
      <c r="CA55" s="540">
        <f t="shared" si="30"/>
        <v>70796.002899397296</v>
      </c>
      <c r="CB55" s="540">
        <f t="shared" si="30"/>
        <v>72211.922957385235</v>
      </c>
      <c r="CC55" s="540">
        <f t="shared" si="30"/>
        <v>73656.161416532923</v>
      </c>
      <c r="CD55" s="540">
        <f t="shared" si="30"/>
        <v>75129.284644863597</v>
      </c>
      <c r="CE55" s="540">
        <f t="shared" si="30"/>
        <v>76631.870337760847</v>
      </c>
      <c r="CF55" s="540">
        <f t="shared" si="30"/>
        <v>78164.507744516057</v>
      </c>
      <c r="CG55" s="540">
        <f t="shared" si="30"/>
        <v>79727.797899406403</v>
      </c>
      <c r="CH55" s="540">
        <f t="shared" si="30"/>
        <v>81322.353857394526</v>
      </c>
      <c r="CI55" s="540">
        <f t="shared" si="30"/>
        <v>82948.800934542422</v>
      </c>
      <c r="CJ55" s="540">
        <f t="shared" si="30"/>
        <v>84607.776953233246</v>
      </c>
      <c r="CK55" s="540">
        <f t="shared" si="30"/>
        <v>86299.932492297914</v>
      </c>
      <c r="CL55" s="540">
        <f t="shared" si="30"/>
        <v>88025.931142143876</v>
      </c>
      <c r="CM55" s="540">
        <f t="shared" si="30"/>
        <v>89786.449764986755</v>
      </c>
      <c r="CN55" s="540">
        <f t="shared" si="30"/>
        <v>91582.178760286493</v>
      </c>
      <c r="CO55" s="540">
        <f t="shared" si="30"/>
        <v>93413.822335492223</v>
      </c>
      <c r="CP55" s="540">
        <f t="shared" si="30"/>
        <v>95282.098782202069</v>
      </c>
      <c r="CQ55" s="540">
        <f t="shared" si="30"/>
        <v>97187.740757846113</v>
      </c>
      <c r="CR55" s="540">
        <f t="shared" si="30"/>
        <v>99131.49557300302</v>
      </c>
      <c r="CS55" s="540">
        <f t="shared" si="30"/>
        <v>101114.12548446307</v>
      </c>
      <c r="CT55" s="540">
        <f t="shared" si="30"/>
        <v>103136.40799415235</v>
      </c>
      <c r="CU55" s="540">
        <f t="shared" si="30"/>
        <v>105199.1361540354</v>
      </c>
      <c r="CV55" s="540">
        <f t="shared" si="30"/>
        <v>107303.11887711608</v>
      </c>
      <c r="CW55" s="540">
        <f t="shared" si="30"/>
        <v>109449.18125465843</v>
      </c>
      <c r="CX55" s="540">
        <f t="shared" si="30"/>
        <v>111638.1648797516</v>
      </c>
      <c r="CY55" s="540">
        <f t="shared" si="30"/>
        <v>113870.92817734662</v>
      </c>
      <c r="CZ55" s="540">
        <f t="shared" si="30"/>
        <v>116148.34674089354</v>
      </c>
      <c r="DA55" s="540">
        <f t="shared" si="30"/>
        <v>118471.31367571143</v>
      </c>
      <c r="DB55" s="540">
        <f t="shared" si="30"/>
        <v>120840.73994922567</v>
      </c>
      <c r="DC55" s="540">
        <f t="shared" si="30"/>
        <v>123257.55474821017</v>
      </c>
      <c r="DD55" s="540">
        <f t="shared" si="30"/>
        <v>125722.70584317436</v>
      </c>
      <c r="DE55" s="540">
        <f t="shared" si="30"/>
        <v>128237.15996003784</v>
      </c>
      <c r="DF55" s="413"/>
      <c r="DG55" s="413"/>
      <c r="DH55" s="413"/>
      <c r="DI55" s="413"/>
      <c r="DJ55" s="413"/>
      <c r="DK55" s="413"/>
      <c r="DL55" s="413"/>
    </row>
    <row r="56" spans="1:134" ht="15.75" customHeight="1" x14ac:dyDescent="0.25">
      <c r="A56" s="763" t="s">
        <v>52</v>
      </c>
      <c r="B56" s="771" t="s">
        <v>295</v>
      </c>
      <c r="C56" s="391" t="s">
        <v>296</v>
      </c>
      <c r="D56" s="279" t="s">
        <v>297</v>
      </c>
      <c r="E56" s="280" t="s">
        <v>298</v>
      </c>
      <c r="F56" s="392"/>
      <c r="G56" s="395" t="s">
        <v>299</v>
      </c>
      <c r="H56" s="394">
        <f>'Unit Costs and Indicators'!D18</f>
        <v>0.28409090909090912</v>
      </c>
      <c r="I56" s="393">
        <f t="shared" ref="I56:J56" si="31">H56</f>
        <v>0.28409090909090912</v>
      </c>
      <c r="J56" s="393">
        <f t="shared" si="31"/>
        <v>0.28409090909090912</v>
      </c>
      <c r="K56" s="393">
        <v>0</v>
      </c>
      <c r="L56" s="393">
        <f t="shared" ref="L56:DE56" si="32">K56</f>
        <v>0</v>
      </c>
      <c r="M56" s="393">
        <f t="shared" si="32"/>
        <v>0</v>
      </c>
      <c r="N56" s="393">
        <f t="shared" si="32"/>
        <v>0</v>
      </c>
      <c r="O56" s="393">
        <f t="shared" si="32"/>
        <v>0</v>
      </c>
      <c r="P56" s="393">
        <f t="shared" si="32"/>
        <v>0</v>
      </c>
      <c r="Q56" s="393">
        <f t="shared" si="32"/>
        <v>0</v>
      </c>
      <c r="R56" s="393">
        <f t="shared" si="32"/>
        <v>0</v>
      </c>
      <c r="S56" s="393">
        <f t="shared" si="32"/>
        <v>0</v>
      </c>
      <c r="T56" s="393">
        <f t="shared" si="32"/>
        <v>0</v>
      </c>
      <c r="U56" s="393">
        <f t="shared" si="32"/>
        <v>0</v>
      </c>
      <c r="V56" s="393">
        <f t="shared" si="32"/>
        <v>0</v>
      </c>
      <c r="W56" s="393">
        <f t="shared" si="32"/>
        <v>0</v>
      </c>
      <c r="X56" s="393">
        <f t="shared" si="32"/>
        <v>0</v>
      </c>
      <c r="Y56" s="393">
        <f t="shared" si="32"/>
        <v>0</v>
      </c>
      <c r="Z56" s="393">
        <f t="shared" si="32"/>
        <v>0</v>
      </c>
      <c r="AA56" s="393">
        <f t="shared" si="32"/>
        <v>0</v>
      </c>
      <c r="AB56" s="393">
        <f t="shared" si="32"/>
        <v>0</v>
      </c>
      <c r="AC56" s="393">
        <f t="shared" si="32"/>
        <v>0</v>
      </c>
      <c r="AD56" s="393">
        <f t="shared" si="32"/>
        <v>0</v>
      </c>
      <c r="AE56" s="393">
        <f t="shared" si="32"/>
        <v>0</v>
      </c>
      <c r="AF56" s="393">
        <f t="shared" si="32"/>
        <v>0</v>
      </c>
      <c r="AG56" s="393">
        <f t="shared" si="32"/>
        <v>0</v>
      </c>
      <c r="AH56" s="393">
        <f t="shared" si="32"/>
        <v>0</v>
      </c>
      <c r="AI56" s="393">
        <f t="shared" si="32"/>
        <v>0</v>
      </c>
      <c r="AJ56" s="393">
        <f t="shared" si="32"/>
        <v>0</v>
      </c>
      <c r="AK56" s="393">
        <f t="shared" si="32"/>
        <v>0</v>
      </c>
      <c r="AL56" s="393">
        <f t="shared" si="32"/>
        <v>0</v>
      </c>
      <c r="AM56" s="393">
        <f t="shared" si="32"/>
        <v>0</v>
      </c>
      <c r="AN56" s="393">
        <f t="shared" si="32"/>
        <v>0</v>
      </c>
      <c r="AO56" s="393">
        <f t="shared" si="32"/>
        <v>0</v>
      </c>
      <c r="AP56" s="393">
        <f t="shared" si="32"/>
        <v>0</v>
      </c>
      <c r="AQ56" s="393">
        <f t="shared" si="32"/>
        <v>0</v>
      </c>
      <c r="AR56" s="393">
        <f t="shared" si="32"/>
        <v>0</v>
      </c>
      <c r="AS56" s="393">
        <f t="shared" si="32"/>
        <v>0</v>
      </c>
      <c r="AT56" s="393">
        <f t="shared" si="32"/>
        <v>0</v>
      </c>
      <c r="AU56" s="393">
        <f t="shared" si="32"/>
        <v>0</v>
      </c>
      <c r="AV56" s="393">
        <f t="shared" si="32"/>
        <v>0</v>
      </c>
      <c r="AW56" s="393">
        <f t="shared" si="32"/>
        <v>0</v>
      </c>
      <c r="AX56" s="393">
        <f t="shared" si="32"/>
        <v>0</v>
      </c>
      <c r="AY56" s="393">
        <f t="shared" si="32"/>
        <v>0</v>
      </c>
      <c r="AZ56" s="393">
        <f t="shared" si="32"/>
        <v>0</v>
      </c>
      <c r="BA56" s="393">
        <f t="shared" si="32"/>
        <v>0</v>
      </c>
      <c r="BB56" s="393">
        <f t="shared" si="32"/>
        <v>0</v>
      </c>
      <c r="BC56" s="393">
        <f t="shared" si="32"/>
        <v>0</v>
      </c>
      <c r="BD56" s="393">
        <f t="shared" si="32"/>
        <v>0</v>
      </c>
      <c r="BE56" s="393">
        <f t="shared" si="32"/>
        <v>0</v>
      </c>
      <c r="BF56" s="393">
        <f t="shared" si="32"/>
        <v>0</v>
      </c>
      <c r="BG56" s="393">
        <f t="shared" si="32"/>
        <v>0</v>
      </c>
      <c r="BH56" s="393">
        <f t="shared" si="32"/>
        <v>0</v>
      </c>
      <c r="BI56" s="393">
        <f t="shared" si="32"/>
        <v>0</v>
      </c>
      <c r="BJ56" s="393">
        <f t="shared" si="32"/>
        <v>0</v>
      </c>
      <c r="BK56" s="393">
        <f t="shared" si="32"/>
        <v>0</v>
      </c>
      <c r="BL56" s="393">
        <f t="shared" si="32"/>
        <v>0</v>
      </c>
      <c r="BM56" s="393">
        <f t="shared" si="32"/>
        <v>0</v>
      </c>
      <c r="BN56" s="393">
        <f t="shared" si="32"/>
        <v>0</v>
      </c>
      <c r="BO56" s="393">
        <f t="shared" si="32"/>
        <v>0</v>
      </c>
      <c r="BP56" s="393">
        <f t="shared" si="32"/>
        <v>0</v>
      </c>
      <c r="BQ56" s="393">
        <f t="shared" si="32"/>
        <v>0</v>
      </c>
      <c r="BR56" s="393">
        <f t="shared" si="32"/>
        <v>0</v>
      </c>
      <c r="BS56" s="393">
        <f t="shared" si="32"/>
        <v>0</v>
      </c>
      <c r="BT56" s="393">
        <f t="shared" si="32"/>
        <v>0</v>
      </c>
      <c r="BU56" s="393">
        <f t="shared" si="32"/>
        <v>0</v>
      </c>
      <c r="BV56" s="393">
        <f t="shared" si="32"/>
        <v>0</v>
      </c>
      <c r="BW56" s="393">
        <f t="shared" si="32"/>
        <v>0</v>
      </c>
      <c r="BX56" s="393">
        <f t="shared" si="32"/>
        <v>0</v>
      </c>
      <c r="BY56" s="393">
        <f t="shared" si="32"/>
        <v>0</v>
      </c>
      <c r="BZ56" s="393">
        <f t="shared" si="32"/>
        <v>0</v>
      </c>
      <c r="CA56" s="393">
        <f t="shared" si="32"/>
        <v>0</v>
      </c>
      <c r="CB56" s="393">
        <f t="shared" si="32"/>
        <v>0</v>
      </c>
      <c r="CC56" s="393">
        <f t="shared" si="32"/>
        <v>0</v>
      </c>
      <c r="CD56" s="393">
        <f t="shared" si="32"/>
        <v>0</v>
      </c>
      <c r="CE56" s="393">
        <f t="shared" si="32"/>
        <v>0</v>
      </c>
      <c r="CF56" s="393">
        <f t="shared" si="32"/>
        <v>0</v>
      </c>
      <c r="CG56" s="393">
        <f t="shared" si="32"/>
        <v>0</v>
      </c>
      <c r="CH56" s="393">
        <f t="shared" si="32"/>
        <v>0</v>
      </c>
      <c r="CI56" s="393">
        <f t="shared" si="32"/>
        <v>0</v>
      </c>
      <c r="CJ56" s="393">
        <f t="shared" si="32"/>
        <v>0</v>
      </c>
      <c r="CK56" s="393">
        <f t="shared" si="32"/>
        <v>0</v>
      </c>
      <c r="CL56" s="393">
        <f t="shared" si="32"/>
        <v>0</v>
      </c>
      <c r="CM56" s="393">
        <f t="shared" si="32"/>
        <v>0</v>
      </c>
      <c r="CN56" s="393">
        <f t="shared" si="32"/>
        <v>0</v>
      </c>
      <c r="CO56" s="393">
        <f t="shared" si="32"/>
        <v>0</v>
      </c>
      <c r="CP56" s="393">
        <f t="shared" si="32"/>
        <v>0</v>
      </c>
      <c r="CQ56" s="393">
        <f t="shared" si="32"/>
        <v>0</v>
      </c>
      <c r="CR56" s="393">
        <f t="shared" si="32"/>
        <v>0</v>
      </c>
      <c r="CS56" s="393">
        <f t="shared" si="32"/>
        <v>0</v>
      </c>
      <c r="CT56" s="393">
        <f t="shared" si="32"/>
        <v>0</v>
      </c>
      <c r="CU56" s="393">
        <f t="shared" si="32"/>
        <v>0</v>
      </c>
      <c r="CV56" s="393">
        <f t="shared" si="32"/>
        <v>0</v>
      </c>
      <c r="CW56" s="393">
        <f t="shared" si="32"/>
        <v>0</v>
      </c>
      <c r="CX56" s="393">
        <f t="shared" si="32"/>
        <v>0</v>
      </c>
      <c r="CY56" s="393">
        <f t="shared" si="32"/>
        <v>0</v>
      </c>
      <c r="CZ56" s="393">
        <f t="shared" si="32"/>
        <v>0</v>
      </c>
      <c r="DA56" s="393">
        <f t="shared" si="32"/>
        <v>0</v>
      </c>
      <c r="DB56" s="393">
        <f t="shared" si="32"/>
        <v>0</v>
      </c>
      <c r="DC56" s="393">
        <f t="shared" si="32"/>
        <v>0</v>
      </c>
      <c r="DD56" s="393">
        <f t="shared" si="32"/>
        <v>0</v>
      </c>
      <c r="DE56" s="393">
        <f t="shared" si="32"/>
        <v>0</v>
      </c>
      <c r="DF56" s="393"/>
      <c r="DG56" s="393"/>
      <c r="DH56" s="393"/>
      <c r="DI56" s="393"/>
      <c r="DJ56" s="393"/>
      <c r="DK56" s="393"/>
      <c r="DL56" s="393"/>
      <c r="DM56" s="3"/>
      <c r="DN56" s="3"/>
      <c r="DO56" s="3"/>
      <c r="DP56" s="3"/>
      <c r="DQ56" s="3"/>
      <c r="DR56" s="3"/>
      <c r="DS56" s="3"/>
      <c r="DT56" s="3"/>
      <c r="DU56" s="3"/>
      <c r="DV56" s="3"/>
      <c r="DW56" s="3"/>
      <c r="DX56" s="3"/>
      <c r="DY56" s="3"/>
      <c r="DZ56" s="3"/>
      <c r="EA56" s="3"/>
      <c r="EB56" s="3"/>
      <c r="EC56" s="3"/>
      <c r="ED56" s="3"/>
    </row>
    <row r="57" spans="1:134" ht="15.75" customHeight="1" x14ac:dyDescent="0.25">
      <c r="A57" s="751"/>
      <c r="B57" s="751"/>
      <c r="C57" s="391" t="s">
        <v>300</v>
      </c>
      <c r="D57" s="279" t="s">
        <v>297</v>
      </c>
      <c r="E57" s="280" t="s">
        <v>301</v>
      </c>
      <c r="F57" s="392"/>
      <c r="G57" s="396" t="s">
        <v>394</v>
      </c>
      <c r="H57" s="394">
        <f>H56</f>
        <v>0.28409090909090912</v>
      </c>
      <c r="I57" s="397">
        <f>H57*(1+'Unit Costs and Indicators'!$C$128)</f>
        <v>0.28551864679973521</v>
      </c>
      <c r="J57" s="397">
        <f>I57*(1+'Unit Costs and Indicators'!$C$128)</f>
        <v>0.28695355979963882</v>
      </c>
      <c r="K57" s="397">
        <v>0</v>
      </c>
      <c r="L57" s="397">
        <v>0</v>
      </c>
      <c r="M57" s="397">
        <v>0</v>
      </c>
      <c r="N57" s="397">
        <v>0</v>
      </c>
      <c r="O57" s="397">
        <v>0</v>
      </c>
      <c r="P57" s="397">
        <v>0</v>
      </c>
      <c r="Q57" s="397">
        <v>0</v>
      </c>
      <c r="R57" s="397">
        <v>0</v>
      </c>
      <c r="S57" s="397">
        <v>0</v>
      </c>
      <c r="T57" s="397">
        <v>0</v>
      </c>
      <c r="U57" s="397">
        <v>0</v>
      </c>
      <c r="V57" s="397">
        <v>0</v>
      </c>
      <c r="W57" s="397">
        <v>0</v>
      </c>
      <c r="X57" s="397">
        <v>0</v>
      </c>
      <c r="Y57" s="397">
        <v>0</v>
      </c>
      <c r="Z57" s="397">
        <v>0</v>
      </c>
      <c r="AA57" s="397">
        <v>0</v>
      </c>
      <c r="AB57" s="397">
        <v>0</v>
      </c>
      <c r="AC57" s="397">
        <v>0</v>
      </c>
      <c r="AD57" s="397">
        <v>0</v>
      </c>
      <c r="AE57" s="397">
        <v>0</v>
      </c>
      <c r="AF57" s="397">
        <v>0</v>
      </c>
      <c r="AG57" s="397">
        <v>0</v>
      </c>
      <c r="AH57" s="397">
        <v>0</v>
      </c>
      <c r="AI57" s="397">
        <v>0</v>
      </c>
      <c r="AJ57" s="397">
        <v>0</v>
      </c>
      <c r="AK57" s="397">
        <v>0</v>
      </c>
      <c r="AL57" s="397">
        <v>0</v>
      </c>
      <c r="AM57" s="397">
        <v>0</v>
      </c>
      <c r="AN57" s="397">
        <v>0</v>
      </c>
      <c r="AO57" s="397">
        <v>0</v>
      </c>
      <c r="AP57" s="397">
        <v>0</v>
      </c>
      <c r="AQ57" s="397">
        <v>0</v>
      </c>
      <c r="AR57" s="397">
        <v>0</v>
      </c>
      <c r="AS57" s="397">
        <v>0</v>
      </c>
      <c r="AT57" s="397">
        <v>0</v>
      </c>
      <c r="AU57" s="397">
        <v>0</v>
      </c>
      <c r="AV57" s="397">
        <v>0</v>
      </c>
      <c r="AW57" s="397">
        <v>0</v>
      </c>
      <c r="AX57" s="397">
        <v>0</v>
      </c>
      <c r="AY57" s="397">
        <v>0</v>
      </c>
      <c r="AZ57" s="397">
        <v>0</v>
      </c>
      <c r="BA57" s="397">
        <v>0</v>
      </c>
      <c r="BB57" s="397">
        <v>0</v>
      </c>
      <c r="BC57" s="397">
        <v>0</v>
      </c>
      <c r="BD57" s="397">
        <v>0</v>
      </c>
      <c r="BE57" s="397">
        <v>0</v>
      </c>
      <c r="BF57" s="397">
        <v>0</v>
      </c>
      <c r="BG57" s="397">
        <v>0</v>
      </c>
      <c r="BH57" s="397">
        <v>0</v>
      </c>
      <c r="BI57" s="397">
        <v>0</v>
      </c>
      <c r="BJ57" s="397">
        <v>0</v>
      </c>
      <c r="BK57" s="397">
        <v>0</v>
      </c>
      <c r="BL57" s="397">
        <v>0</v>
      </c>
      <c r="BM57" s="397">
        <v>0</v>
      </c>
      <c r="BN57" s="397">
        <v>0</v>
      </c>
      <c r="BO57" s="397">
        <v>0</v>
      </c>
      <c r="BP57" s="397">
        <v>0</v>
      </c>
      <c r="BQ57" s="397">
        <v>0</v>
      </c>
      <c r="BR57" s="397">
        <v>0</v>
      </c>
      <c r="BS57" s="397">
        <v>0</v>
      </c>
      <c r="BT57" s="397">
        <v>0</v>
      </c>
      <c r="BU57" s="397">
        <v>0</v>
      </c>
      <c r="BV57" s="397">
        <v>0</v>
      </c>
      <c r="BW57" s="397">
        <v>0</v>
      </c>
      <c r="BX57" s="397">
        <v>0</v>
      </c>
      <c r="BY57" s="397">
        <v>0</v>
      </c>
      <c r="BZ57" s="397">
        <v>0</v>
      </c>
      <c r="CA57" s="397">
        <v>0</v>
      </c>
      <c r="CB57" s="397">
        <v>0</v>
      </c>
      <c r="CC57" s="397">
        <v>0</v>
      </c>
      <c r="CD57" s="397">
        <v>0</v>
      </c>
      <c r="CE57" s="397">
        <v>0</v>
      </c>
      <c r="CF57" s="397">
        <v>0</v>
      </c>
      <c r="CG57" s="397">
        <v>0</v>
      </c>
      <c r="CH57" s="397">
        <v>0</v>
      </c>
      <c r="CI57" s="397">
        <v>0</v>
      </c>
      <c r="CJ57" s="397">
        <v>0</v>
      </c>
      <c r="CK57" s="397">
        <v>0</v>
      </c>
      <c r="CL57" s="397">
        <v>0</v>
      </c>
      <c r="CM57" s="397">
        <v>0</v>
      </c>
      <c r="CN57" s="397">
        <v>0</v>
      </c>
      <c r="CO57" s="397">
        <v>0</v>
      </c>
      <c r="CP57" s="397">
        <v>0</v>
      </c>
      <c r="CQ57" s="397">
        <v>0</v>
      </c>
      <c r="CR57" s="397">
        <v>0</v>
      </c>
      <c r="CS57" s="397">
        <v>0</v>
      </c>
      <c r="CT57" s="397">
        <v>0</v>
      </c>
      <c r="CU57" s="397">
        <v>0</v>
      </c>
      <c r="CV57" s="397">
        <v>0</v>
      </c>
      <c r="CW57" s="397">
        <v>0</v>
      </c>
      <c r="CX57" s="397">
        <v>0</v>
      </c>
      <c r="CY57" s="397">
        <v>0</v>
      </c>
      <c r="CZ57" s="397">
        <v>0</v>
      </c>
      <c r="DA57" s="397">
        <v>0</v>
      </c>
      <c r="DB57" s="397">
        <v>0</v>
      </c>
      <c r="DC57" s="397">
        <v>0</v>
      </c>
      <c r="DD57" s="397">
        <v>0</v>
      </c>
      <c r="DE57" s="397">
        <v>0</v>
      </c>
      <c r="DF57" s="397"/>
      <c r="DG57" s="397"/>
      <c r="DH57" s="397"/>
      <c r="DI57" s="397"/>
      <c r="DJ57" s="397"/>
      <c r="DK57" s="397"/>
      <c r="DL57" s="397"/>
      <c r="DM57" s="3"/>
      <c r="DN57" s="3"/>
      <c r="DO57" s="3"/>
      <c r="DP57" s="3"/>
      <c r="DQ57" s="3"/>
      <c r="DR57" s="3"/>
      <c r="DS57" s="3"/>
      <c r="DT57" s="3"/>
      <c r="DU57" s="3"/>
      <c r="DV57" s="3"/>
      <c r="DW57" s="3"/>
      <c r="DX57" s="3"/>
      <c r="DY57" s="3"/>
      <c r="DZ57" s="3"/>
      <c r="EA57" s="3"/>
      <c r="EB57" s="3"/>
      <c r="EC57" s="3"/>
      <c r="ED57" s="3"/>
    </row>
    <row r="58" spans="1:134" ht="15.75" customHeight="1" x14ac:dyDescent="0.25">
      <c r="A58" s="751"/>
      <c r="B58" s="751"/>
      <c r="C58" s="398" t="s">
        <v>303</v>
      </c>
      <c r="D58" s="399" t="s">
        <v>304</v>
      </c>
      <c r="E58" s="400"/>
      <c r="F58" s="399"/>
      <c r="G58" s="399"/>
      <c r="H58" s="302">
        <f t="shared" ref="H58:DL58" si="33">H57/$H$61*60</f>
        <v>2.2910557184750733</v>
      </c>
      <c r="I58" s="303">
        <f t="shared" si="33"/>
        <v>2.3025697322559289</v>
      </c>
      <c r="J58" s="303">
        <f t="shared" si="33"/>
        <v>2.3141416112874098</v>
      </c>
      <c r="K58" s="303">
        <f t="shared" si="33"/>
        <v>0</v>
      </c>
      <c r="L58" s="303">
        <f t="shared" si="33"/>
        <v>0</v>
      </c>
      <c r="M58" s="303">
        <f t="shared" si="33"/>
        <v>0</v>
      </c>
      <c r="N58" s="303">
        <f t="shared" si="33"/>
        <v>0</v>
      </c>
      <c r="O58" s="303">
        <f t="shared" si="33"/>
        <v>0</v>
      </c>
      <c r="P58" s="303">
        <f t="shared" si="33"/>
        <v>0</v>
      </c>
      <c r="Q58" s="303">
        <f t="shared" si="33"/>
        <v>0</v>
      </c>
      <c r="R58" s="303">
        <f t="shared" si="33"/>
        <v>0</v>
      </c>
      <c r="S58" s="303">
        <f t="shared" si="33"/>
        <v>0</v>
      </c>
      <c r="T58" s="303">
        <f t="shared" si="33"/>
        <v>0</v>
      </c>
      <c r="U58" s="303">
        <f t="shared" si="33"/>
        <v>0</v>
      </c>
      <c r="V58" s="303">
        <f t="shared" si="33"/>
        <v>0</v>
      </c>
      <c r="W58" s="303">
        <f t="shared" si="33"/>
        <v>0</v>
      </c>
      <c r="X58" s="303">
        <f t="shared" si="33"/>
        <v>0</v>
      </c>
      <c r="Y58" s="303">
        <f t="shared" si="33"/>
        <v>0</v>
      </c>
      <c r="Z58" s="303">
        <f t="shared" si="33"/>
        <v>0</v>
      </c>
      <c r="AA58" s="303">
        <f t="shared" si="33"/>
        <v>0</v>
      </c>
      <c r="AB58" s="303">
        <f t="shared" si="33"/>
        <v>0</v>
      </c>
      <c r="AC58" s="303">
        <f t="shared" si="33"/>
        <v>0</v>
      </c>
      <c r="AD58" s="303">
        <f t="shared" si="33"/>
        <v>0</v>
      </c>
      <c r="AE58" s="303">
        <f t="shared" si="33"/>
        <v>0</v>
      </c>
      <c r="AF58" s="303">
        <f t="shared" si="33"/>
        <v>0</v>
      </c>
      <c r="AG58" s="303">
        <f t="shared" si="33"/>
        <v>0</v>
      </c>
      <c r="AH58" s="303">
        <f t="shared" si="33"/>
        <v>0</v>
      </c>
      <c r="AI58" s="303">
        <f t="shared" si="33"/>
        <v>0</v>
      </c>
      <c r="AJ58" s="303">
        <f t="shared" si="33"/>
        <v>0</v>
      </c>
      <c r="AK58" s="303">
        <f t="shared" si="33"/>
        <v>0</v>
      </c>
      <c r="AL58" s="303">
        <f t="shared" si="33"/>
        <v>0</v>
      </c>
      <c r="AM58" s="303">
        <f t="shared" si="33"/>
        <v>0</v>
      </c>
      <c r="AN58" s="303">
        <f t="shared" si="33"/>
        <v>0</v>
      </c>
      <c r="AO58" s="303">
        <f t="shared" si="33"/>
        <v>0</v>
      </c>
      <c r="AP58" s="303">
        <f t="shared" si="33"/>
        <v>0</v>
      </c>
      <c r="AQ58" s="303">
        <f t="shared" si="33"/>
        <v>0</v>
      </c>
      <c r="AR58" s="303">
        <f t="shared" si="33"/>
        <v>0</v>
      </c>
      <c r="AS58" s="303">
        <f t="shared" si="33"/>
        <v>0</v>
      </c>
      <c r="AT58" s="303">
        <f t="shared" si="33"/>
        <v>0</v>
      </c>
      <c r="AU58" s="303">
        <f t="shared" si="33"/>
        <v>0</v>
      </c>
      <c r="AV58" s="303">
        <f t="shared" si="33"/>
        <v>0</v>
      </c>
      <c r="AW58" s="303">
        <f t="shared" si="33"/>
        <v>0</v>
      </c>
      <c r="AX58" s="303">
        <f t="shared" si="33"/>
        <v>0</v>
      </c>
      <c r="AY58" s="303">
        <f t="shared" si="33"/>
        <v>0</v>
      </c>
      <c r="AZ58" s="303">
        <f t="shared" si="33"/>
        <v>0</v>
      </c>
      <c r="BA58" s="303">
        <f t="shared" si="33"/>
        <v>0</v>
      </c>
      <c r="BB58" s="303">
        <f t="shared" si="33"/>
        <v>0</v>
      </c>
      <c r="BC58" s="303">
        <f t="shared" si="33"/>
        <v>0</v>
      </c>
      <c r="BD58" s="303">
        <f t="shared" si="33"/>
        <v>0</v>
      </c>
      <c r="BE58" s="303">
        <f t="shared" si="33"/>
        <v>0</v>
      </c>
      <c r="BF58" s="303">
        <f t="shared" si="33"/>
        <v>0</v>
      </c>
      <c r="BG58" s="303">
        <f t="shared" si="33"/>
        <v>0</v>
      </c>
      <c r="BH58" s="303">
        <f t="shared" si="33"/>
        <v>0</v>
      </c>
      <c r="BI58" s="303">
        <f t="shared" si="33"/>
        <v>0</v>
      </c>
      <c r="BJ58" s="303">
        <f t="shared" si="33"/>
        <v>0</v>
      </c>
      <c r="BK58" s="303">
        <f t="shared" si="33"/>
        <v>0</v>
      </c>
      <c r="BL58" s="303">
        <f t="shared" si="33"/>
        <v>0</v>
      </c>
      <c r="BM58" s="303">
        <f t="shared" si="33"/>
        <v>0</v>
      </c>
      <c r="BN58" s="303">
        <f t="shared" si="33"/>
        <v>0</v>
      </c>
      <c r="BO58" s="303">
        <f t="shared" si="33"/>
        <v>0</v>
      </c>
      <c r="BP58" s="303">
        <f t="shared" si="33"/>
        <v>0</v>
      </c>
      <c r="BQ58" s="303">
        <f t="shared" si="33"/>
        <v>0</v>
      </c>
      <c r="BR58" s="303">
        <f t="shared" si="33"/>
        <v>0</v>
      </c>
      <c r="BS58" s="303">
        <f t="shared" si="33"/>
        <v>0</v>
      </c>
      <c r="BT58" s="303">
        <f t="shared" si="33"/>
        <v>0</v>
      </c>
      <c r="BU58" s="303">
        <f t="shared" si="33"/>
        <v>0</v>
      </c>
      <c r="BV58" s="303">
        <f t="shared" si="33"/>
        <v>0</v>
      </c>
      <c r="BW58" s="303">
        <f t="shared" si="33"/>
        <v>0</v>
      </c>
      <c r="BX58" s="303">
        <f t="shared" si="33"/>
        <v>0</v>
      </c>
      <c r="BY58" s="303">
        <f t="shared" si="33"/>
        <v>0</v>
      </c>
      <c r="BZ58" s="303">
        <f t="shared" si="33"/>
        <v>0</v>
      </c>
      <c r="CA58" s="303">
        <f t="shared" si="33"/>
        <v>0</v>
      </c>
      <c r="CB58" s="303">
        <f t="shared" si="33"/>
        <v>0</v>
      </c>
      <c r="CC58" s="303">
        <f t="shared" si="33"/>
        <v>0</v>
      </c>
      <c r="CD58" s="303">
        <f t="shared" si="33"/>
        <v>0</v>
      </c>
      <c r="CE58" s="303">
        <f t="shared" si="33"/>
        <v>0</v>
      </c>
      <c r="CF58" s="303">
        <f t="shared" si="33"/>
        <v>0</v>
      </c>
      <c r="CG58" s="303">
        <f t="shared" si="33"/>
        <v>0</v>
      </c>
      <c r="CH58" s="303">
        <f t="shared" si="33"/>
        <v>0</v>
      </c>
      <c r="CI58" s="303">
        <f t="shared" si="33"/>
        <v>0</v>
      </c>
      <c r="CJ58" s="303">
        <f t="shared" si="33"/>
        <v>0</v>
      </c>
      <c r="CK58" s="303">
        <f t="shared" si="33"/>
        <v>0</v>
      </c>
      <c r="CL58" s="303">
        <f t="shared" si="33"/>
        <v>0</v>
      </c>
      <c r="CM58" s="303">
        <f t="shared" si="33"/>
        <v>0</v>
      </c>
      <c r="CN58" s="303">
        <f t="shared" si="33"/>
        <v>0</v>
      </c>
      <c r="CO58" s="303">
        <f t="shared" si="33"/>
        <v>0</v>
      </c>
      <c r="CP58" s="303">
        <f t="shared" si="33"/>
        <v>0</v>
      </c>
      <c r="CQ58" s="303">
        <f t="shared" si="33"/>
        <v>0</v>
      </c>
      <c r="CR58" s="303">
        <f t="shared" si="33"/>
        <v>0</v>
      </c>
      <c r="CS58" s="303">
        <f t="shared" si="33"/>
        <v>0</v>
      </c>
      <c r="CT58" s="303">
        <f t="shared" si="33"/>
        <v>0</v>
      </c>
      <c r="CU58" s="303">
        <f t="shared" si="33"/>
        <v>0</v>
      </c>
      <c r="CV58" s="303">
        <f t="shared" si="33"/>
        <v>0</v>
      </c>
      <c r="CW58" s="303">
        <f t="shared" si="33"/>
        <v>0</v>
      </c>
      <c r="CX58" s="303">
        <f t="shared" si="33"/>
        <v>0</v>
      </c>
      <c r="CY58" s="303">
        <f t="shared" si="33"/>
        <v>0</v>
      </c>
      <c r="CZ58" s="303">
        <f t="shared" si="33"/>
        <v>0</v>
      </c>
      <c r="DA58" s="303">
        <f t="shared" si="33"/>
        <v>0</v>
      </c>
      <c r="DB58" s="303">
        <f t="shared" si="33"/>
        <v>0</v>
      </c>
      <c r="DC58" s="303">
        <f t="shared" si="33"/>
        <v>0</v>
      </c>
      <c r="DD58" s="303">
        <f t="shared" si="33"/>
        <v>0</v>
      </c>
      <c r="DE58" s="303">
        <f t="shared" si="33"/>
        <v>0</v>
      </c>
      <c r="DF58" s="303">
        <f t="shared" si="33"/>
        <v>0</v>
      </c>
      <c r="DG58" s="303">
        <f t="shared" si="33"/>
        <v>0</v>
      </c>
      <c r="DH58" s="303">
        <f t="shared" si="33"/>
        <v>0</v>
      </c>
      <c r="DI58" s="303">
        <f t="shared" si="33"/>
        <v>0</v>
      </c>
      <c r="DJ58" s="303">
        <f t="shared" si="33"/>
        <v>0</v>
      </c>
      <c r="DK58" s="303">
        <f t="shared" si="33"/>
        <v>0</v>
      </c>
      <c r="DL58" s="303">
        <f t="shared" si="33"/>
        <v>0</v>
      </c>
    </row>
    <row r="59" spans="1:134" ht="15.75" customHeight="1" x14ac:dyDescent="0.25">
      <c r="A59" s="751"/>
      <c r="B59" s="751"/>
      <c r="C59" s="401" t="s">
        <v>395</v>
      </c>
      <c r="D59" s="399"/>
      <c r="E59" s="400"/>
      <c r="F59" s="400"/>
      <c r="G59" s="399"/>
      <c r="H59" s="541">
        <f>$H$61*(1-'Unit Costs and Indicators'!$E$75)</f>
        <v>5.1253333333333329</v>
      </c>
      <c r="I59" s="406">
        <f t="shared" ref="I59:DL59" si="34">I57/$H$59*60</f>
        <v>3.3424399339198971</v>
      </c>
      <c r="J59" s="406">
        <f t="shared" si="34"/>
        <v>3.3592378228365631</v>
      </c>
      <c r="K59" s="406">
        <f t="shared" si="34"/>
        <v>0</v>
      </c>
      <c r="L59" s="406">
        <f t="shared" si="34"/>
        <v>0</v>
      </c>
      <c r="M59" s="406">
        <f t="shared" si="34"/>
        <v>0</v>
      </c>
      <c r="N59" s="406">
        <f t="shared" si="34"/>
        <v>0</v>
      </c>
      <c r="O59" s="406">
        <f t="shared" si="34"/>
        <v>0</v>
      </c>
      <c r="P59" s="406">
        <f t="shared" si="34"/>
        <v>0</v>
      </c>
      <c r="Q59" s="406">
        <f t="shared" si="34"/>
        <v>0</v>
      </c>
      <c r="R59" s="406">
        <f t="shared" si="34"/>
        <v>0</v>
      </c>
      <c r="S59" s="406">
        <f t="shared" si="34"/>
        <v>0</v>
      </c>
      <c r="T59" s="406">
        <f t="shared" si="34"/>
        <v>0</v>
      </c>
      <c r="U59" s="406">
        <f t="shared" si="34"/>
        <v>0</v>
      </c>
      <c r="V59" s="406">
        <f t="shared" si="34"/>
        <v>0</v>
      </c>
      <c r="W59" s="406">
        <f t="shared" si="34"/>
        <v>0</v>
      </c>
      <c r="X59" s="406">
        <f t="shared" si="34"/>
        <v>0</v>
      </c>
      <c r="Y59" s="406">
        <f t="shared" si="34"/>
        <v>0</v>
      </c>
      <c r="Z59" s="406">
        <f t="shared" si="34"/>
        <v>0</v>
      </c>
      <c r="AA59" s="406">
        <f t="shared" si="34"/>
        <v>0</v>
      </c>
      <c r="AB59" s="406">
        <f t="shared" si="34"/>
        <v>0</v>
      </c>
      <c r="AC59" s="406">
        <f t="shared" si="34"/>
        <v>0</v>
      </c>
      <c r="AD59" s="406">
        <f t="shared" si="34"/>
        <v>0</v>
      </c>
      <c r="AE59" s="406">
        <f t="shared" si="34"/>
        <v>0</v>
      </c>
      <c r="AF59" s="406">
        <f t="shared" si="34"/>
        <v>0</v>
      </c>
      <c r="AG59" s="406">
        <f t="shared" si="34"/>
        <v>0</v>
      </c>
      <c r="AH59" s="406">
        <f t="shared" si="34"/>
        <v>0</v>
      </c>
      <c r="AI59" s="406">
        <f t="shared" si="34"/>
        <v>0</v>
      </c>
      <c r="AJ59" s="406">
        <f t="shared" si="34"/>
        <v>0</v>
      </c>
      <c r="AK59" s="406">
        <f t="shared" si="34"/>
        <v>0</v>
      </c>
      <c r="AL59" s="406">
        <f t="shared" si="34"/>
        <v>0</v>
      </c>
      <c r="AM59" s="406">
        <f t="shared" si="34"/>
        <v>0</v>
      </c>
      <c r="AN59" s="406">
        <f t="shared" si="34"/>
        <v>0</v>
      </c>
      <c r="AO59" s="406">
        <f t="shared" si="34"/>
        <v>0</v>
      </c>
      <c r="AP59" s="406">
        <f t="shared" si="34"/>
        <v>0</v>
      </c>
      <c r="AQ59" s="406">
        <f t="shared" si="34"/>
        <v>0</v>
      </c>
      <c r="AR59" s="406">
        <f t="shared" si="34"/>
        <v>0</v>
      </c>
      <c r="AS59" s="406">
        <f t="shared" si="34"/>
        <v>0</v>
      </c>
      <c r="AT59" s="406">
        <f t="shared" si="34"/>
        <v>0</v>
      </c>
      <c r="AU59" s="406">
        <f t="shared" si="34"/>
        <v>0</v>
      </c>
      <c r="AV59" s="406">
        <f t="shared" si="34"/>
        <v>0</v>
      </c>
      <c r="AW59" s="406">
        <f t="shared" si="34"/>
        <v>0</v>
      </c>
      <c r="AX59" s="406">
        <f t="shared" si="34"/>
        <v>0</v>
      </c>
      <c r="AY59" s="406">
        <f t="shared" si="34"/>
        <v>0</v>
      </c>
      <c r="AZ59" s="406">
        <f t="shared" si="34"/>
        <v>0</v>
      </c>
      <c r="BA59" s="406">
        <f t="shared" si="34"/>
        <v>0</v>
      </c>
      <c r="BB59" s="406">
        <f t="shared" si="34"/>
        <v>0</v>
      </c>
      <c r="BC59" s="406">
        <f t="shared" si="34"/>
        <v>0</v>
      </c>
      <c r="BD59" s="406">
        <f t="shared" si="34"/>
        <v>0</v>
      </c>
      <c r="BE59" s="406">
        <f t="shared" si="34"/>
        <v>0</v>
      </c>
      <c r="BF59" s="406">
        <f t="shared" si="34"/>
        <v>0</v>
      </c>
      <c r="BG59" s="406">
        <f t="shared" si="34"/>
        <v>0</v>
      </c>
      <c r="BH59" s="406">
        <f t="shared" si="34"/>
        <v>0</v>
      </c>
      <c r="BI59" s="406">
        <f t="shared" si="34"/>
        <v>0</v>
      </c>
      <c r="BJ59" s="406">
        <f t="shared" si="34"/>
        <v>0</v>
      </c>
      <c r="BK59" s="406">
        <f t="shared" si="34"/>
        <v>0</v>
      </c>
      <c r="BL59" s="406">
        <f t="shared" si="34"/>
        <v>0</v>
      </c>
      <c r="BM59" s="406">
        <f t="shared" si="34"/>
        <v>0</v>
      </c>
      <c r="BN59" s="406">
        <f t="shared" si="34"/>
        <v>0</v>
      </c>
      <c r="BO59" s="406">
        <f t="shared" si="34"/>
        <v>0</v>
      </c>
      <c r="BP59" s="406">
        <f t="shared" si="34"/>
        <v>0</v>
      </c>
      <c r="BQ59" s="406">
        <f t="shared" si="34"/>
        <v>0</v>
      </c>
      <c r="BR59" s="406">
        <f t="shared" si="34"/>
        <v>0</v>
      </c>
      <c r="BS59" s="406">
        <f t="shared" si="34"/>
        <v>0</v>
      </c>
      <c r="BT59" s="406">
        <f t="shared" si="34"/>
        <v>0</v>
      </c>
      <c r="BU59" s="406">
        <f t="shared" si="34"/>
        <v>0</v>
      </c>
      <c r="BV59" s="406">
        <f t="shared" si="34"/>
        <v>0</v>
      </c>
      <c r="BW59" s="406">
        <f t="shared" si="34"/>
        <v>0</v>
      </c>
      <c r="BX59" s="406">
        <f t="shared" si="34"/>
        <v>0</v>
      </c>
      <c r="BY59" s="406">
        <f t="shared" si="34"/>
        <v>0</v>
      </c>
      <c r="BZ59" s="406">
        <f t="shared" si="34"/>
        <v>0</v>
      </c>
      <c r="CA59" s="406">
        <f t="shared" si="34"/>
        <v>0</v>
      </c>
      <c r="CB59" s="406">
        <f t="shared" si="34"/>
        <v>0</v>
      </c>
      <c r="CC59" s="406">
        <f t="shared" si="34"/>
        <v>0</v>
      </c>
      <c r="CD59" s="406">
        <f t="shared" si="34"/>
        <v>0</v>
      </c>
      <c r="CE59" s="406">
        <f t="shared" si="34"/>
        <v>0</v>
      </c>
      <c r="CF59" s="406">
        <f t="shared" si="34"/>
        <v>0</v>
      </c>
      <c r="CG59" s="406">
        <f t="shared" si="34"/>
        <v>0</v>
      </c>
      <c r="CH59" s="406">
        <f t="shared" si="34"/>
        <v>0</v>
      </c>
      <c r="CI59" s="406">
        <f t="shared" si="34"/>
        <v>0</v>
      </c>
      <c r="CJ59" s="406">
        <f t="shared" si="34"/>
        <v>0</v>
      </c>
      <c r="CK59" s="406">
        <f t="shared" si="34"/>
        <v>0</v>
      </c>
      <c r="CL59" s="406">
        <f t="shared" si="34"/>
        <v>0</v>
      </c>
      <c r="CM59" s="406">
        <f t="shared" si="34"/>
        <v>0</v>
      </c>
      <c r="CN59" s="406">
        <f t="shared" si="34"/>
        <v>0</v>
      </c>
      <c r="CO59" s="406">
        <f t="shared" si="34"/>
        <v>0</v>
      </c>
      <c r="CP59" s="406">
        <f t="shared" si="34"/>
        <v>0</v>
      </c>
      <c r="CQ59" s="406">
        <f t="shared" si="34"/>
        <v>0</v>
      </c>
      <c r="CR59" s="406">
        <f t="shared" si="34"/>
        <v>0</v>
      </c>
      <c r="CS59" s="406">
        <f t="shared" si="34"/>
        <v>0</v>
      </c>
      <c r="CT59" s="406">
        <f t="shared" si="34"/>
        <v>0</v>
      </c>
      <c r="CU59" s="406">
        <f t="shared" si="34"/>
        <v>0</v>
      </c>
      <c r="CV59" s="406">
        <f t="shared" si="34"/>
        <v>0</v>
      </c>
      <c r="CW59" s="406">
        <f t="shared" si="34"/>
        <v>0</v>
      </c>
      <c r="CX59" s="406">
        <f t="shared" si="34"/>
        <v>0</v>
      </c>
      <c r="CY59" s="406">
        <f t="shared" si="34"/>
        <v>0</v>
      </c>
      <c r="CZ59" s="406">
        <f t="shared" si="34"/>
        <v>0</v>
      </c>
      <c r="DA59" s="406">
        <f t="shared" si="34"/>
        <v>0</v>
      </c>
      <c r="DB59" s="406">
        <f t="shared" si="34"/>
        <v>0</v>
      </c>
      <c r="DC59" s="406">
        <f t="shared" si="34"/>
        <v>0</v>
      </c>
      <c r="DD59" s="406">
        <f t="shared" si="34"/>
        <v>0</v>
      </c>
      <c r="DE59" s="406">
        <f t="shared" si="34"/>
        <v>0</v>
      </c>
      <c r="DF59" s="406">
        <f t="shared" si="34"/>
        <v>0</v>
      </c>
      <c r="DG59" s="406">
        <f t="shared" si="34"/>
        <v>0</v>
      </c>
      <c r="DH59" s="406">
        <f t="shared" si="34"/>
        <v>0</v>
      </c>
      <c r="DI59" s="406">
        <f t="shared" si="34"/>
        <v>0</v>
      </c>
      <c r="DJ59" s="406">
        <f t="shared" si="34"/>
        <v>0</v>
      </c>
      <c r="DK59" s="406">
        <f t="shared" si="34"/>
        <v>0</v>
      </c>
      <c r="DL59" s="406">
        <f t="shared" si="34"/>
        <v>0</v>
      </c>
    </row>
    <row r="60" spans="1:134" ht="15.75" customHeight="1" x14ac:dyDescent="0.25">
      <c r="A60" s="751"/>
      <c r="B60" s="751"/>
      <c r="C60" s="401" t="s">
        <v>306</v>
      </c>
      <c r="D60" s="399" t="s">
        <v>304</v>
      </c>
      <c r="E60" s="400"/>
      <c r="F60" s="400"/>
      <c r="G60" s="399"/>
      <c r="H60" s="541"/>
      <c r="I60" s="303">
        <f t="shared" ref="I60:DE60" si="35">I59-I58</f>
        <v>1.0398702016639683</v>
      </c>
      <c r="J60" s="303">
        <f t="shared" si="35"/>
        <v>1.0450962115491533</v>
      </c>
      <c r="K60" s="303">
        <f t="shared" si="35"/>
        <v>0</v>
      </c>
      <c r="L60" s="303">
        <f t="shared" si="35"/>
        <v>0</v>
      </c>
      <c r="M60" s="303">
        <f t="shared" si="35"/>
        <v>0</v>
      </c>
      <c r="N60" s="303">
        <f t="shared" si="35"/>
        <v>0</v>
      </c>
      <c r="O60" s="303">
        <f t="shared" si="35"/>
        <v>0</v>
      </c>
      <c r="P60" s="303">
        <f t="shared" si="35"/>
        <v>0</v>
      </c>
      <c r="Q60" s="303">
        <f t="shared" si="35"/>
        <v>0</v>
      </c>
      <c r="R60" s="303">
        <f t="shared" si="35"/>
        <v>0</v>
      </c>
      <c r="S60" s="303">
        <f t="shared" si="35"/>
        <v>0</v>
      </c>
      <c r="T60" s="303">
        <f t="shared" si="35"/>
        <v>0</v>
      </c>
      <c r="U60" s="303">
        <f t="shared" si="35"/>
        <v>0</v>
      </c>
      <c r="V60" s="303">
        <f t="shared" si="35"/>
        <v>0</v>
      </c>
      <c r="W60" s="303">
        <f t="shared" si="35"/>
        <v>0</v>
      </c>
      <c r="X60" s="303">
        <f t="shared" si="35"/>
        <v>0</v>
      </c>
      <c r="Y60" s="303">
        <f t="shared" si="35"/>
        <v>0</v>
      </c>
      <c r="Z60" s="303">
        <f t="shared" si="35"/>
        <v>0</v>
      </c>
      <c r="AA60" s="303">
        <f t="shared" si="35"/>
        <v>0</v>
      </c>
      <c r="AB60" s="303">
        <f t="shared" si="35"/>
        <v>0</v>
      </c>
      <c r="AC60" s="303">
        <f t="shared" si="35"/>
        <v>0</v>
      </c>
      <c r="AD60" s="303">
        <f t="shared" si="35"/>
        <v>0</v>
      </c>
      <c r="AE60" s="303">
        <f t="shared" si="35"/>
        <v>0</v>
      </c>
      <c r="AF60" s="303">
        <f t="shared" si="35"/>
        <v>0</v>
      </c>
      <c r="AG60" s="303">
        <f t="shared" si="35"/>
        <v>0</v>
      </c>
      <c r="AH60" s="303">
        <f t="shared" si="35"/>
        <v>0</v>
      </c>
      <c r="AI60" s="303">
        <f t="shared" si="35"/>
        <v>0</v>
      </c>
      <c r="AJ60" s="303">
        <f t="shared" si="35"/>
        <v>0</v>
      </c>
      <c r="AK60" s="303">
        <f t="shared" si="35"/>
        <v>0</v>
      </c>
      <c r="AL60" s="303">
        <f t="shared" si="35"/>
        <v>0</v>
      </c>
      <c r="AM60" s="303">
        <f t="shared" si="35"/>
        <v>0</v>
      </c>
      <c r="AN60" s="303">
        <f t="shared" si="35"/>
        <v>0</v>
      </c>
      <c r="AO60" s="303">
        <f t="shared" si="35"/>
        <v>0</v>
      </c>
      <c r="AP60" s="303">
        <f t="shared" si="35"/>
        <v>0</v>
      </c>
      <c r="AQ60" s="303">
        <f t="shared" si="35"/>
        <v>0</v>
      </c>
      <c r="AR60" s="303">
        <f t="shared" si="35"/>
        <v>0</v>
      </c>
      <c r="AS60" s="303">
        <f t="shared" si="35"/>
        <v>0</v>
      </c>
      <c r="AT60" s="303">
        <f t="shared" si="35"/>
        <v>0</v>
      </c>
      <c r="AU60" s="303">
        <f t="shared" si="35"/>
        <v>0</v>
      </c>
      <c r="AV60" s="303">
        <f t="shared" si="35"/>
        <v>0</v>
      </c>
      <c r="AW60" s="303">
        <f t="shared" si="35"/>
        <v>0</v>
      </c>
      <c r="AX60" s="303">
        <f t="shared" si="35"/>
        <v>0</v>
      </c>
      <c r="AY60" s="303">
        <f t="shared" si="35"/>
        <v>0</v>
      </c>
      <c r="AZ60" s="303">
        <f t="shared" si="35"/>
        <v>0</v>
      </c>
      <c r="BA60" s="303">
        <f t="shared" si="35"/>
        <v>0</v>
      </c>
      <c r="BB60" s="303">
        <f t="shared" si="35"/>
        <v>0</v>
      </c>
      <c r="BC60" s="303">
        <f t="shared" si="35"/>
        <v>0</v>
      </c>
      <c r="BD60" s="303">
        <f t="shared" si="35"/>
        <v>0</v>
      </c>
      <c r="BE60" s="303">
        <f t="shared" si="35"/>
        <v>0</v>
      </c>
      <c r="BF60" s="303">
        <f t="shared" si="35"/>
        <v>0</v>
      </c>
      <c r="BG60" s="303">
        <f t="shared" si="35"/>
        <v>0</v>
      </c>
      <c r="BH60" s="303">
        <f t="shared" si="35"/>
        <v>0</v>
      </c>
      <c r="BI60" s="303">
        <f t="shared" si="35"/>
        <v>0</v>
      </c>
      <c r="BJ60" s="303">
        <f t="shared" si="35"/>
        <v>0</v>
      </c>
      <c r="BK60" s="303">
        <f t="shared" si="35"/>
        <v>0</v>
      </c>
      <c r="BL60" s="303">
        <f t="shared" si="35"/>
        <v>0</v>
      </c>
      <c r="BM60" s="303">
        <f t="shared" si="35"/>
        <v>0</v>
      </c>
      <c r="BN60" s="303">
        <f t="shared" si="35"/>
        <v>0</v>
      </c>
      <c r="BO60" s="303">
        <f t="shared" si="35"/>
        <v>0</v>
      </c>
      <c r="BP60" s="303">
        <f t="shared" si="35"/>
        <v>0</v>
      </c>
      <c r="BQ60" s="303">
        <f t="shared" si="35"/>
        <v>0</v>
      </c>
      <c r="BR60" s="303">
        <f t="shared" si="35"/>
        <v>0</v>
      </c>
      <c r="BS60" s="303">
        <f t="shared" si="35"/>
        <v>0</v>
      </c>
      <c r="BT60" s="303">
        <f t="shared" si="35"/>
        <v>0</v>
      </c>
      <c r="BU60" s="303">
        <f t="shared" si="35"/>
        <v>0</v>
      </c>
      <c r="BV60" s="303">
        <f t="shared" si="35"/>
        <v>0</v>
      </c>
      <c r="BW60" s="303">
        <f t="shared" si="35"/>
        <v>0</v>
      </c>
      <c r="BX60" s="303">
        <f t="shared" si="35"/>
        <v>0</v>
      </c>
      <c r="BY60" s="303">
        <f t="shared" si="35"/>
        <v>0</v>
      </c>
      <c r="BZ60" s="303">
        <f t="shared" si="35"/>
        <v>0</v>
      </c>
      <c r="CA60" s="303">
        <f t="shared" si="35"/>
        <v>0</v>
      </c>
      <c r="CB60" s="303">
        <f t="shared" si="35"/>
        <v>0</v>
      </c>
      <c r="CC60" s="303">
        <f t="shared" si="35"/>
        <v>0</v>
      </c>
      <c r="CD60" s="303">
        <f t="shared" si="35"/>
        <v>0</v>
      </c>
      <c r="CE60" s="303">
        <f t="shared" si="35"/>
        <v>0</v>
      </c>
      <c r="CF60" s="303">
        <f t="shared" si="35"/>
        <v>0</v>
      </c>
      <c r="CG60" s="303">
        <f t="shared" si="35"/>
        <v>0</v>
      </c>
      <c r="CH60" s="303">
        <f t="shared" si="35"/>
        <v>0</v>
      </c>
      <c r="CI60" s="303">
        <f t="shared" si="35"/>
        <v>0</v>
      </c>
      <c r="CJ60" s="303">
        <f t="shared" si="35"/>
        <v>0</v>
      </c>
      <c r="CK60" s="303">
        <f t="shared" si="35"/>
        <v>0</v>
      </c>
      <c r="CL60" s="303">
        <f t="shared" si="35"/>
        <v>0</v>
      </c>
      <c r="CM60" s="303">
        <f t="shared" si="35"/>
        <v>0</v>
      </c>
      <c r="CN60" s="303">
        <f t="shared" si="35"/>
        <v>0</v>
      </c>
      <c r="CO60" s="303">
        <f t="shared" si="35"/>
        <v>0</v>
      </c>
      <c r="CP60" s="303">
        <f t="shared" si="35"/>
        <v>0</v>
      </c>
      <c r="CQ60" s="303">
        <f t="shared" si="35"/>
        <v>0</v>
      </c>
      <c r="CR60" s="303">
        <f t="shared" si="35"/>
        <v>0</v>
      </c>
      <c r="CS60" s="303">
        <f t="shared" si="35"/>
        <v>0</v>
      </c>
      <c r="CT60" s="303">
        <f t="shared" si="35"/>
        <v>0</v>
      </c>
      <c r="CU60" s="303">
        <f t="shared" si="35"/>
        <v>0</v>
      </c>
      <c r="CV60" s="303">
        <f t="shared" si="35"/>
        <v>0</v>
      </c>
      <c r="CW60" s="303">
        <f t="shared" si="35"/>
        <v>0</v>
      </c>
      <c r="CX60" s="303">
        <f t="shared" si="35"/>
        <v>0</v>
      </c>
      <c r="CY60" s="303">
        <f t="shared" si="35"/>
        <v>0</v>
      </c>
      <c r="CZ60" s="303">
        <f t="shared" si="35"/>
        <v>0</v>
      </c>
      <c r="DA60" s="303">
        <f t="shared" si="35"/>
        <v>0</v>
      </c>
      <c r="DB60" s="303">
        <f t="shared" si="35"/>
        <v>0</v>
      </c>
      <c r="DC60" s="303">
        <f t="shared" si="35"/>
        <v>0</v>
      </c>
      <c r="DD60" s="303">
        <f t="shared" si="35"/>
        <v>0</v>
      </c>
      <c r="DE60" s="303">
        <f t="shared" si="35"/>
        <v>0</v>
      </c>
      <c r="DF60" s="401"/>
      <c r="DG60" s="401"/>
      <c r="DH60" s="401"/>
      <c r="DI60" s="401"/>
      <c r="DJ60" s="401"/>
      <c r="DK60" s="401"/>
      <c r="DL60" s="401"/>
    </row>
    <row r="61" spans="1:134" ht="15.75" customHeight="1" x14ac:dyDescent="0.25">
      <c r="A61" s="751"/>
      <c r="B61" s="751"/>
      <c r="C61" s="403" t="s">
        <v>307</v>
      </c>
      <c r="D61" s="279"/>
      <c r="E61" s="280"/>
      <c r="F61" s="280"/>
      <c r="G61" s="279"/>
      <c r="H61" s="542">
        <v>7.44</v>
      </c>
      <c r="I61" s="406">
        <f t="shared" ref="I61:DE61" si="36">H61*60/(I60+60)</f>
        <v>7.3132527727398582</v>
      </c>
      <c r="J61" s="406">
        <f t="shared" si="36"/>
        <v>7.1880493863711141</v>
      </c>
      <c r="K61" s="406">
        <f t="shared" si="36"/>
        <v>7.1880493863711141</v>
      </c>
      <c r="L61" s="406">
        <f t="shared" si="36"/>
        <v>7.1880493863711141</v>
      </c>
      <c r="M61" s="406">
        <f t="shared" si="36"/>
        <v>7.1880493863711141</v>
      </c>
      <c r="N61" s="406">
        <f t="shared" si="36"/>
        <v>7.1880493863711141</v>
      </c>
      <c r="O61" s="406">
        <f t="shared" si="36"/>
        <v>7.1880493863711141</v>
      </c>
      <c r="P61" s="406">
        <f t="shared" si="36"/>
        <v>7.1880493863711141</v>
      </c>
      <c r="Q61" s="406">
        <f t="shared" si="36"/>
        <v>7.1880493863711141</v>
      </c>
      <c r="R61" s="406">
        <f t="shared" si="36"/>
        <v>7.1880493863711141</v>
      </c>
      <c r="S61" s="406">
        <f t="shared" si="36"/>
        <v>7.1880493863711141</v>
      </c>
      <c r="T61" s="406">
        <f t="shared" si="36"/>
        <v>7.1880493863711141</v>
      </c>
      <c r="U61" s="406">
        <f t="shared" si="36"/>
        <v>7.1880493863711141</v>
      </c>
      <c r="V61" s="406">
        <f t="shared" si="36"/>
        <v>7.1880493863711141</v>
      </c>
      <c r="W61" s="406">
        <f t="shared" si="36"/>
        <v>7.1880493863711141</v>
      </c>
      <c r="X61" s="406">
        <f t="shared" si="36"/>
        <v>7.1880493863711141</v>
      </c>
      <c r="Y61" s="406">
        <f t="shared" si="36"/>
        <v>7.1880493863711141</v>
      </c>
      <c r="Z61" s="406">
        <f t="shared" si="36"/>
        <v>7.1880493863711141</v>
      </c>
      <c r="AA61" s="406">
        <f t="shared" si="36"/>
        <v>7.1880493863711141</v>
      </c>
      <c r="AB61" s="406">
        <f t="shared" si="36"/>
        <v>7.1880493863711141</v>
      </c>
      <c r="AC61" s="406">
        <f t="shared" si="36"/>
        <v>7.1880493863711141</v>
      </c>
      <c r="AD61" s="406">
        <f t="shared" si="36"/>
        <v>7.1880493863711141</v>
      </c>
      <c r="AE61" s="406">
        <f t="shared" si="36"/>
        <v>7.1880493863711141</v>
      </c>
      <c r="AF61" s="406">
        <f t="shared" si="36"/>
        <v>7.1880493863711141</v>
      </c>
      <c r="AG61" s="406">
        <f t="shared" si="36"/>
        <v>7.1880493863711141</v>
      </c>
      <c r="AH61" s="406">
        <f t="shared" si="36"/>
        <v>7.1880493863711141</v>
      </c>
      <c r="AI61" s="406">
        <f t="shared" si="36"/>
        <v>7.1880493863711141</v>
      </c>
      <c r="AJ61" s="406">
        <f t="shared" si="36"/>
        <v>7.1880493863711141</v>
      </c>
      <c r="AK61" s="406">
        <f t="shared" si="36"/>
        <v>7.1880493863711141</v>
      </c>
      <c r="AL61" s="406">
        <f t="shared" si="36"/>
        <v>7.1880493863711141</v>
      </c>
      <c r="AM61" s="406">
        <f t="shared" si="36"/>
        <v>7.1880493863711141</v>
      </c>
      <c r="AN61" s="406">
        <f t="shared" si="36"/>
        <v>7.1880493863711141</v>
      </c>
      <c r="AO61" s="406">
        <f t="shared" si="36"/>
        <v>7.1880493863711141</v>
      </c>
      <c r="AP61" s="406">
        <f t="shared" si="36"/>
        <v>7.1880493863711141</v>
      </c>
      <c r="AQ61" s="406">
        <f t="shared" si="36"/>
        <v>7.1880493863711141</v>
      </c>
      <c r="AR61" s="406">
        <f t="shared" si="36"/>
        <v>7.1880493863711141</v>
      </c>
      <c r="AS61" s="406">
        <f t="shared" si="36"/>
        <v>7.1880493863711141</v>
      </c>
      <c r="AT61" s="406">
        <f t="shared" si="36"/>
        <v>7.1880493863711141</v>
      </c>
      <c r="AU61" s="406">
        <f t="shared" si="36"/>
        <v>7.1880493863711141</v>
      </c>
      <c r="AV61" s="406">
        <f t="shared" si="36"/>
        <v>7.1880493863711141</v>
      </c>
      <c r="AW61" s="406">
        <f t="shared" si="36"/>
        <v>7.1880493863711141</v>
      </c>
      <c r="AX61" s="406">
        <f t="shared" si="36"/>
        <v>7.1880493863711141</v>
      </c>
      <c r="AY61" s="406">
        <f t="shared" si="36"/>
        <v>7.1880493863711141</v>
      </c>
      <c r="AZ61" s="406">
        <f t="shared" si="36"/>
        <v>7.1880493863711141</v>
      </c>
      <c r="BA61" s="406">
        <f t="shared" si="36"/>
        <v>7.1880493863711141</v>
      </c>
      <c r="BB61" s="406">
        <f t="shared" si="36"/>
        <v>7.1880493863711141</v>
      </c>
      <c r="BC61" s="406">
        <f t="shared" si="36"/>
        <v>7.1880493863711141</v>
      </c>
      <c r="BD61" s="406">
        <f t="shared" si="36"/>
        <v>7.1880493863711141</v>
      </c>
      <c r="BE61" s="406">
        <f t="shared" si="36"/>
        <v>7.1880493863711141</v>
      </c>
      <c r="BF61" s="406">
        <f t="shared" si="36"/>
        <v>7.1880493863711141</v>
      </c>
      <c r="BG61" s="406">
        <f t="shared" si="36"/>
        <v>7.1880493863711141</v>
      </c>
      <c r="BH61" s="406">
        <f t="shared" si="36"/>
        <v>7.1880493863711141</v>
      </c>
      <c r="BI61" s="406">
        <f t="shared" si="36"/>
        <v>7.1880493863711141</v>
      </c>
      <c r="BJ61" s="406">
        <f t="shared" si="36"/>
        <v>7.1880493863711141</v>
      </c>
      <c r="BK61" s="406">
        <f t="shared" si="36"/>
        <v>7.1880493863711141</v>
      </c>
      <c r="BL61" s="406">
        <f t="shared" si="36"/>
        <v>7.1880493863711141</v>
      </c>
      <c r="BM61" s="406">
        <f t="shared" si="36"/>
        <v>7.1880493863711141</v>
      </c>
      <c r="BN61" s="406">
        <f t="shared" si="36"/>
        <v>7.1880493863711141</v>
      </c>
      <c r="BO61" s="406">
        <f t="shared" si="36"/>
        <v>7.1880493863711141</v>
      </c>
      <c r="BP61" s="406">
        <f t="shared" si="36"/>
        <v>7.1880493863711141</v>
      </c>
      <c r="BQ61" s="406">
        <f t="shared" si="36"/>
        <v>7.1880493863711141</v>
      </c>
      <c r="BR61" s="406">
        <f t="shared" si="36"/>
        <v>7.1880493863711141</v>
      </c>
      <c r="BS61" s="406">
        <f t="shared" si="36"/>
        <v>7.1880493863711141</v>
      </c>
      <c r="BT61" s="406">
        <f t="shared" si="36"/>
        <v>7.1880493863711141</v>
      </c>
      <c r="BU61" s="406">
        <f t="shared" si="36"/>
        <v>7.1880493863711141</v>
      </c>
      <c r="BV61" s="406">
        <f t="shared" si="36"/>
        <v>7.1880493863711141</v>
      </c>
      <c r="BW61" s="406">
        <f t="shared" si="36"/>
        <v>7.1880493863711141</v>
      </c>
      <c r="BX61" s="406">
        <f t="shared" si="36"/>
        <v>7.1880493863711141</v>
      </c>
      <c r="BY61" s="406">
        <f t="shared" si="36"/>
        <v>7.1880493863711141</v>
      </c>
      <c r="BZ61" s="406">
        <f t="shared" si="36"/>
        <v>7.1880493863711141</v>
      </c>
      <c r="CA61" s="406">
        <f t="shared" si="36"/>
        <v>7.1880493863711141</v>
      </c>
      <c r="CB61" s="406">
        <f t="shared" si="36"/>
        <v>7.1880493863711141</v>
      </c>
      <c r="CC61" s="406">
        <f t="shared" si="36"/>
        <v>7.1880493863711141</v>
      </c>
      <c r="CD61" s="406">
        <f t="shared" si="36"/>
        <v>7.1880493863711141</v>
      </c>
      <c r="CE61" s="406">
        <f t="shared" si="36"/>
        <v>7.1880493863711141</v>
      </c>
      <c r="CF61" s="406">
        <f t="shared" si="36"/>
        <v>7.1880493863711141</v>
      </c>
      <c r="CG61" s="406">
        <f t="shared" si="36"/>
        <v>7.1880493863711141</v>
      </c>
      <c r="CH61" s="406">
        <f t="shared" si="36"/>
        <v>7.1880493863711141</v>
      </c>
      <c r="CI61" s="406">
        <f t="shared" si="36"/>
        <v>7.1880493863711141</v>
      </c>
      <c r="CJ61" s="406">
        <f t="shared" si="36"/>
        <v>7.1880493863711141</v>
      </c>
      <c r="CK61" s="406">
        <f t="shared" si="36"/>
        <v>7.1880493863711141</v>
      </c>
      <c r="CL61" s="406">
        <f t="shared" si="36"/>
        <v>7.1880493863711141</v>
      </c>
      <c r="CM61" s="406">
        <f t="shared" si="36"/>
        <v>7.1880493863711141</v>
      </c>
      <c r="CN61" s="406">
        <f t="shared" si="36"/>
        <v>7.1880493863711141</v>
      </c>
      <c r="CO61" s="406">
        <f t="shared" si="36"/>
        <v>7.1880493863711141</v>
      </c>
      <c r="CP61" s="406">
        <f t="shared" si="36"/>
        <v>7.1880493863711141</v>
      </c>
      <c r="CQ61" s="406">
        <f t="shared" si="36"/>
        <v>7.1880493863711141</v>
      </c>
      <c r="CR61" s="406">
        <f t="shared" si="36"/>
        <v>7.1880493863711141</v>
      </c>
      <c r="CS61" s="406">
        <f t="shared" si="36"/>
        <v>7.1880493863711141</v>
      </c>
      <c r="CT61" s="406">
        <f t="shared" si="36"/>
        <v>7.1880493863711141</v>
      </c>
      <c r="CU61" s="406">
        <f t="shared" si="36"/>
        <v>7.1880493863711141</v>
      </c>
      <c r="CV61" s="406">
        <f t="shared" si="36"/>
        <v>7.1880493863711141</v>
      </c>
      <c r="CW61" s="406">
        <f t="shared" si="36"/>
        <v>7.1880493863711141</v>
      </c>
      <c r="CX61" s="406">
        <f t="shared" si="36"/>
        <v>7.1880493863711141</v>
      </c>
      <c r="CY61" s="406">
        <f t="shared" si="36"/>
        <v>7.1880493863711141</v>
      </c>
      <c r="CZ61" s="406">
        <f t="shared" si="36"/>
        <v>7.1880493863711141</v>
      </c>
      <c r="DA61" s="406">
        <f t="shared" si="36"/>
        <v>7.1880493863711141</v>
      </c>
      <c r="DB61" s="406">
        <f t="shared" si="36"/>
        <v>7.1880493863711141</v>
      </c>
      <c r="DC61" s="406">
        <f t="shared" si="36"/>
        <v>7.1880493863711141</v>
      </c>
      <c r="DD61" s="406">
        <f t="shared" si="36"/>
        <v>7.1880493863711141</v>
      </c>
      <c r="DE61" s="406">
        <f t="shared" si="36"/>
        <v>7.1880493863711141</v>
      </c>
      <c r="DF61" s="406"/>
      <c r="DG61" s="406"/>
      <c r="DH61" s="406"/>
      <c r="DI61" s="406"/>
      <c r="DJ61" s="406"/>
      <c r="DK61" s="406"/>
      <c r="DL61" s="406"/>
    </row>
    <row r="62" spans="1:134" ht="15.75" customHeight="1" x14ac:dyDescent="0.25">
      <c r="A62" s="751"/>
      <c r="B62" s="751"/>
      <c r="C62" s="403" t="s">
        <v>308</v>
      </c>
      <c r="D62" s="279"/>
      <c r="E62" s="280"/>
      <c r="F62" s="280"/>
      <c r="G62" s="279"/>
      <c r="H62" s="507"/>
      <c r="I62" s="543">
        <f t="shared" ref="I62:DE62" si="37">(H61-I61)/H61</f>
        <v>1.7035917642492231E-2</v>
      </c>
      <c r="J62" s="408">
        <f t="shared" si="37"/>
        <v>1.7120068218541489E-2</v>
      </c>
      <c r="K62" s="408">
        <f t="shared" si="37"/>
        <v>0</v>
      </c>
      <c r="L62" s="408">
        <f t="shared" si="37"/>
        <v>0</v>
      </c>
      <c r="M62" s="408">
        <f t="shared" si="37"/>
        <v>0</v>
      </c>
      <c r="N62" s="408">
        <f t="shared" si="37"/>
        <v>0</v>
      </c>
      <c r="O62" s="408">
        <f t="shared" si="37"/>
        <v>0</v>
      </c>
      <c r="P62" s="408">
        <f t="shared" si="37"/>
        <v>0</v>
      </c>
      <c r="Q62" s="408">
        <f t="shared" si="37"/>
        <v>0</v>
      </c>
      <c r="R62" s="408">
        <f t="shared" si="37"/>
        <v>0</v>
      </c>
      <c r="S62" s="408">
        <f t="shared" si="37"/>
        <v>0</v>
      </c>
      <c r="T62" s="408">
        <f t="shared" si="37"/>
        <v>0</v>
      </c>
      <c r="U62" s="408">
        <f t="shared" si="37"/>
        <v>0</v>
      </c>
      <c r="V62" s="408">
        <f t="shared" si="37"/>
        <v>0</v>
      </c>
      <c r="W62" s="408">
        <f t="shared" si="37"/>
        <v>0</v>
      </c>
      <c r="X62" s="408">
        <f t="shared" si="37"/>
        <v>0</v>
      </c>
      <c r="Y62" s="408">
        <f t="shared" si="37"/>
        <v>0</v>
      </c>
      <c r="Z62" s="408">
        <f t="shared" si="37"/>
        <v>0</v>
      </c>
      <c r="AA62" s="408">
        <f t="shared" si="37"/>
        <v>0</v>
      </c>
      <c r="AB62" s="408">
        <f t="shared" si="37"/>
        <v>0</v>
      </c>
      <c r="AC62" s="408">
        <f t="shared" si="37"/>
        <v>0</v>
      </c>
      <c r="AD62" s="408">
        <f t="shared" si="37"/>
        <v>0</v>
      </c>
      <c r="AE62" s="408">
        <f t="shared" si="37"/>
        <v>0</v>
      </c>
      <c r="AF62" s="408">
        <f t="shared" si="37"/>
        <v>0</v>
      </c>
      <c r="AG62" s="408">
        <f t="shared" si="37"/>
        <v>0</v>
      </c>
      <c r="AH62" s="408">
        <f t="shared" si="37"/>
        <v>0</v>
      </c>
      <c r="AI62" s="408">
        <f t="shared" si="37"/>
        <v>0</v>
      </c>
      <c r="AJ62" s="408">
        <f t="shared" si="37"/>
        <v>0</v>
      </c>
      <c r="AK62" s="408">
        <f t="shared" si="37"/>
        <v>0</v>
      </c>
      <c r="AL62" s="408">
        <f t="shared" si="37"/>
        <v>0</v>
      </c>
      <c r="AM62" s="408">
        <f t="shared" si="37"/>
        <v>0</v>
      </c>
      <c r="AN62" s="408">
        <f t="shared" si="37"/>
        <v>0</v>
      </c>
      <c r="AO62" s="408">
        <f t="shared" si="37"/>
        <v>0</v>
      </c>
      <c r="AP62" s="408">
        <f t="shared" si="37"/>
        <v>0</v>
      </c>
      <c r="AQ62" s="408">
        <f t="shared" si="37"/>
        <v>0</v>
      </c>
      <c r="AR62" s="408">
        <f t="shared" si="37"/>
        <v>0</v>
      </c>
      <c r="AS62" s="408">
        <f t="shared" si="37"/>
        <v>0</v>
      </c>
      <c r="AT62" s="408">
        <f t="shared" si="37"/>
        <v>0</v>
      </c>
      <c r="AU62" s="408">
        <f t="shared" si="37"/>
        <v>0</v>
      </c>
      <c r="AV62" s="408">
        <f t="shared" si="37"/>
        <v>0</v>
      </c>
      <c r="AW62" s="408">
        <f t="shared" si="37"/>
        <v>0</v>
      </c>
      <c r="AX62" s="408">
        <f t="shared" si="37"/>
        <v>0</v>
      </c>
      <c r="AY62" s="408">
        <f t="shared" si="37"/>
        <v>0</v>
      </c>
      <c r="AZ62" s="408">
        <f t="shared" si="37"/>
        <v>0</v>
      </c>
      <c r="BA62" s="408">
        <f t="shared" si="37"/>
        <v>0</v>
      </c>
      <c r="BB62" s="408">
        <f t="shared" si="37"/>
        <v>0</v>
      </c>
      <c r="BC62" s="408">
        <f t="shared" si="37"/>
        <v>0</v>
      </c>
      <c r="BD62" s="408">
        <f t="shared" si="37"/>
        <v>0</v>
      </c>
      <c r="BE62" s="408">
        <f t="shared" si="37"/>
        <v>0</v>
      </c>
      <c r="BF62" s="408">
        <f t="shared" si="37"/>
        <v>0</v>
      </c>
      <c r="BG62" s="408">
        <f t="shared" si="37"/>
        <v>0</v>
      </c>
      <c r="BH62" s="408">
        <f t="shared" si="37"/>
        <v>0</v>
      </c>
      <c r="BI62" s="408">
        <f t="shared" si="37"/>
        <v>0</v>
      </c>
      <c r="BJ62" s="408">
        <f t="shared" si="37"/>
        <v>0</v>
      </c>
      <c r="BK62" s="408">
        <f t="shared" si="37"/>
        <v>0</v>
      </c>
      <c r="BL62" s="408">
        <f t="shared" si="37"/>
        <v>0</v>
      </c>
      <c r="BM62" s="408">
        <f t="shared" si="37"/>
        <v>0</v>
      </c>
      <c r="BN62" s="408">
        <f t="shared" si="37"/>
        <v>0</v>
      </c>
      <c r="BO62" s="408">
        <f t="shared" si="37"/>
        <v>0</v>
      </c>
      <c r="BP62" s="408">
        <f t="shared" si="37"/>
        <v>0</v>
      </c>
      <c r="BQ62" s="408">
        <f t="shared" si="37"/>
        <v>0</v>
      </c>
      <c r="BR62" s="408">
        <f t="shared" si="37"/>
        <v>0</v>
      </c>
      <c r="BS62" s="408">
        <f t="shared" si="37"/>
        <v>0</v>
      </c>
      <c r="BT62" s="408">
        <f t="shared" si="37"/>
        <v>0</v>
      </c>
      <c r="BU62" s="408">
        <f t="shared" si="37"/>
        <v>0</v>
      </c>
      <c r="BV62" s="408">
        <f t="shared" si="37"/>
        <v>0</v>
      </c>
      <c r="BW62" s="408">
        <f t="shared" si="37"/>
        <v>0</v>
      </c>
      <c r="BX62" s="408">
        <f t="shared" si="37"/>
        <v>0</v>
      </c>
      <c r="BY62" s="408">
        <f t="shared" si="37"/>
        <v>0</v>
      </c>
      <c r="BZ62" s="408">
        <f t="shared" si="37"/>
        <v>0</v>
      </c>
      <c r="CA62" s="408">
        <f t="shared" si="37"/>
        <v>0</v>
      </c>
      <c r="CB62" s="408">
        <f t="shared" si="37"/>
        <v>0</v>
      </c>
      <c r="CC62" s="408">
        <f t="shared" si="37"/>
        <v>0</v>
      </c>
      <c r="CD62" s="408">
        <f t="shared" si="37"/>
        <v>0</v>
      </c>
      <c r="CE62" s="408">
        <f t="shared" si="37"/>
        <v>0</v>
      </c>
      <c r="CF62" s="408">
        <f t="shared" si="37"/>
        <v>0</v>
      </c>
      <c r="CG62" s="408">
        <f t="shared" si="37"/>
        <v>0</v>
      </c>
      <c r="CH62" s="408">
        <f t="shared" si="37"/>
        <v>0</v>
      </c>
      <c r="CI62" s="408">
        <f t="shared" si="37"/>
        <v>0</v>
      </c>
      <c r="CJ62" s="408">
        <f t="shared" si="37"/>
        <v>0</v>
      </c>
      <c r="CK62" s="408">
        <f t="shared" si="37"/>
        <v>0</v>
      </c>
      <c r="CL62" s="408">
        <f t="shared" si="37"/>
        <v>0</v>
      </c>
      <c r="CM62" s="408">
        <f t="shared" si="37"/>
        <v>0</v>
      </c>
      <c r="CN62" s="408">
        <f t="shared" si="37"/>
        <v>0</v>
      </c>
      <c r="CO62" s="408">
        <f t="shared" si="37"/>
        <v>0</v>
      </c>
      <c r="CP62" s="408">
        <f t="shared" si="37"/>
        <v>0</v>
      </c>
      <c r="CQ62" s="408">
        <f t="shared" si="37"/>
        <v>0</v>
      </c>
      <c r="CR62" s="408">
        <f t="shared" si="37"/>
        <v>0</v>
      </c>
      <c r="CS62" s="408">
        <f t="shared" si="37"/>
        <v>0</v>
      </c>
      <c r="CT62" s="408">
        <f t="shared" si="37"/>
        <v>0</v>
      </c>
      <c r="CU62" s="408">
        <f t="shared" si="37"/>
        <v>0</v>
      </c>
      <c r="CV62" s="408">
        <f t="shared" si="37"/>
        <v>0</v>
      </c>
      <c r="CW62" s="408">
        <f t="shared" si="37"/>
        <v>0</v>
      </c>
      <c r="CX62" s="408">
        <f t="shared" si="37"/>
        <v>0</v>
      </c>
      <c r="CY62" s="408">
        <f t="shared" si="37"/>
        <v>0</v>
      </c>
      <c r="CZ62" s="408">
        <f t="shared" si="37"/>
        <v>0</v>
      </c>
      <c r="DA62" s="408">
        <f t="shared" si="37"/>
        <v>0</v>
      </c>
      <c r="DB62" s="408">
        <f t="shared" si="37"/>
        <v>0</v>
      </c>
      <c r="DC62" s="408">
        <f t="shared" si="37"/>
        <v>0</v>
      </c>
      <c r="DD62" s="408">
        <f t="shared" si="37"/>
        <v>0</v>
      </c>
      <c r="DE62" s="408">
        <f t="shared" si="37"/>
        <v>0</v>
      </c>
      <c r="DF62" s="408"/>
      <c r="DG62" s="408"/>
      <c r="DH62" s="408"/>
      <c r="DI62" s="408"/>
      <c r="DJ62" s="408"/>
      <c r="DK62" s="408"/>
      <c r="DL62" s="408"/>
    </row>
    <row r="63" spans="1:134" ht="15.75" customHeight="1" x14ac:dyDescent="0.25">
      <c r="A63" s="751"/>
      <c r="B63" s="751"/>
      <c r="C63" s="403" t="s">
        <v>309</v>
      </c>
      <c r="D63" s="279"/>
      <c r="E63" s="280"/>
      <c r="F63" s="280"/>
      <c r="G63" s="279"/>
      <c r="H63" s="507"/>
      <c r="I63" s="406">
        <f t="shared" ref="I63:DE63" si="38">1.7*I62</f>
        <v>2.896105999223679E-2</v>
      </c>
      <c r="J63" s="406">
        <f t="shared" si="38"/>
        <v>2.9104115971520531E-2</v>
      </c>
      <c r="K63" s="406">
        <f t="shared" si="38"/>
        <v>0</v>
      </c>
      <c r="L63" s="406">
        <f t="shared" si="38"/>
        <v>0</v>
      </c>
      <c r="M63" s="406">
        <f t="shared" si="38"/>
        <v>0</v>
      </c>
      <c r="N63" s="406">
        <f t="shared" si="38"/>
        <v>0</v>
      </c>
      <c r="O63" s="406">
        <f t="shared" si="38"/>
        <v>0</v>
      </c>
      <c r="P63" s="406">
        <f t="shared" si="38"/>
        <v>0</v>
      </c>
      <c r="Q63" s="406">
        <f t="shared" si="38"/>
        <v>0</v>
      </c>
      <c r="R63" s="406">
        <f t="shared" si="38"/>
        <v>0</v>
      </c>
      <c r="S63" s="406">
        <f t="shared" si="38"/>
        <v>0</v>
      </c>
      <c r="T63" s="406">
        <f t="shared" si="38"/>
        <v>0</v>
      </c>
      <c r="U63" s="406">
        <f t="shared" si="38"/>
        <v>0</v>
      </c>
      <c r="V63" s="406">
        <f t="shared" si="38"/>
        <v>0</v>
      </c>
      <c r="W63" s="406">
        <f t="shared" si="38"/>
        <v>0</v>
      </c>
      <c r="X63" s="406">
        <f t="shared" si="38"/>
        <v>0</v>
      </c>
      <c r="Y63" s="406">
        <f t="shared" si="38"/>
        <v>0</v>
      </c>
      <c r="Z63" s="406">
        <f t="shared" si="38"/>
        <v>0</v>
      </c>
      <c r="AA63" s="406">
        <f t="shared" si="38"/>
        <v>0</v>
      </c>
      <c r="AB63" s="406">
        <f t="shared" si="38"/>
        <v>0</v>
      </c>
      <c r="AC63" s="406">
        <f t="shared" si="38"/>
        <v>0</v>
      </c>
      <c r="AD63" s="406">
        <f t="shared" si="38"/>
        <v>0</v>
      </c>
      <c r="AE63" s="406">
        <f t="shared" si="38"/>
        <v>0</v>
      </c>
      <c r="AF63" s="406">
        <f t="shared" si="38"/>
        <v>0</v>
      </c>
      <c r="AG63" s="406">
        <f t="shared" si="38"/>
        <v>0</v>
      </c>
      <c r="AH63" s="406">
        <f t="shared" si="38"/>
        <v>0</v>
      </c>
      <c r="AI63" s="406">
        <f t="shared" si="38"/>
        <v>0</v>
      </c>
      <c r="AJ63" s="406">
        <f t="shared" si="38"/>
        <v>0</v>
      </c>
      <c r="AK63" s="406">
        <f t="shared" si="38"/>
        <v>0</v>
      </c>
      <c r="AL63" s="406">
        <f t="shared" si="38"/>
        <v>0</v>
      </c>
      <c r="AM63" s="406">
        <f t="shared" si="38"/>
        <v>0</v>
      </c>
      <c r="AN63" s="406">
        <f t="shared" si="38"/>
        <v>0</v>
      </c>
      <c r="AO63" s="406">
        <f t="shared" si="38"/>
        <v>0</v>
      </c>
      <c r="AP63" s="406">
        <f t="shared" si="38"/>
        <v>0</v>
      </c>
      <c r="AQ63" s="406">
        <f t="shared" si="38"/>
        <v>0</v>
      </c>
      <c r="AR63" s="406">
        <f t="shared" si="38"/>
        <v>0</v>
      </c>
      <c r="AS63" s="406">
        <f t="shared" si="38"/>
        <v>0</v>
      </c>
      <c r="AT63" s="406">
        <f t="shared" si="38"/>
        <v>0</v>
      </c>
      <c r="AU63" s="406">
        <f t="shared" si="38"/>
        <v>0</v>
      </c>
      <c r="AV63" s="406">
        <f t="shared" si="38"/>
        <v>0</v>
      </c>
      <c r="AW63" s="406">
        <f t="shared" si="38"/>
        <v>0</v>
      </c>
      <c r="AX63" s="406">
        <f t="shared" si="38"/>
        <v>0</v>
      </c>
      <c r="AY63" s="406">
        <f t="shared" si="38"/>
        <v>0</v>
      </c>
      <c r="AZ63" s="406">
        <f t="shared" si="38"/>
        <v>0</v>
      </c>
      <c r="BA63" s="406">
        <f t="shared" si="38"/>
        <v>0</v>
      </c>
      <c r="BB63" s="406">
        <f t="shared" si="38"/>
        <v>0</v>
      </c>
      <c r="BC63" s="406">
        <f t="shared" si="38"/>
        <v>0</v>
      </c>
      <c r="BD63" s="406">
        <f t="shared" si="38"/>
        <v>0</v>
      </c>
      <c r="BE63" s="406">
        <f t="shared" si="38"/>
        <v>0</v>
      </c>
      <c r="BF63" s="406">
        <f t="shared" si="38"/>
        <v>0</v>
      </c>
      <c r="BG63" s="406">
        <f t="shared" si="38"/>
        <v>0</v>
      </c>
      <c r="BH63" s="406">
        <f t="shared" si="38"/>
        <v>0</v>
      </c>
      <c r="BI63" s="406">
        <f t="shared" si="38"/>
        <v>0</v>
      </c>
      <c r="BJ63" s="406">
        <f t="shared" si="38"/>
        <v>0</v>
      </c>
      <c r="BK63" s="406">
        <f t="shared" si="38"/>
        <v>0</v>
      </c>
      <c r="BL63" s="406">
        <f t="shared" si="38"/>
        <v>0</v>
      </c>
      <c r="BM63" s="406">
        <f t="shared" si="38"/>
        <v>0</v>
      </c>
      <c r="BN63" s="406">
        <f t="shared" si="38"/>
        <v>0</v>
      </c>
      <c r="BO63" s="406">
        <f t="shared" si="38"/>
        <v>0</v>
      </c>
      <c r="BP63" s="406">
        <f t="shared" si="38"/>
        <v>0</v>
      </c>
      <c r="BQ63" s="406">
        <f t="shared" si="38"/>
        <v>0</v>
      </c>
      <c r="BR63" s="406">
        <f t="shared" si="38"/>
        <v>0</v>
      </c>
      <c r="BS63" s="406">
        <f t="shared" si="38"/>
        <v>0</v>
      </c>
      <c r="BT63" s="406">
        <f t="shared" si="38"/>
        <v>0</v>
      </c>
      <c r="BU63" s="406">
        <f t="shared" si="38"/>
        <v>0</v>
      </c>
      <c r="BV63" s="406">
        <f t="shared" si="38"/>
        <v>0</v>
      </c>
      <c r="BW63" s="406">
        <f t="shared" si="38"/>
        <v>0</v>
      </c>
      <c r="BX63" s="406">
        <f t="shared" si="38"/>
        <v>0</v>
      </c>
      <c r="BY63" s="406">
        <f t="shared" si="38"/>
        <v>0</v>
      </c>
      <c r="BZ63" s="406">
        <f t="shared" si="38"/>
        <v>0</v>
      </c>
      <c r="CA63" s="406">
        <f t="shared" si="38"/>
        <v>0</v>
      </c>
      <c r="CB63" s="406">
        <f t="shared" si="38"/>
        <v>0</v>
      </c>
      <c r="CC63" s="406">
        <f t="shared" si="38"/>
        <v>0</v>
      </c>
      <c r="CD63" s="406">
        <f t="shared" si="38"/>
        <v>0</v>
      </c>
      <c r="CE63" s="406">
        <f t="shared" si="38"/>
        <v>0</v>
      </c>
      <c r="CF63" s="406">
        <f t="shared" si="38"/>
        <v>0</v>
      </c>
      <c r="CG63" s="406">
        <f t="shared" si="38"/>
        <v>0</v>
      </c>
      <c r="CH63" s="406">
        <f t="shared" si="38"/>
        <v>0</v>
      </c>
      <c r="CI63" s="406">
        <f t="shared" si="38"/>
        <v>0</v>
      </c>
      <c r="CJ63" s="406">
        <f t="shared" si="38"/>
        <v>0</v>
      </c>
      <c r="CK63" s="406">
        <f t="shared" si="38"/>
        <v>0</v>
      </c>
      <c r="CL63" s="406">
        <f t="shared" si="38"/>
        <v>0</v>
      </c>
      <c r="CM63" s="406">
        <f t="shared" si="38"/>
        <v>0</v>
      </c>
      <c r="CN63" s="406">
        <f t="shared" si="38"/>
        <v>0</v>
      </c>
      <c r="CO63" s="406">
        <f t="shared" si="38"/>
        <v>0</v>
      </c>
      <c r="CP63" s="406">
        <f t="shared" si="38"/>
        <v>0</v>
      </c>
      <c r="CQ63" s="406">
        <f t="shared" si="38"/>
        <v>0</v>
      </c>
      <c r="CR63" s="406">
        <f t="shared" si="38"/>
        <v>0</v>
      </c>
      <c r="CS63" s="406">
        <f t="shared" si="38"/>
        <v>0</v>
      </c>
      <c r="CT63" s="406">
        <f t="shared" si="38"/>
        <v>0</v>
      </c>
      <c r="CU63" s="406">
        <f t="shared" si="38"/>
        <v>0</v>
      </c>
      <c r="CV63" s="406">
        <f t="shared" si="38"/>
        <v>0</v>
      </c>
      <c r="CW63" s="406">
        <f t="shared" si="38"/>
        <v>0</v>
      </c>
      <c r="CX63" s="406">
        <f t="shared" si="38"/>
        <v>0</v>
      </c>
      <c r="CY63" s="406">
        <f t="shared" si="38"/>
        <v>0</v>
      </c>
      <c r="CZ63" s="406">
        <f t="shared" si="38"/>
        <v>0</v>
      </c>
      <c r="DA63" s="406">
        <f t="shared" si="38"/>
        <v>0</v>
      </c>
      <c r="DB63" s="406">
        <f t="shared" si="38"/>
        <v>0</v>
      </c>
      <c r="DC63" s="406">
        <f t="shared" si="38"/>
        <v>0</v>
      </c>
      <c r="DD63" s="406">
        <f t="shared" si="38"/>
        <v>0</v>
      </c>
      <c r="DE63" s="406">
        <f t="shared" si="38"/>
        <v>0</v>
      </c>
      <c r="DF63" s="406"/>
      <c r="DG63" s="406"/>
      <c r="DH63" s="406"/>
      <c r="DI63" s="406"/>
      <c r="DJ63" s="406"/>
      <c r="DK63" s="406"/>
      <c r="DL63" s="406"/>
    </row>
    <row r="64" spans="1:134" ht="15.75" customHeight="1" x14ac:dyDescent="0.25">
      <c r="A64" s="751"/>
      <c r="B64" s="769" t="s">
        <v>396</v>
      </c>
      <c r="C64" s="403" t="s">
        <v>310</v>
      </c>
      <c r="D64" s="279" t="s">
        <v>311</v>
      </c>
      <c r="E64" s="280"/>
      <c r="F64" s="280"/>
      <c r="G64" s="279"/>
      <c r="H64" s="507">
        <f>2201+4779+8934</f>
        <v>15914</v>
      </c>
      <c r="I64" s="282">
        <f t="shared" ref="I64:DE64" si="39">H64*(1-I63)</f>
        <v>15453.113691283545</v>
      </c>
      <c r="J64" s="282">
        <f t="shared" si="39"/>
        <v>15003.364478291336</v>
      </c>
      <c r="K64" s="282">
        <f t="shared" si="39"/>
        <v>15003.364478291336</v>
      </c>
      <c r="L64" s="282">
        <f t="shared" si="39"/>
        <v>15003.364478291336</v>
      </c>
      <c r="M64" s="282">
        <f t="shared" si="39"/>
        <v>15003.364478291336</v>
      </c>
      <c r="N64" s="282">
        <f t="shared" si="39"/>
        <v>15003.364478291336</v>
      </c>
      <c r="O64" s="282">
        <f t="shared" si="39"/>
        <v>15003.364478291336</v>
      </c>
      <c r="P64" s="282">
        <f t="shared" si="39"/>
        <v>15003.364478291336</v>
      </c>
      <c r="Q64" s="282">
        <f t="shared" si="39"/>
        <v>15003.364478291336</v>
      </c>
      <c r="R64" s="282">
        <f t="shared" si="39"/>
        <v>15003.364478291336</v>
      </c>
      <c r="S64" s="282">
        <f t="shared" si="39"/>
        <v>15003.364478291336</v>
      </c>
      <c r="T64" s="282">
        <f t="shared" si="39"/>
        <v>15003.364478291336</v>
      </c>
      <c r="U64" s="282">
        <f t="shared" si="39"/>
        <v>15003.364478291336</v>
      </c>
      <c r="V64" s="282">
        <f t="shared" si="39"/>
        <v>15003.364478291336</v>
      </c>
      <c r="W64" s="282">
        <f t="shared" si="39"/>
        <v>15003.364478291336</v>
      </c>
      <c r="X64" s="282">
        <f t="shared" si="39"/>
        <v>15003.364478291336</v>
      </c>
      <c r="Y64" s="282">
        <f t="shared" si="39"/>
        <v>15003.364478291336</v>
      </c>
      <c r="Z64" s="282">
        <f t="shared" si="39"/>
        <v>15003.364478291336</v>
      </c>
      <c r="AA64" s="282">
        <f t="shared" si="39"/>
        <v>15003.364478291336</v>
      </c>
      <c r="AB64" s="282">
        <f t="shared" si="39"/>
        <v>15003.364478291336</v>
      </c>
      <c r="AC64" s="282">
        <f t="shared" si="39"/>
        <v>15003.364478291336</v>
      </c>
      <c r="AD64" s="282">
        <f t="shared" si="39"/>
        <v>15003.364478291336</v>
      </c>
      <c r="AE64" s="282">
        <f t="shared" si="39"/>
        <v>15003.364478291336</v>
      </c>
      <c r="AF64" s="282">
        <f t="shared" si="39"/>
        <v>15003.364478291336</v>
      </c>
      <c r="AG64" s="282">
        <f t="shared" si="39"/>
        <v>15003.364478291336</v>
      </c>
      <c r="AH64" s="282">
        <f t="shared" si="39"/>
        <v>15003.364478291336</v>
      </c>
      <c r="AI64" s="282">
        <f t="shared" si="39"/>
        <v>15003.364478291336</v>
      </c>
      <c r="AJ64" s="282">
        <f t="shared" si="39"/>
        <v>15003.364478291336</v>
      </c>
      <c r="AK64" s="282">
        <f t="shared" si="39"/>
        <v>15003.364478291336</v>
      </c>
      <c r="AL64" s="282">
        <f t="shared" si="39"/>
        <v>15003.364478291336</v>
      </c>
      <c r="AM64" s="282">
        <f t="shared" si="39"/>
        <v>15003.364478291336</v>
      </c>
      <c r="AN64" s="282">
        <f t="shared" si="39"/>
        <v>15003.364478291336</v>
      </c>
      <c r="AO64" s="282">
        <f t="shared" si="39"/>
        <v>15003.364478291336</v>
      </c>
      <c r="AP64" s="282">
        <f t="shared" si="39"/>
        <v>15003.364478291336</v>
      </c>
      <c r="AQ64" s="282">
        <f t="shared" si="39"/>
        <v>15003.364478291336</v>
      </c>
      <c r="AR64" s="282">
        <f t="shared" si="39"/>
        <v>15003.364478291336</v>
      </c>
      <c r="AS64" s="282">
        <f t="shared" si="39"/>
        <v>15003.364478291336</v>
      </c>
      <c r="AT64" s="282">
        <f t="shared" si="39"/>
        <v>15003.364478291336</v>
      </c>
      <c r="AU64" s="282">
        <f t="shared" si="39"/>
        <v>15003.364478291336</v>
      </c>
      <c r="AV64" s="282">
        <f t="shared" si="39"/>
        <v>15003.364478291336</v>
      </c>
      <c r="AW64" s="282">
        <f t="shared" si="39"/>
        <v>15003.364478291336</v>
      </c>
      <c r="AX64" s="282">
        <f t="shared" si="39"/>
        <v>15003.364478291336</v>
      </c>
      <c r="AY64" s="282">
        <f t="shared" si="39"/>
        <v>15003.364478291336</v>
      </c>
      <c r="AZ64" s="282">
        <f t="shared" si="39"/>
        <v>15003.364478291336</v>
      </c>
      <c r="BA64" s="282">
        <f t="shared" si="39"/>
        <v>15003.364478291336</v>
      </c>
      <c r="BB64" s="282">
        <f t="shared" si="39"/>
        <v>15003.364478291336</v>
      </c>
      <c r="BC64" s="282">
        <f t="shared" si="39"/>
        <v>15003.364478291336</v>
      </c>
      <c r="BD64" s="282">
        <f t="shared" si="39"/>
        <v>15003.364478291336</v>
      </c>
      <c r="BE64" s="282">
        <f t="shared" si="39"/>
        <v>15003.364478291336</v>
      </c>
      <c r="BF64" s="282">
        <f t="shared" si="39"/>
        <v>15003.364478291336</v>
      </c>
      <c r="BG64" s="282">
        <f t="shared" si="39"/>
        <v>15003.364478291336</v>
      </c>
      <c r="BH64" s="282">
        <f t="shared" si="39"/>
        <v>15003.364478291336</v>
      </c>
      <c r="BI64" s="282">
        <f t="shared" si="39"/>
        <v>15003.364478291336</v>
      </c>
      <c r="BJ64" s="282">
        <f t="shared" si="39"/>
        <v>15003.364478291336</v>
      </c>
      <c r="BK64" s="282">
        <f t="shared" si="39"/>
        <v>15003.364478291336</v>
      </c>
      <c r="BL64" s="282">
        <f t="shared" si="39"/>
        <v>15003.364478291336</v>
      </c>
      <c r="BM64" s="282">
        <f t="shared" si="39"/>
        <v>15003.364478291336</v>
      </c>
      <c r="BN64" s="282">
        <f t="shared" si="39"/>
        <v>15003.364478291336</v>
      </c>
      <c r="BO64" s="282">
        <f t="shared" si="39"/>
        <v>15003.364478291336</v>
      </c>
      <c r="BP64" s="282">
        <f t="shared" si="39"/>
        <v>15003.364478291336</v>
      </c>
      <c r="BQ64" s="282">
        <f t="shared" si="39"/>
        <v>15003.364478291336</v>
      </c>
      <c r="BR64" s="282">
        <f t="shared" si="39"/>
        <v>15003.364478291336</v>
      </c>
      <c r="BS64" s="282">
        <f t="shared" si="39"/>
        <v>15003.364478291336</v>
      </c>
      <c r="BT64" s="282">
        <f t="shared" si="39"/>
        <v>15003.364478291336</v>
      </c>
      <c r="BU64" s="282">
        <f t="shared" si="39"/>
        <v>15003.364478291336</v>
      </c>
      <c r="BV64" s="282">
        <f t="shared" si="39"/>
        <v>15003.364478291336</v>
      </c>
      <c r="BW64" s="282">
        <f t="shared" si="39"/>
        <v>15003.364478291336</v>
      </c>
      <c r="BX64" s="282">
        <f t="shared" si="39"/>
        <v>15003.364478291336</v>
      </c>
      <c r="BY64" s="282">
        <f t="shared" si="39"/>
        <v>15003.364478291336</v>
      </c>
      <c r="BZ64" s="282">
        <f t="shared" si="39"/>
        <v>15003.364478291336</v>
      </c>
      <c r="CA64" s="282">
        <f t="shared" si="39"/>
        <v>15003.364478291336</v>
      </c>
      <c r="CB64" s="282">
        <f t="shared" si="39"/>
        <v>15003.364478291336</v>
      </c>
      <c r="CC64" s="282">
        <f t="shared" si="39"/>
        <v>15003.364478291336</v>
      </c>
      <c r="CD64" s="282">
        <f t="shared" si="39"/>
        <v>15003.364478291336</v>
      </c>
      <c r="CE64" s="282">
        <f t="shared" si="39"/>
        <v>15003.364478291336</v>
      </c>
      <c r="CF64" s="282">
        <f t="shared" si="39"/>
        <v>15003.364478291336</v>
      </c>
      <c r="CG64" s="282">
        <f t="shared" si="39"/>
        <v>15003.364478291336</v>
      </c>
      <c r="CH64" s="282">
        <f t="shared" si="39"/>
        <v>15003.364478291336</v>
      </c>
      <c r="CI64" s="282">
        <f t="shared" si="39"/>
        <v>15003.364478291336</v>
      </c>
      <c r="CJ64" s="282">
        <f t="shared" si="39"/>
        <v>15003.364478291336</v>
      </c>
      <c r="CK64" s="282">
        <f t="shared" si="39"/>
        <v>15003.364478291336</v>
      </c>
      <c r="CL64" s="282">
        <f t="shared" si="39"/>
        <v>15003.364478291336</v>
      </c>
      <c r="CM64" s="282">
        <f t="shared" si="39"/>
        <v>15003.364478291336</v>
      </c>
      <c r="CN64" s="282">
        <f t="shared" si="39"/>
        <v>15003.364478291336</v>
      </c>
      <c r="CO64" s="282">
        <f t="shared" si="39"/>
        <v>15003.364478291336</v>
      </c>
      <c r="CP64" s="282">
        <f t="shared" si="39"/>
        <v>15003.364478291336</v>
      </c>
      <c r="CQ64" s="282">
        <f t="shared" si="39"/>
        <v>15003.364478291336</v>
      </c>
      <c r="CR64" s="282">
        <f t="shared" si="39"/>
        <v>15003.364478291336</v>
      </c>
      <c r="CS64" s="282">
        <f t="shared" si="39"/>
        <v>15003.364478291336</v>
      </c>
      <c r="CT64" s="282">
        <f t="shared" si="39"/>
        <v>15003.364478291336</v>
      </c>
      <c r="CU64" s="282">
        <f t="shared" si="39"/>
        <v>15003.364478291336</v>
      </c>
      <c r="CV64" s="282">
        <f t="shared" si="39"/>
        <v>15003.364478291336</v>
      </c>
      <c r="CW64" s="282">
        <f t="shared" si="39"/>
        <v>15003.364478291336</v>
      </c>
      <c r="CX64" s="282">
        <f t="shared" si="39"/>
        <v>15003.364478291336</v>
      </c>
      <c r="CY64" s="282">
        <f t="shared" si="39"/>
        <v>15003.364478291336</v>
      </c>
      <c r="CZ64" s="282">
        <f t="shared" si="39"/>
        <v>15003.364478291336</v>
      </c>
      <c r="DA64" s="282">
        <f t="shared" si="39"/>
        <v>15003.364478291336</v>
      </c>
      <c r="DB64" s="282">
        <f t="shared" si="39"/>
        <v>15003.364478291336</v>
      </c>
      <c r="DC64" s="282">
        <f t="shared" si="39"/>
        <v>15003.364478291336</v>
      </c>
      <c r="DD64" s="282">
        <f t="shared" si="39"/>
        <v>15003.364478291336</v>
      </c>
      <c r="DE64" s="282">
        <f t="shared" si="39"/>
        <v>15003.364478291336</v>
      </c>
      <c r="DF64" s="282"/>
      <c r="DG64" s="282"/>
      <c r="DH64" s="282"/>
      <c r="DI64" s="282"/>
      <c r="DJ64" s="282"/>
      <c r="DK64" s="282"/>
      <c r="DL64" s="282"/>
    </row>
    <row r="65" spans="1:116" ht="15.75" customHeight="1" x14ac:dyDescent="0.25">
      <c r="A65" s="751"/>
      <c r="B65" s="751"/>
      <c r="C65" s="391" t="s">
        <v>312</v>
      </c>
      <c r="D65" s="279" t="s">
        <v>204</v>
      </c>
      <c r="E65" s="280"/>
      <c r="F65" s="280"/>
      <c r="G65" s="279"/>
      <c r="H65" s="507"/>
      <c r="I65" s="282">
        <f t="shared" ref="I65:DE65" si="40">H64-I64</f>
        <v>460.88630871645546</v>
      </c>
      <c r="J65" s="282">
        <f t="shared" si="40"/>
        <v>449.74921299220841</v>
      </c>
      <c r="K65" s="282">
        <f t="shared" si="40"/>
        <v>0</v>
      </c>
      <c r="L65" s="282">
        <f t="shared" si="40"/>
        <v>0</v>
      </c>
      <c r="M65" s="282">
        <f t="shared" si="40"/>
        <v>0</v>
      </c>
      <c r="N65" s="282">
        <f t="shared" si="40"/>
        <v>0</v>
      </c>
      <c r="O65" s="282">
        <f t="shared" si="40"/>
        <v>0</v>
      </c>
      <c r="P65" s="282">
        <f t="shared" si="40"/>
        <v>0</v>
      </c>
      <c r="Q65" s="282">
        <f t="shared" si="40"/>
        <v>0</v>
      </c>
      <c r="R65" s="282">
        <f t="shared" si="40"/>
        <v>0</v>
      </c>
      <c r="S65" s="282">
        <f t="shared" si="40"/>
        <v>0</v>
      </c>
      <c r="T65" s="282">
        <f t="shared" si="40"/>
        <v>0</v>
      </c>
      <c r="U65" s="282">
        <f t="shared" si="40"/>
        <v>0</v>
      </c>
      <c r="V65" s="282">
        <f t="shared" si="40"/>
        <v>0</v>
      </c>
      <c r="W65" s="282">
        <f t="shared" si="40"/>
        <v>0</v>
      </c>
      <c r="X65" s="282">
        <f t="shared" si="40"/>
        <v>0</v>
      </c>
      <c r="Y65" s="282">
        <f t="shared" si="40"/>
        <v>0</v>
      </c>
      <c r="Z65" s="282">
        <f t="shared" si="40"/>
        <v>0</v>
      </c>
      <c r="AA65" s="282">
        <f t="shared" si="40"/>
        <v>0</v>
      </c>
      <c r="AB65" s="282">
        <f t="shared" si="40"/>
        <v>0</v>
      </c>
      <c r="AC65" s="282">
        <f t="shared" si="40"/>
        <v>0</v>
      </c>
      <c r="AD65" s="282">
        <f t="shared" si="40"/>
        <v>0</v>
      </c>
      <c r="AE65" s="282">
        <f t="shared" si="40"/>
        <v>0</v>
      </c>
      <c r="AF65" s="282">
        <f t="shared" si="40"/>
        <v>0</v>
      </c>
      <c r="AG65" s="282">
        <f t="shared" si="40"/>
        <v>0</v>
      </c>
      <c r="AH65" s="282">
        <f t="shared" si="40"/>
        <v>0</v>
      </c>
      <c r="AI65" s="282">
        <f t="shared" si="40"/>
        <v>0</v>
      </c>
      <c r="AJ65" s="282">
        <f t="shared" si="40"/>
        <v>0</v>
      </c>
      <c r="AK65" s="282">
        <f t="shared" si="40"/>
        <v>0</v>
      </c>
      <c r="AL65" s="282">
        <f t="shared" si="40"/>
        <v>0</v>
      </c>
      <c r="AM65" s="282">
        <f t="shared" si="40"/>
        <v>0</v>
      </c>
      <c r="AN65" s="282">
        <f t="shared" si="40"/>
        <v>0</v>
      </c>
      <c r="AO65" s="282">
        <f t="shared" si="40"/>
        <v>0</v>
      </c>
      <c r="AP65" s="282">
        <f t="shared" si="40"/>
        <v>0</v>
      </c>
      <c r="AQ65" s="282">
        <f t="shared" si="40"/>
        <v>0</v>
      </c>
      <c r="AR65" s="282">
        <f t="shared" si="40"/>
        <v>0</v>
      </c>
      <c r="AS65" s="282">
        <f t="shared" si="40"/>
        <v>0</v>
      </c>
      <c r="AT65" s="282">
        <f t="shared" si="40"/>
        <v>0</v>
      </c>
      <c r="AU65" s="282">
        <f t="shared" si="40"/>
        <v>0</v>
      </c>
      <c r="AV65" s="282">
        <f t="shared" si="40"/>
        <v>0</v>
      </c>
      <c r="AW65" s="282">
        <f t="shared" si="40"/>
        <v>0</v>
      </c>
      <c r="AX65" s="282">
        <f t="shared" si="40"/>
        <v>0</v>
      </c>
      <c r="AY65" s="282">
        <f t="shared" si="40"/>
        <v>0</v>
      </c>
      <c r="AZ65" s="282">
        <f t="shared" si="40"/>
        <v>0</v>
      </c>
      <c r="BA65" s="282">
        <f t="shared" si="40"/>
        <v>0</v>
      </c>
      <c r="BB65" s="282">
        <f t="shared" si="40"/>
        <v>0</v>
      </c>
      <c r="BC65" s="282">
        <f t="shared" si="40"/>
        <v>0</v>
      </c>
      <c r="BD65" s="282">
        <f t="shared" si="40"/>
        <v>0</v>
      </c>
      <c r="BE65" s="282">
        <f t="shared" si="40"/>
        <v>0</v>
      </c>
      <c r="BF65" s="282">
        <f t="shared" si="40"/>
        <v>0</v>
      </c>
      <c r="BG65" s="282">
        <f t="shared" si="40"/>
        <v>0</v>
      </c>
      <c r="BH65" s="282">
        <f t="shared" si="40"/>
        <v>0</v>
      </c>
      <c r="BI65" s="282">
        <f t="shared" si="40"/>
        <v>0</v>
      </c>
      <c r="BJ65" s="282">
        <f t="shared" si="40"/>
        <v>0</v>
      </c>
      <c r="BK65" s="282">
        <f t="shared" si="40"/>
        <v>0</v>
      </c>
      <c r="BL65" s="282">
        <f t="shared" si="40"/>
        <v>0</v>
      </c>
      <c r="BM65" s="282">
        <f t="shared" si="40"/>
        <v>0</v>
      </c>
      <c r="BN65" s="282">
        <f t="shared" si="40"/>
        <v>0</v>
      </c>
      <c r="BO65" s="282">
        <f t="shared" si="40"/>
        <v>0</v>
      </c>
      <c r="BP65" s="282">
        <f t="shared" si="40"/>
        <v>0</v>
      </c>
      <c r="BQ65" s="282">
        <f t="shared" si="40"/>
        <v>0</v>
      </c>
      <c r="BR65" s="282">
        <f t="shared" si="40"/>
        <v>0</v>
      </c>
      <c r="BS65" s="282">
        <f t="shared" si="40"/>
        <v>0</v>
      </c>
      <c r="BT65" s="282">
        <f t="shared" si="40"/>
        <v>0</v>
      </c>
      <c r="BU65" s="282">
        <f t="shared" si="40"/>
        <v>0</v>
      </c>
      <c r="BV65" s="282">
        <f t="shared" si="40"/>
        <v>0</v>
      </c>
      <c r="BW65" s="282">
        <f t="shared" si="40"/>
        <v>0</v>
      </c>
      <c r="BX65" s="282">
        <f t="shared" si="40"/>
        <v>0</v>
      </c>
      <c r="BY65" s="282">
        <f t="shared" si="40"/>
        <v>0</v>
      </c>
      <c r="BZ65" s="282">
        <f t="shared" si="40"/>
        <v>0</v>
      </c>
      <c r="CA65" s="282">
        <f t="shared" si="40"/>
        <v>0</v>
      </c>
      <c r="CB65" s="282">
        <f t="shared" si="40"/>
        <v>0</v>
      </c>
      <c r="CC65" s="282">
        <f t="shared" si="40"/>
        <v>0</v>
      </c>
      <c r="CD65" s="282">
        <f t="shared" si="40"/>
        <v>0</v>
      </c>
      <c r="CE65" s="282">
        <f t="shared" si="40"/>
        <v>0</v>
      </c>
      <c r="CF65" s="282">
        <f t="shared" si="40"/>
        <v>0</v>
      </c>
      <c r="CG65" s="282">
        <f t="shared" si="40"/>
        <v>0</v>
      </c>
      <c r="CH65" s="282">
        <f t="shared" si="40"/>
        <v>0</v>
      </c>
      <c r="CI65" s="282">
        <f t="shared" si="40"/>
        <v>0</v>
      </c>
      <c r="CJ65" s="282">
        <f t="shared" si="40"/>
        <v>0</v>
      </c>
      <c r="CK65" s="282">
        <f t="shared" si="40"/>
        <v>0</v>
      </c>
      <c r="CL65" s="282">
        <f t="shared" si="40"/>
        <v>0</v>
      </c>
      <c r="CM65" s="282">
        <f t="shared" si="40"/>
        <v>0</v>
      </c>
      <c r="CN65" s="282">
        <f t="shared" si="40"/>
        <v>0</v>
      </c>
      <c r="CO65" s="282">
        <f t="shared" si="40"/>
        <v>0</v>
      </c>
      <c r="CP65" s="282">
        <f t="shared" si="40"/>
        <v>0</v>
      </c>
      <c r="CQ65" s="282">
        <f t="shared" si="40"/>
        <v>0</v>
      </c>
      <c r="CR65" s="282">
        <f t="shared" si="40"/>
        <v>0</v>
      </c>
      <c r="CS65" s="282">
        <f t="shared" si="40"/>
        <v>0</v>
      </c>
      <c r="CT65" s="282">
        <f t="shared" si="40"/>
        <v>0</v>
      </c>
      <c r="CU65" s="282">
        <f t="shared" si="40"/>
        <v>0</v>
      </c>
      <c r="CV65" s="282">
        <f t="shared" si="40"/>
        <v>0</v>
      </c>
      <c r="CW65" s="282">
        <f t="shared" si="40"/>
        <v>0</v>
      </c>
      <c r="CX65" s="282">
        <f t="shared" si="40"/>
        <v>0</v>
      </c>
      <c r="CY65" s="282">
        <f t="shared" si="40"/>
        <v>0</v>
      </c>
      <c r="CZ65" s="282">
        <f t="shared" si="40"/>
        <v>0</v>
      </c>
      <c r="DA65" s="282">
        <f t="shared" si="40"/>
        <v>0</v>
      </c>
      <c r="DB65" s="282">
        <f t="shared" si="40"/>
        <v>0</v>
      </c>
      <c r="DC65" s="282">
        <f t="shared" si="40"/>
        <v>0</v>
      </c>
      <c r="DD65" s="282">
        <f t="shared" si="40"/>
        <v>0</v>
      </c>
      <c r="DE65" s="282">
        <f t="shared" si="40"/>
        <v>0</v>
      </c>
      <c r="DF65" s="282"/>
      <c r="DG65" s="282"/>
      <c r="DH65" s="282"/>
      <c r="DI65" s="282"/>
      <c r="DJ65" s="282"/>
      <c r="DK65" s="282"/>
      <c r="DL65" s="282"/>
    </row>
    <row r="66" spans="1:116" ht="15.75" customHeight="1" x14ac:dyDescent="0.25">
      <c r="A66" s="751"/>
      <c r="B66" s="751"/>
      <c r="C66" s="544" t="s">
        <v>313</v>
      </c>
      <c r="D66" s="371" t="s">
        <v>314</v>
      </c>
      <c r="E66" s="509"/>
      <c r="F66" s="332"/>
      <c r="G66" s="371"/>
      <c r="H66" s="545"/>
      <c r="I66" s="373">
        <f t="shared" ref="I66:DE66" si="41">2.75*I65</f>
        <v>1267.4373489702525</v>
      </c>
      <c r="J66" s="373">
        <f t="shared" si="41"/>
        <v>1236.8103357285731</v>
      </c>
      <c r="K66" s="373">
        <f t="shared" si="41"/>
        <v>0</v>
      </c>
      <c r="L66" s="373">
        <f t="shared" si="41"/>
        <v>0</v>
      </c>
      <c r="M66" s="373">
        <f t="shared" si="41"/>
        <v>0</v>
      </c>
      <c r="N66" s="373">
        <f t="shared" si="41"/>
        <v>0</v>
      </c>
      <c r="O66" s="373">
        <f t="shared" si="41"/>
        <v>0</v>
      </c>
      <c r="P66" s="373">
        <f t="shared" si="41"/>
        <v>0</v>
      </c>
      <c r="Q66" s="373">
        <f t="shared" si="41"/>
        <v>0</v>
      </c>
      <c r="R66" s="373">
        <f t="shared" si="41"/>
        <v>0</v>
      </c>
      <c r="S66" s="373">
        <f t="shared" si="41"/>
        <v>0</v>
      </c>
      <c r="T66" s="373">
        <f t="shared" si="41"/>
        <v>0</v>
      </c>
      <c r="U66" s="373">
        <f t="shared" si="41"/>
        <v>0</v>
      </c>
      <c r="V66" s="373">
        <f t="shared" si="41"/>
        <v>0</v>
      </c>
      <c r="W66" s="373">
        <f t="shared" si="41"/>
        <v>0</v>
      </c>
      <c r="X66" s="373">
        <f t="shared" si="41"/>
        <v>0</v>
      </c>
      <c r="Y66" s="373">
        <f t="shared" si="41"/>
        <v>0</v>
      </c>
      <c r="Z66" s="373">
        <f t="shared" si="41"/>
        <v>0</v>
      </c>
      <c r="AA66" s="373">
        <f t="shared" si="41"/>
        <v>0</v>
      </c>
      <c r="AB66" s="373">
        <f t="shared" si="41"/>
        <v>0</v>
      </c>
      <c r="AC66" s="373">
        <f t="shared" si="41"/>
        <v>0</v>
      </c>
      <c r="AD66" s="373">
        <f t="shared" si="41"/>
        <v>0</v>
      </c>
      <c r="AE66" s="373">
        <f t="shared" si="41"/>
        <v>0</v>
      </c>
      <c r="AF66" s="373">
        <f t="shared" si="41"/>
        <v>0</v>
      </c>
      <c r="AG66" s="373">
        <f t="shared" si="41"/>
        <v>0</v>
      </c>
      <c r="AH66" s="373">
        <f t="shared" si="41"/>
        <v>0</v>
      </c>
      <c r="AI66" s="373">
        <f t="shared" si="41"/>
        <v>0</v>
      </c>
      <c r="AJ66" s="373">
        <f t="shared" si="41"/>
        <v>0</v>
      </c>
      <c r="AK66" s="373">
        <f t="shared" si="41"/>
        <v>0</v>
      </c>
      <c r="AL66" s="373">
        <f t="shared" si="41"/>
        <v>0</v>
      </c>
      <c r="AM66" s="373">
        <f t="shared" si="41"/>
        <v>0</v>
      </c>
      <c r="AN66" s="373">
        <f t="shared" si="41"/>
        <v>0</v>
      </c>
      <c r="AO66" s="373">
        <f t="shared" si="41"/>
        <v>0</v>
      </c>
      <c r="AP66" s="373">
        <f t="shared" si="41"/>
        <v>0</v>
      </c>
      <c r="AQ66" s="373">
        <f t="shared" si="41"/>
        <v>0</v>
      </c>
      <c r="AR66" s="373">
        <f t="shared" si="41"/>
        <v>0</v>
      </c>
      <c r="AS66" s="373">
        <f t="shared" si="41"/>
        <v>0</v>
      </c>
      <c r="AT66" s="373">
        <f t="shared" si="41"/>
        <v>0</v>
      </c>
      <c r="AU66" s="373">
        <f t="shared" si="41"/>
        <v>0</v>
      </c>
      <c r="AV66" s="373">
        <f t="shared" si="41"/>
        <v>0</v>
      </c>
      <c r="AW66" s="373">
        <f t="shared" si="41"/>
        <v>0</v>
      </c>
      <c r="AX66" s="373">
        <f t="shared" si="41"/>
        <v>0</v>
      </c>
      <c r="AY66" s="373">
        <f t="shared" si="41"/>
        <v>0</v>
      </c>
      <c r="AZ66" s="373">
        <f t="shared" si="41"/>
        <v>0</v>
      </c>
      <c r="BA66" s="373">
        <f t="shared" si="41"/>
        <v>0</v>
      </c>
      <c r="BB66" s="373">
        <f t="shared" si="41"/>
        <v>0</v>
      </c>
      <c r="BC66" s="373">
        <f t="shared" si="41"/>
        <v>0</v>
      </c>
      <c r="BD66" s="373">
        <f t="shared" si="41"/>
        <v>0</v>
      </c>
      <c r="BE66" s="373">
        <f t="shared" si="41"/>
        <v>0</v>
      </c>
      <c r="BF66" s="373">
        <f t="shared" si="41"/>
        <v>0</v>
      </c>
      <c r="BG66" s="373">
        <f t="shared" si="41"/>
        <v>0</v>
      </c>
      <c r="BH66" s="373">
        <f t="shared" si="41"/>
        <v>0</v>
      </c>
      <c r="BI66" s="373">
        <f t="shared" si="41"/>
        <v>0</v>
      </c>
      <c r="BJ66" s="373">
        <f t="shared" si="41"/>
        <v>0</v>
      </c>
      <c r="BK66" s="373">
        <f t="shared" si="41"/>
        <v>0</v>
      </c>
      <c r="BL66" s="373">
        <f t="shared" si="41"/>
        <v>0</v>
      </c>
      <c r="BM66" s="373">
        <f t="shared" si="41"/>
        <v>0</v>
      </c>
      <c r="BN66" s="373">
        <f t="shared" si="41"/>
        <v>0</v>
      </c>
      <c r="BO66" s="373">
        <f t="shared" si="41"/>
        <v>0</v>
      </c>
      <c r="BP66" s="373">
        <f t="shared" si="41"/>
        <v>0</v>
      </c>
      <c r="BQ66" s="373">
        <f t="shared" si="41"/>
        <v>0</v>
      </c>
      <c r="BR66" s="373">
        <f t="shared" si="41"/>
        <v>0</v>
      </c>
      <c r="BS66" s="373">
        <f t="shared" si="41"/>
        <v>0</v>
      </c>
      <c r="BT66" s="373">
        <f t="shared" si="41"/>
        <v>0</v>
      </c>
      <c r="BU66" s="373">
        <f t="shared" si="41"/>
        <v>0</v>
      </c>
      <c r="BV66" s="373">
        <f t="shared" si="41"/>
        <v>0</v>
      </c>
      <c r="BW66" s="373">
        <f t="shared" si="41"/>
        <v>0</v>
      </c>
      <c r="BX66" s="373">
        <f t="shared" si="41"/>
        <v>0</v>
      </c>
      <c r="BY66" s="373">
        <f t="shared" si="41"/>
        <v>0</v>
      </c>
      <c r="BZ66" s="373">
        <f t="shared" si="41"/>
        <v>0</v>
      </c>
      <c r="CA66" s="373">
        <f t="shared" si="41"/>
        <v>0</v>
      </c>
      <c r="CB66" s="373">
        <f t="shared" si="41"/>
        <v>0</v>
      </c>
      <c r="CC66" s="373">
        <f t="shared" si="41"/>
        <v>0</v>
      </c>
      <c r="CD66" s="373">
        <f t="shared" si="41"/>
        <v>0</v>
      </c>
      <c r="CE66" s="373">
        <f t="shared" si="41"/>
        <v>0</v>
      </c>
      <c r="CF66" s="373">
        <f t="shared" si="41"/>
        <v>0</v>
      </c>
      <c r="CG66" s="373">
        <f t="shared" si="41"/>
        <v>0</v>
      </c>
      <c r="CH66" s="373">
        <f t="shared" si="41"/>
        <v>0</v>
      </c>
      <c r="CI66" s="373">
        <f t="shared" si="41"/>
        <v>0</v>
      </c>
      <c r="CJ66" s="373">
        <f t="shared" si="41"/>
        <v>0</v>
      </c>
      <c r="CK66" s="373">
        <f t="shared" si="41"/>
        <v>0</v>
      </c>
      <c r="CL66" s="373">
        <f t="shared" si="41"/>
        <v>0</v>
      </c>
      <c r="CM66" s="373">
        <f t="shared" si="41"/>
        <v>0</v>
      </c>
      <c r="CN66" s="373">
        <f t="shared" si="41"/>
        <v>0</v>
      </c>
      <c r="CO66" s="373">
        <f t="shared" si="41"/>
        <v>0</v>
      </c>
      <c r="CP66" s="373">
        <f t="shared" si="41"/>
        <v>0</v>
      </c>
      <c r="CQ66" s="373">
        <f t="shared" si="41"/>
        <v>0</v>
      </c>
      <c r="CR66" s="373">
        <f t="shared" si="41"/>
        <v>0</v>
      </c>
      <c r="CS66" s="373">
        <f t="shared" si="41"/>
        <v>0</v>
      </c>
      <c r="CT66" s="373">
        <f t="shared" si="41"/>
        <v>0</v>
      </c>
      <c r="CU66" s="373">
        <f t="shared" si="41"/>
        <v>0</v>
      </c>
      <c r="CV66" s="373">
        <f t="shared" si="41"/>
        <v>0</v>
      </c>
      <c r="CW66" s="373">
        <f t="shared" si="41"/>
        <v>0</v>
      </c>
      <c r="CX66" s="373">
        <f t="shared" si="41"/>
        <v>0</v>
      </c>
      <c r="CY66" s="373">
        <f t="shared" si="41"/>
        <v>0</v>
      </c>
      <c r="CZ66" s="373">
        <f t="shared" si="41"/>
        <v>0</v>
      </c>
      <c r="DA66" s="373">
        <f t="shared" si="41"/>
        <v>0</v>
      </c>
      <c r="DB66" s="373">
        <f t="shared" si="41"/>
        <v>0</v>
      </c>
      <c r="DC66" s="373">
        <f t="shared" si="41"/>
        <v>0</v>
      </c>
      <c r="DD66" s="373">
        <f t="shared" si="41"/>
        <v>0</v>
      </c>
      <c r="DE66" s="373">
        <f t="shared" si="41"/>
        <v>0</v>
      </c>
      <c r="DF66" s="301"/>
      <c r="DG66" s="301"/>
      <c r="DH66" s="301"/>
      <c r="DI66" s="301"/>
      <c r="DJ66" s="301"/>
      <c r="DK66" s="301"/>
      <c r="DL66" s="301"/>
    </row>
    <row r="67" spans="1:116" ht="15.75" customHeight="1" x14ac:dyDescent="0.25">
      <c r="A67" s="546"/>
      <c r="B67" s="546"/>
      <c r="C67" s="504" t="s">
        <v>397</v>
      </c>
      <c r="D67" s="314" t="s">
        <v>247</v>
      </c>
      <c r="E67" s="451"/>
      <c r="F67" s="316" t="s">
        <v>14</v>
      </c>
      <c r="G67" s="317">
        <f t="shared" ref="G67:G68" si="42">NPV($C$4, J67:DE67)+I67</f>
        <v>2480.4628705501991</v>
      </c>
      <c r="H67" s="547"/>
      <c r="I67" s="319">
        <f>I66</f>
        <v>1267.4373489702525</v>
      </c>
      <c r="J67" s="319">
        <f t="shared" ref="J67:DE67" si="43">J66*(1 + $C$3)^(J5 - $I$5)</f>
        <v>1261.5465424431445</v>
      </c>
      <c r="K67" s="319">
        <f t="shared" si="43"/>
        <v>0</v>
      </c>
      <c r="L67" s="319">
        <f t="shared" si="43"/>
        <v>0</v>
      </c>
      <c r="M67" s="319">
        <f t="shared" si="43"/>
        <v>0</v>
      </c>
      <c r="N67" s="319">
        <f t="shared" si="43"/>
        <v>0</v>
      </c>
      <c r="O67" s="319">
        <f t="shared" si="43"/>
        <v>0</v>
      </c>
      <c r="P67" s="319">
        <f t="shared" si="43"/>
        <v>0</v>
      </c>
      <c r="Q67" s="319">
        <f t="shared" si="43"/>
        <v>0</v>
      </c>
      <c r="R67" s="319">
        <f t="shared" si="43"/>
        <v>0</v>
      </c>
      <c r="S67" s="319">
        <f t="shared" si="43"/>
        <v>0</v>
      </c>
      <c r="T67" s="319">
        <f t="shared" si="43"/>
        <v>0</v>
      </c>
      <c r="U67" s="319">
        <f t="shared" si="43"/>
        <v>0</v>
      </c>
      <c r="V67" s="319">
        <f t="shared" si="43"/>
        <v>0</v>
      </c>
      <c r="W67" s="319">
        <f t="shared" si="43"/>
        <v>0</v>
      </c>
      <c r="X67" s="319">
        <f t="shared" si="43"/>
        <v>0</v>
      </c>
      <c r="Y67" s="319">
        <f t="shared" si="43"/>
        <v>0</v>
      </c>
      <c r="Z67" s="319">
        <f t="shared" si="43"/>
        <v>0</v>
      </c>
      <c r="AA67" s="319">
        <f t="shared" si="43"/>
        <v>0</v>
      </c>
      <c r="AB67" s="319">
        <f t="shared" si="43"/>
        <v>0</v>
      </c>
      <c r="AC67" s="319">
        <f t="shared" si="43"/>
        <v>0</v>
      </c>
      <c r="AD67" s="319">
        <f t="shared" si="43"/>
        <v>0</v>
      </c>
      <c r="AE67" s="319">
        <f t="shared" si="43"/>
        <v>0</v>
      </c>
      <c r="AF67" s="319">
        <f t="shared" si="43"/>
        <v>0</v>
      </c>
      <c r="AG67" s="319">
        <f t="shared" si="43"/>
        <v>0</v>
      </c>
      <c r="AH67" s="319">
        <f t="shared" si="43"/>
        <v>0</v>
      </c>
      <c r="AI67" s="319">
        <f t="shared" si="43"/>
        <v>0</v>
      </c>
      <c r="AJ67" s="319">
        <f t="shared" si="43"/>
        <v>0</v>
      </c>
      <c r="AK67" s="319">
        <f t="shared" si="43"/>
        <v>0</v>
      </c>
      <c r="AL67" s="319">
        <f t="shared" si="43"/>
        <v>0</v>
      </c>
      <c r="AM67" s="319">
        <f t="shared" si="43"/>
        <v>0</v>
      </c>
      <c r="AN67" s="319">
        <f t="shared" si="43"/>
        <v>0</v>
      </c>
      <c r="AO67" s="319">
        <f t="shared" si="43"/>
        <v>0</v>
      </c>
      <c r="AP67" s="319">
        <f t="shared" si="43"/>
        <v>0</v>
      </c>
      <c r="AQ67" s="319">
        <f t="shared" si="43"/>
        <v>0</v>
      </c>
      <c r="AR67" s="319">
        <f t="shared" si="43"/>
        <v>0</v>
      </c>
      <c r="AS67" s="319">
        <f t="shared" si="43"/>
        <v>0</v>
      </c>
      <c r="AT67" s="319">
        <f t="shared" si="43"/>
        <v>0</v>
      </c>
      <c r="AU67" s="319">
        <f t="shared" si="43"/>
        <v>0</v>
      </c>
      <c r="AV67" s="319">
        <f t="shared" si="43"/>
        <v>0</v>
      </c>
      <c r="AW67" s="319">
        <f t="shared" si="43"/>
        <v>0</v>
      </c>
      <c r="AX67" s="319">
        <f t="shared" si="43"/>
        <v>0</v>
      </c>
      <c r="AY67" s="319">
        <f t="shared" si="43"/>
        <v>0</v>
      </c>
      <c r="AZ67" s="319">
        <f t="shared" si="43"/>
        <v>0</v>
      </c>
      <c r="BA67" s="319">
        <f t="shared" si="43"/>
        <v>0</v>
      </c>
      <c r="BB67" s="319">
        <f t="shared" si="43"/>
        <v>0</v>
      </c>
      <c r="BC67" s="319">
        <f t="shared" si="43"/>
        <v>0</v>
      </c>
      <c r="BD67" s="319">
        <f t="shared" si="43"/>
        <v>0</v>
      </c>
      <c r="BE67" s="319">
        <f t="shared" si="43"/>
        <v>0</v>
      </c>
      <c r="BF67" s="319">
        <f t="shared" si="43"/>
        <v>0</v>
      </c>
      <c r="BG67" s="319">
        <f t="shared" si="43"/>
        <v>0</v>
      </c>
      <c r="BH67" s="319">
        <f t="shared" si="43"/>
        <v>0</v>
      </c>
      <c r="BI67" s="319">
        <f t="shared" si="43"/>
        <v>0</v>
      </c>
      <c r="BJ67" s="319">
        <f t="shared" si="43"/>
        <v>0</v>
      </c>
      <c r="BK67" s="319">
        <f t="shared" si="43"/>
        <v>0</v>
      </c>
      <c r="BL67" s="319">
        <f t="shared" si="43"/>
        <v>0</v>
      </c>
      <c r="BM67" s="319">
        <f t="shared" si="43"/>
        <v>0</v>
      </c>
      <c r="BN67" s="319">
        <f t="shared" si="43"/>
        <v>0</v>
      </c>
      <c r="BO67" s="319">
        <f t="shared" si="43"/>
        <v>0</v>
      </c>
      <c r="BP67" s="319">
        <f t="shared" si="43"/>
        <v>0</v>
      </c>
      <c r="BQ67" s="319">
        <f t="shared" si="43"/>
        <v>0</v>
      </c>
      <c r="BR67" s="319">
        <f t="shared" si="43"/>
        <v>0</v>
      </c>
      <c r="BS67" s="319">
        <f t="shared" si="43"/>
        <v>0</v>
      </c>
      <c r="BT67" s="319">
        <f t="shared" si="43"/>
        <v>0</v>
      </c>
      <c r="BU67" s="319">
        <f t="shared" si="43"/>
        <v>0</v>
      </c>
      <c r="BV67" s="319">
        <f t="shared" si="43"/>
        <v>0</v>
      </c>
      <c r="BW67" s="319">
        <f t="shared" si="43"/>
        <v>0</v>
      </c>
      <c r="BX67" s="319">
        <f t="shared" si="43"/>
        <v>0</v>
      </c>
      <c r="BY67" s="319">
        <f t="shared" si="43"/>
        <v>0</v>
      </c>
      <c r="BZ67" s="319">
        <f t="shared" si="43"/>
        <v>0</v>
      </c>
      <c r="CA67" s="319">
        <f t="shared" si="43"/>
        <v>0</v>
      </c>
      <c r="CB67" s="319">
        <f t="shared" si="43"/>
        <v>0</v>
      </c>
      <c r="CC67" s="319">
        <f t="shared" si="43"/>
        <v>0</v>
      </c>
      <c r="CD67" s="319">
        <f t="shared" si="43"/>
        <v>0</v>
      </c>
      <c r="CE67" s="319">
        <f t="shared" si="43"/>
        <v>0</v>
      </c>
      <c r="CF67" s="319">
        <f t="shared" si="43"/>
        <v>0</v>
      </c>
      <c r="CG67" s="319">
        <f t="shared" si="43"/>
        <v>0</v>
      </c>
      <c r="CH67" s="319">
        <f t="shared" si="43"/>
        <v>0</v>
      </c>
      <c r="CI67" s="319">
        <f t="shared" si="43"/>
        <v>0</v>
      </c>
      <c r="CJ67" s="319">
        <f t="shared" si="43"/>
        <v>0</v>
      </c>
      <c r="CK67" s="319">
        <f t="shared" si="43"/>
        <v>0</v>
      </c>
      <c r="CL67" s="319">
        <f t="shared" si="43"/>
        <v>0</v>
      </c>
      <c r="CM67" s="319">
        <f t="shared" si="43"/>
        <v>0</v>
      </c>
      <c r="CN67" s="319">
        <f t="shared" si="43"/>
        <v>0</v>
      </c>
      <c r="CO67" s="319">
        <f t="shared" si="43"/>
        <v>0</v>
      </c>
      <c r="CP67" s="319">
        <f t="shared" si="43"/>
        <v>0</v>
      </c>
      <c r="CQ67" s="319">
        <f t="shared" si="43"/>
        <v>0</v>
      </c>
      <c r="CR67" s="319">
        <f t="shared" si="43"/>
        <v>0</v>
      </c>
      <c r="CS67" s="319">
        <f t="shared" si="43"/>
        <v>0</v>
      </c>
      <c r="CT67" s="319">
        <f t="shared" si="43"/>
        <v>0</v>
      </c>
      <c r="CU67" s="319">
        <f t="shared" si="43"/>
        <v>0</v>
      </c>
      <c r="CV67" s="319">
        <f t="shared" si="43"/>
        <v>0</v>
      </c>
      <c r="CW67" s="319">
        <f t="shared" si="43"/>
        <v>0</v>
      </c>
      <c r="CX67" s="319">
        <f t="shared" si="43"/>
        <v>0</v>
      </c>
      <c r="CY67" s="319">
        <f t="shared" si="43"/>
        <v>0</v>
      </c>
      <c r="CZ67" s="319">
        <f t="shared" si="43"/>
        <v>0</v>
      </c>
      <c r="DA67" s="319">
        <f t="shared" si="43"/>
        <v>0</v>
      </c>
      <c r="DB67" s="319">
        <f t="shared" si="43"/>
        <v>0</v>
      </c>
      <c r="DC67" s="319">
        <f t="shared" si="43"/>
        <v>0</v>
      </c>
      <c r="DD67" s="319">
        <f t="shared" si="43"/>
        <v>0</v>
      </c>
      <c r="DE67" s="319">
        <f t="shared" si="43"/>
        <v>0</v>
      </c>
      <c r="DF67" s="548"/>
      <c r="DG67" s="548"/>
      <c r="DH67" s="548"/>
      <c r="DI67" s="548"/>
      <c r="DJ67" s="548"/>
      <c r="DK67" s="548"/>
      <c r="DL67" s="548"/>
    </row>
    <row r="68" spans="1:116" ht="15.75" customHeight="1" x14ac:dyDescent="0.25">
      <c r="A68" s="549"/>
      <c r="B68" s="550"/>
      <c r="C68" s="551" t="s">
        <v>398</v>
      </c>
      <c r="D68" s="552" t="s">
        <v>247</v>
      </c>
      <c r="E68" s="553"/>
      <c r="F68" s="316" t="s">
        <v>14</v>
      </c>
      <c r="G68" s="317">
        <f t="shared" si="42"/>
        <v>170280.68411385347</v>
      </c>
      <c r="H68" s="554"/>
      <c r="I68" s="555">
        <f>I23+I67</f>
        <v>46329.937348970263</v>
      </c>
      <c r="J68" s="555">
        <f t="shared" ref="J68:BU68" si="44">J23+J67</f>
        <v>1261.5465424431445</v>
      </c>
      <c r="K68" s="555">
        <f>K23+K67</f>
        <v>0</v>
      </c>
      <c r="L68" s="555">
        <f t="shared" si="44"/>
        <v>0</v>
      </c>
      <c r="M68" s="555">
        <f t="shared" si="44"/>
        <v>0</v>
      </c>
      <c r="N68" s="555">
        <f t="shared" si="44"/>
        <v>0</v>
      </c>
      <c r="O68" s="555">
        <f t="shared" si="44"/>
        <v>0</v>
      </c>
      <c r="P68" s="555">
        <f t="shared" si="44"/>
        <v>0</v>
      </c>
      <c r="Q68" s="555">
        <f t="shared" si="44"/>
        <v>0</v>
      </c>
      <c r="R68" s="555">
        <f t="shared" si="44"/>
        <v>0</v>
      </c>
      <c r="S68" s="555">
        <f t="shared" si="44"/>
        <v>0</v>
      </c>
      <c r="T68" s="555">
        <f t="shared" si="44"/>
        <v>0</v>
      </c>
      <c r="U68" s="555">
        <f t="shared" si="44"/>
        <v>0</v>
      </c>
      <c r="V68" s="555">
        <f t="shared" si="44"/>
        <v>0</v>
      </c>
      <c r="W68" s="555">
        <f t="shared" si="44"/>
        <v>59459.011760520683</v>
      </c>
      <c r="X68" s="555">
        <f t="shared" si="44"/>
        <v>0</v>
      </c>
      <c r="Y68" s="555">
        <f t="shared" si="44"/>
        <v>0</v>
      </c>
      <c r="Z68" s="555">
        <f t="shared" si="44"/>
        <v>0</v>
      </c>
      <c r="AA68" s="555">
        <f t="shared" si="44"/>
        <v>0</v>
      </c>
      <c r="AB68" s="555">
        <f t="shared" si="44"/>
        <v>0</v>
      </c>
      <c r="AC68" s="555">
        <f t="shared" si="44"/>
        <v>0</v>
      </c>
      <c r="AD68" s="555">
        <f t="shared" si="44"/>
        <v>0</v>
      </c>
      <c r="AE68" s="555">
        <f t="shared" si="44"/>
        <v>0</v>
      </c>
      <c r="AF68" s="555">
        <f t="shared" si="44"/>
        <v>0</v>
      </c>
      <c r="AG68" s="555">
        <f t="shared" si="44"/>
        <v>0</v>
      </c>
      <c r="AH68" s="555">
        <f t="shared" si="44"/>
        <v>0</v>
      </c>
      <c r="AI68" s="555">
        <f t="shared" si="44"/>
        <v>0</v>
      </c>
      <c r="AJ68" s="555">
        <f t="shared" si="44"/>
        <v>0</v>
      </c>
      <c r="AK68" s="555">
        <f t="shared" si="44"/>
        <v>78454.903290712595</v>
      </c>
      <c r="AL68" s="555">
        <f t="shared" si="44"/>
        <v>0</v>
      </c>
      <c r="AM68" s="555">
        <f t="shared" si="44"/>
        <v>0</v>
      </c>
      <c r="AN68" s="555">
        <f t="shared" si="44"/>
        <v>0</v>
      </c>
      <c r="AO68" s="555">
        <f t="shared" si="44"/>
        <v>0</v>
      </c>
      <c r="AP68" s="555">
        <f t="shared" si="44"/>
        <v>0</v>
      </c>
      <c r="AQ68" s="555">
        <f t="shared" si="44"/>
        <v>0</v>
      </c>
      <c r="AR68" s="555">
        <f t="shared" si="44"/>
        <v>0</v>
      </c>
      <c r="AS68" s="555">
        <f t="shared" si="44"/>
        <v>0</v>
      </c>
      <c r="AT68" s="555">
        <f t="shared" si="44"/>
        <v>0</v>
      </c>
      <c r="AU68" s="555">
        <f t="shared" si="44"/>
        <v>0</v>
      </c>
      <c r="AV68" s="555">
        <f t="shared" si="44"/>
        <v>0</v>
      </c>
      <c r="AW68" s="555">
        <f t="shared" si="44"/>
        <v>0</v>
      </c>
      <c r="AX68" s="555">
        <f t="shared" si="44"/>
        <v>0</v>
      </c>
      <c r="AY68" s="555">
        <f t="shared" si="44"/>
        <v>103519.5787502467</v>
      </c>
      <c r="AZ68" s="555">
        <f t="shared" si="44"/>
        <v>0</v>
      </c>
      <c r="BA68" s="555">
        <f t="shared" si="44"/>
        <v>0</v>
      </c>
      <c r="BB68" s="555">
        <f t="shared" si="44"/>
        <v>0</v>
      </c>
      <c r="BC68" s="555">
        <f t="shared" si="44"/>
        <v>0</v>
      </c>
      <c r="BD68" s="555">
        <f t="shared" si="44"/>
        <v>0</v>
      </c>
      <c r="BE68" s="555">
        <f t="shared" si="44"/>
        <v>0</v>
      </c>
      <c r="BF68" s="555">
        <f t="shared" si="44"/>
        <v>0</v>
      </c>
      <c r="BG68" s="555">
        <f t="shared" si="44"/>
        <v>0</v>
      </c>
      <c r="BH68" s="555">
        <f t="shared" si="44"/>
        <v>0</v>
      </c>
      <c r="BI68" s="555">
        <f t="shared" si="44"/>
        <v>0</v>
      </c>
      <c r="BJ68" s="555">
        <f t="shared" si="44"/>
        <v>0</v>
      </c>
      <c r="BK68" s="555">
        <f t="shared" si="44"/>
        <v>0</v>
      </c>
      <c r="BL68" s="555">
        <f t="shared" si="44"/>
        <v>0</v>
      </c>
      <c r="BM68" s="555">
        <f t="shared" si="44"/>
        <v>136591.88572216505</v>
      </c>
      <c r="BN68" s="555">
        <f t="shared" si="44"/>
        <v>0</v>
      </c>
      <c r="BO68" s="555">
        <f t="shared" si="44"/>
        <v>0</v>
      </c>
      <c r="BP68" s="555">
        <f t="shared" si="44"/>
        <v>0</v>
      </c>
      <c r="BQ68" s="555">
        <f t="shared" si="44"/>
        <v>0</v>
      </c>
      <c r="BR68" s="555">
        <f t="shared" si="44"/>
        <v>0</v>
      </c>
      <c r="BS68" s="555">
        <f t="shared" si="44"/>
        <v>0</v>
      </c>
      <c r="BT68" s="555">
        <f t="shared" si="44"/>
        <v>0</v>
      </c>
      <c r="BU68" s="555">
        <f t="shared" si="44"/>
        <v>0</v>
      </c>
      <c r="BV68" s="555">
        <f t="shared" ref="BV68:DE68" si="45">BV23+BV67</f>
        <v>0</v>
      </c>
      <c r="BW68" s="555">
        <f t="shared" si="45"/>
        <v>0</v>
      </c>
      <c r="BX68" s="555">
        <f t="shared" si="45"/>
        <v>0</v>
      </c>
      <c r="BY68" s="555">
        <f t="shared" si="45"/>
        <v>0</v>
      </c>
      <c r="BZ68" s="555">
        <f t="shared" si="45"/>
        <v>0</v>
      </c>
      <c r="CA68" s="555">
        <f t="shared" si="45"/>
        <v>180230.09241710757</v>
      </c>
      <c r="CB68" s="555">
        <f t="shared" si="45"/>
        <v>0</v>
      </c>
      <c r="CC68" s="555">
        <f t="shared" si="45"/>
        <v>0</v>
      </c>
      <c r="CD68" s="555">
        <f t="shared" si="45"/>
        <v>0</v>
      </c>
      <c r="CE68" s="555">
        <f t="shared" si="45"/>
        <v>0</v>
      </c>
      <c r="CF68" s="555">
        <f t="shared" si="45"/>
        <v>0</v>
      </c>
      <c r="CG68" s="555">
        <f t="shared" si="45"/>
        <v>0</v>
      </c>
      <c r="CH68" s="555">
        <f t="shared" si="45"/>
        <v>0</v>
      </c>
      <c r="CI68" s="555">
        <f t="shared" si="45"/>
        <v>0</v>
      </c>
      <c r="CJ68" s="555">
        <f t="shared" si="45"/>
        <v>0</v>
      </c>
      <c r="CK68" s="555">
        <f t="shared" si="45"/>
        <v>0</v>
      </c>
      <c r="CL68" s="555">
        <f t="shared" si="45"/>
        <v>0</v>
      </c>
      <c r="CM68" s="555">
        <f t="shared" si="45"/>
        <v>0</v>
      </c>
      <c r="CN68" s="555">
        <f t="shared" si="45"/>
        <v>0</v>
      </c>
      <c r="CO68" s="555">
        <f t="shared" si="45"/>
        <v>237809.7794092322</v>
      </c>
      <c r="CP68" s="555">
        <f t="shared" si="45"/>
        <v>0</v>
      </c>
      <c r="CQ68" s="555">
        <f t="shared" si="45"/>
        <v>0</v>
      </c>
      <c r="CR68" s="555">
        <f t="shared" si="45"/>
        <v>0</v>
      </c>
      <c r="CS68" s="555">
        <f t="shared" si="45"/>
        <v>0</v>
      </c>
      <c r="CT68" s="555">
        <f t="shared" si="45"/>
        <v>0</v>
      </c>
      <c r="CU68" s="555">
        <f t="shared" si="45"/>
        <v>0</v>
      </c>
      <c r="CV68" s="555">
        <f t="shared" si="45"/>
        <v>0</v>
      </c>
      <c r="CW68" s="555">
        <f t="shared" si="45"/>
        <v>0</v>
      </c>
      <c r="CX68" s="555">
        <f t="shared" si="45"/>
        <v>0</v>
      </c>
      <c r="CY68" s="555">
        <f t="shared" si="45"/>
        <v>0</v>
      </c>
      <c r="CZ68" s="555">
        <f t="shared" si="45"/>
        <v>0</v>
      </c>
      <c r="DA68" s="555">
        <f t="shared" si="45"/>
        <v>0</v>
      </c>
      <c r="DB68" s="555">
        <f t="shared" si="45"/>
        <v>0</v>
      </c>
      <c r="DC68" s="555">
        <f t="shared" si="45"/>
        <v>313784.95357914816</v>
      </c>
      <c r="DD68" s="555">
        <f t="shared" si="45"/>
        <v>0</v>
      </c>
      <c r="DE68" s="555">
        <f t="shared" si="45"/>
        <v>0</v>
      </c>
      <c r="DF68" s="555">
        <f t="shared" ref="DF68:DL68" si="46">DF23+DF55+DF67</f>
        <v>0</v>
      </c>
      <c r="DG68" s="555">
        <f t="shared" si="46"/>
        <v>0</v>
      </c>
      <c r="DH68" s="555">
        <f t="shared" si="46"/>
        <v>0</v>
      </c>
      <c r="DI68" s="555">
        <f t="shared" si="46"/>
        <v>0</v>
      </c>
      <c r="DJ68" s="555">
        <f t="shared" si="46"/>
        <v>0</v>
      </c>
      <c r="DK68" s="555">
        <f t="shared" si="46"/>
        <v>0</v>
      </c>
      <c r="DL68" s="555">
        <f t="shared" si="46"/>
        <v>0</v>
      </c>
    </row>
    <row r="69" spans="1:116" ht="15.75" customHeight="1" x14ac:dyDescent="0.25">
      <c r="A69" s="463"/>
      <c r="B69" s="463"/>
      <c r="C69" s="464"/>
      <c r="D69" s="431"/>
      <c r="E69" s="280"/>
      <c r="F69" s="441"/>
      <c r="G69" s="431"/>
      <c r="H69" s="465"/>
      <c r="I69" s="427"/>
      <c r="J69" s="427"/>
      <c r="K69" s="427"/>
      <c r="L69" s="427"/>
      <c r="M69" s="427"/>
      <c r="N69" s="427"/>
      <c r="O69" s="427"/>
      <c r="P69" s="427"/>
      <c r="Q69" s="427"/>
      <c r="R69" s="427"/>
      <c r="S69" s="427"/>
      <c r="T69" s="427"/>
      <c r="U69" s="427"/>
      <c r="V69" s="427"/>
      <c r="W69" s="427"/>
      <c r="X69" s="427"/>
      <c r="Y69" s="427"/>
      <c r="Z69" s="427"/>
      <c r="AA69" s="427"/>
      <c r="AB69" s="427"/>
      <c r="AC69" s="427"/>
      <c r="AD69" s="427"/>
      <c r="AE69" s="427"/>
      <c r="AF69" s="427"/>
      <c r="AG69" s="427"/>
      <c r="AH69" s="427"/>
      <c r="AI69" s="427"/>
      <c r="AJ69" s="427"/>
      <c r="AK69" s="427"/>
      <c r="AL69" s="427"/>
      <c r="AM69" s="427"/>
      <c r="AN69" s="427"/>
      <c r="AO69" s="427"/>
      <c r="AP69" s="427"/>
      <c r="AQ69" s="427"/>
      <c r="AR69" s="427"/>
      <c r="AS69" s="427"/>
      <c r="AT69" s="427"/>
      <c r="AU69" s="427"/>
      <c r="AV69" s="427"/>
      <c r="AW69" s="427"/>
      <c r="AX69" s="427"/>
      <c r="AY69" s="427"/>
      <c r="AZ69" s="427"/>
      <c r="BA69" s="427"/>
      <c r="BB69" s="427"/>
      <c r="BC69" s="427"/>
      <c r="BD69" s="427"/>
      <c r="BE69" s="427"/>
      <c r="BF69" s="427"/>
      <c r="BG69" s="427"/>
      <c r="BH69" s="427"/>
      <c r="BI69" s="427"/>
      <c r="BJ69" s="278"/>
      <c r="BK69" s="278"/>
      <c r="BL69" s="278"/>
      <c r="BM69" s="278"/>
      <c r="BN69" s="278"/>
      <c r="BO69" s="278"/>
      <c r="BP69" s="278"/>
      <c r="BQ69" s="278"/>
      <c r="BR69" s="278"/>
      <c r="BS69" s="278"/>
      <c r="BT69" s="278"/>
      <c r="BU69" s="278"/>
      <c r="BV69" s="278"/>
      <c r="BW69" s="278"/>
      <c r="BX69" s="278"/>
      <c r="BY69" s="278"/>
      <c r="BZ69" s="278"/>
      <c r="CA69" s="278"/>
      <c r="CB69" s="278"/>
      <c r="CC69" s="278"/>
      <c r="CD69" s="278"/>
      <c r="CE69" s="278"/>
      <c r="CF69" s="278"/>
      <c r="CG69" s="278"/>
      <c r="CH69" s="278"/>
      <c r="CI69" s="278"/>
      <c r="CJ69" s="278"/>
      <c r="CK69" s="278"/>
      <c r="CL69" s="278"/>
      <c r="CM69" s="278"/>
      <c r="CN69" s="278"/>
      <c r="CO69" s="278"/>
      <c r="CP69" s="278"/>
      <c r="CQ69" s="278"/>
      <c r="CR69" s="278"/>
      <c r="CS69" s="278"/>
      <c r="CT69" s="278"/>
      <c r="CU69" s="278"/>
      <c r="CV69" s="278"/>
      <c r="CW69" s="278"/>
      <c r="CX69" s="278"/>
      <c r="CY69" s="278"/>
      <c r="CZ69" s="278"/>
      <c r="DA69" s="278"/>
      <c r="DB69" s="278"/>
      <c r="DC69" s="278"/>
      <c r="DD69" s="278"/>
      <c r="DE69" s="278"/>
      <c r="DF69" s="278"/>
      <c r="DG69" s="278"/>
      <c r="DH69" s="278"/>
      <c r="DI69" s="278"/>
      <c r="DJ69" s="278"/>
      <c r="DK69" s="278"/>
      <c r="DL69" s="278"/>
    </row>
    <row r="70" spans="1:116" ht="15.75" customHeight="1" x14ac:dyDescent="0.25">
      <c r="A70" s="419" t="s">
        <v>317</v>
      </c>
      <c r="B70" s="420"/>
      <c r="C70" s="272"/>
      <c r="D70" s="421"/>
      <c r="E70" s="422"/>
      <c r="F70" s="421"/>
      <c r="G70" s="421"/>
      <c r="H70" s="423"/>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2"/>
      <c r="AG70" s="272"/>
      <c r="AH70" s="272"/>
      <c r="AI70" s="272"/>
      <c r="AJ70" s="272"/>
      <c r="AK70" s="272"/>
      <c r="AL70" s="272"/>
      <c r="AM70" s="272"/>
      <c r="AN70" s="272"/>
      <c r="AO70" s="272"/>
      <c r="AP70" s="272"/>
      <c r="AQ70" s="272"/>
      <c r="AR70" s="272"/>
      <c r="AS70" s="272"/>
      <c r="AT70" s="272"/>
      <c r="AU70" s="272"/>
      <c r="AV70" s="272"/>
      <c r="AW70" s="272"/>
      <c r="AX70" s="272"/>
      <c r="AY70" s="272"/>
      <c r="AZ70" s="272"/>
      <c r="BA70" s="272"/>
      <c r="BB70" s="272"/>
      <c r="BC70" s="272"/>
      <c r="BD70" s="272"/>
      <c r="BE70" s="272"/>
      <c r="BF70" s="272"/>
      <c r="BG70" s="272"/>
      <c r="BH70" s="272"/>
      <c r="BI70" s="272"/>
      <c r="BJ70" s="272"/>
      <c r="BK70" s="272"/>
      <c r="BL70" s="272"/>
      <c r="BM70" s="272"/>
      <c r="BN70" s="272"/>
      <c r="BO70" s="272"/>
      <c r="BP70" s="272"/>
      <c r="BQ70" s="272"/>
      <c r="BR70" s="272"/>
      <c r="BS70" s="272"/>
      <c r="BT70" s="272"/>
      <c r="BU70" s="272"/>
      <c r="BV70" s="272"/>
      <c r="BW70" s="272"/>
      <c r="BX70" s="272"/>
      <c r="BY70" s="272"/>
      <c r="BZ70" s="272"/>
      <c r="CA70" s="272"/>
      <c r="CB70" s="272"/>
      <c r="CC70" s="272"/>
      <c r="CD70" s="272"/>
      <c r="CE70" s="272"/>
      <c r="CF70" s="272"/>
      <c r="CG70" s="272"/>
      <c r="CH70" s="272"/>
      <c r="CI70" s="272"/>
      <c r="CJ70" s="272"/>
      <c r="CK70" s="272"/>
      <c r="CL70" s="272"/>
      <c r="CM70" s="272"/>
      <c r="CN70" s="272"/>
      <c r="CO70" s="272"/>
      <c r="CP70" s="272"/>
      <c r="CQ70" s="272"/>
      <c r="CR70" s="272"/>
      <c r="CS70" s="272"/>
      <c r="CT70" s="272"/>
      <c r="CU70" s="272"/>
      <c r="CV70" s="272"/>
      <c r="CW70" s="272"/>
      <c r="CX70" s="272"/>
      <c r="CY70" s="272"/>
      <c r="CZ70" s="272"/>
      <c r="DA70" s="272"/>
      <c r="DB70" s="272"/>
      <c r="DC70" s="272"/>
      <c r="DD70" s="272"/>
      <c r="DE70" s="272"/>
      <c r="DF70" s="272"/>
      <c r="DG70" s="272"/>
      <c r="DH70" s="272"/>
      <c r="DI70" s="272"/>
      <c r="DJ70" s="272"/>
      <c r="DK70" s="272"/>
      <c r="DL70" s="272"/>
    </row>
    <row r="71" spans="1:116" ht="15.75" customHeight="1" x14ac:dyDescent="0.25">
      <c r="A71" s="762" t="s">
        <v>318</v>
      </c>
      <c r="B71" s="758" t="s">
        <v>319</v>
      </c>
      <c r="C71" s="321" t="s">
        <v>399</v>
      </c>
      <c r="D71" s="280" t="s">
        <v>239</v>
      </c>
      <c r="E71" s="367" t="s">
        <v>321</v>
      </c>
      <c r="F71" s="280" t="s">
        <v>400</v>
      </c>
      <c r="G71" s="556">
        <f>$C$3</f>
        <v>0.02</v>
      </c>
      <c r="H71" s="300">
        <f>(1.9*10^9)</f>
        <v>1900000000</v>
      </c>
      <c r="I71" s="301">
        <f t="shared" ref="I71:DE71" si="47">H71</f>
        <v>1900000000</v>
      </c>
      <c r="J71" s="301">
        <f t="shared" si="47"/>
        <v>1900000000</v>
      </c>
      <c r="K71" s="301">
        <f t="shared" si="47"/>
        <v>1900000000</v>
      </c>
      <c r="L71" s="301">
        <f t="shared" si="47"/>
        <v>1900000000</v>
      </c>
      <c r="M71" s="301">
        <f t="shared" si="47"/>
        <v>1900000000</v>
      </c>
      <c r="N71" s="301">
        <f t="shared" si="47"/>
        <v>1900000000</v>
      </c>
      <c r="O71" s="301">
        <f t="shared" si="47"/>
        <v>1900000000</v>
      </c>
      <c r="P71" s="301">
        <f t="shared" si="47"/>
        <v>1900000000</v>
      </c>
      <c r="Q71" s="301">
        <f t="shared" si="47"/>
        <v>1900000000</v>
      </c>
      <c r="R71" s="301">
        <f t="shared" si="47"/>
        <v>1900000000</v>
      </c>
      <c r="S71" s="301">
        <f t="shared" si="47"/>
        <v>1900000000</v>
      </c>
      <c r="T71" s="301">
        <f t="shared" si="47"/>
        <v>1900000000</v>
      </c>
      <c r="U71" s="301">
        <f t="shared" si="47"/>
        <v>1900000000</v>
      </c>
      <c r="V71" s="301">
        <f t="shared" si="47"/>
        <v>1900000000</v>
      </c>
      <c r="W71" s="301">
        <f t="shared" si="47"/>
        <v>1900000000</v>
      </c>
      <c r="X71" s="301">
        <f t="shared" si="47"/>
        <v>1900000000</v>
      </c>
      <c r="Y71" s="301">
        <f t="shared" si="47"/>
        <v>1900000000</v>
      </c>
      <c r="Z71" s="301">
        <f t="shared" si="47"/>
        <v>1900000000</v>
      </c>
      <c r="AA71" s="301">
        <f t="shared" si="47"/>
        <v>1900000000</v>
      </c>
      <c r="AB71" s="301">
        <f t="shared" si="47"/>
        <v>1900000000</v>
      </c>
      <c r="AC71" s="301">
        <f t="shared" si="47"/>
        <v>1900000000</v>
      </c>
      <c r="AD71" s="301">
        <f t="shared" si="47"/>
        <v>1900000000</v>
      </c>
      <c r="AE71" s="301">
        <f t="shared" si="47"/>
        <v>1900000000</v>
      </c>
      <c r="AF71" s="301">
        <f t="shared" si="47"/>
        <v>1900000000</v>
      </c>
      <c r="AG71" s="301">
        <f t="shared" si="47"/>
        <v>1900000000</v>
      </c>
      <c r="AH71" s="301">
        <f t="shared" si="47"/>
        <v>1900000000</v>
      </c>
      <c r="AI71" s="301">
        <f t="shared" si="47"/>
        <v>1900000000</v>
      </c>
      <c r="AJ71" s="301">
        <f t="shared" si="47"/>
        <v>1900000000</v>
      </c>
      <c r="AK71" s="301">
        <f t="shared" si="47"/>
        <v>1900000000</v>
      </c>
      <c r="AL71" s="301">
        <f t="shared" si="47"/>
        <v>1900000000</v>
      </c>
      <c r="AM71" s="301">
        <f t="shared" si="47"/>
        <v>1900000000</v>
      </c>
      <c r="AN71" s="301">
        <f t="shared" si="47"/>
        <v>1900000000</v>
      </c>
      <c r="AO71" s="301">
        <f t="shared" si="47"/>
        <v>1900000000</v>
      </c>
      <c r="AP71" s="301">
        <f t="shared" si="47"/>
        <v>1900000000</v>
      </c>
      <c r="AQ71" s="301">
        <f t="shared" si="47"/>
        <v>1900000000</v>
      </c>
      <c r="AR71" s="301">
        <f t="shared" si="47"/>
        <v>1900000000</v>
      </c>
      <c r="AS71" s="301">
        <f t="shared" si="47"/>
        <v>1900000000</v>
      </c>
      <c r="AT71" s="301">
        <f t="shared" si="47"/>
        <v>1900000000</v>
      </c>
      <c r="AU71" s="301">
        <f t="shared" si="47"/>
        <v>1900000000</v>
      </c>
      <c r="AV71" s="301">
        <f t="shared" si="47"/>
        <v>1900000000</v>
      </c>
      <c r="AW71" s="301">
        <f t="shared" si="47"/>
        <v>1900000000</v>
      </c>
      <c r="AX71" s="301">
        <f t="shared" si="47"/>
        <v>1900000000</v>
      </c>
      <c r="AY71" s="301">
        <f t="shared" si="47"/>
        <v>1900000000</v>
      </c>
      <c r="AZ71" s="301">
        <f t="shared" si="47"/>
        <v>1900000000</v>
      </c>
      <c r="BA71" s="301">
        <f t="shared" si="47"/>
        <v>1900000000</v>
      </c>
      <c r="BB71" s="301">
        <f t="shared" si="47"/>
        <v>1900000000</v>
      </c>
      <c r="BC71" s="301">
        <f t="shared" si="47"/>
        <v>1900000000</v>
      </c>
      <c r="BD71" s="301">
        <f t="shared" si="47"/>
        <v>1900000000</v>
      </c>
      <c r="BE71" s="301">
        <f t="shared" si="47"/>
        <v>1900000000</v>
      </c>
      <c r="BF71" s="301">
        <f t="shared" si="47"/>
        <v>1900000000</v>
      </c>
      <c r="BG71" s="301">
        <f t="shared" si="47"/>
        <v>1900000000</v>
      </c>
      <c r="BH71" s="301">
        <f t="shared" si="47"/>
        <v>1900000000</v>
      </c>
      <c r="BI71" s="301">
        <f t="shared" si="47"/>
        <v>1900000000</v>
      </c>
      <c r="BJ71" s="301">
        <f t="shared" si="47"/>
        <v>1900000000</v>
      </c>
      <c r="BK71" s="301">
        <f t="shared" si="47"/>
        <v>1900000000</v>
      </c>
      <c r="BL71" s="301">
        <f t="shared" si="47"/>
        <v>1900000000</v>
      </c>
      <c r="BM71" s="301">
        <f t="shared" si="47"/>
        <v>1900000000</v>
      </c>
      <c r="BN71" s="301">
        <f t="shared" si="47"/>
        <v>1900000000</v>
      </c>
      <c r="BO71" s="301">
        <f t="shared" si="47"/>
        <v>1900000000</v>
      </c>
      <c r="BP71" s="301">
        <f t="shared" si="47"/>
        <v>1900000000</v>
      </c>
      <c r="BQ71" s="301">
        <f t="shared" si="47"/>
        <v>1900000000</v>
      </c>
      <c r="BR71" s="301">
        <f t="shared" si="47"/>
        <v>1900000000</v>
      </c>
      <c r="BS71" s="301">
        <f t="shared" si="47"/>
        <v>1900000000</v>
      </c>
      <c r="BT71" s="301">
        <f t="shared" si="47"/>
        <v>1900000000</v>
      </c>
      <c r="BU71" s="301">
        <f t="shared" si="47"/>
        <v>1900000000</v>
      </c>
      <c r="BV71" s="301">
        <f t="shared" si="47"/>
        <v>1900000000</v>
      </c>
      <c r="BW71" s="301">
        <f t="shared" si="47"/>
        <v>1900000000</v>
      </c>
      <c r="BX71" s="301">
        <f t="shared" si="47"/>
        <v>1900000000</v>
      </c>
      <c r="BY71" s="301">
        <f t="shared" si="47"/>
        <v>1900000000</v>
      </c>
      <c r="BZ71" s="301">
        <f t="shared" si="47"/>
        <v>1900000000</v>
      </c>
      <c r="CA71" s="301">
        <f t="shared" si="47"/>
        <v>1900000000</v>
      </c>
      <c r="CB71" s="301">
        <f t="shared" si="47"/>
        <v>1900000000</v>
      </c>
      <c r="CC71" s="301">
        <f t="shared" si="47"/>
        <v>1900000000</v>
      </c>
      <c r="CD71" s="301">
        <f t="shared" si="47"/>
        <v>1900000000</v>
      </c>
      <c r="CE71" s="301">
        <f t="shared" si="47"/>
        <v>1900000000</v>
      </c>
      <c r="CF71" s="301">
        <f t="shared" si="47"/>
        <v>1900000000</v>
      </c>
      <c r="CG71" s="301">
        <f t="shared" si="47"/>
        <v>1900000000</v>
      </c>
      <c r="CH71" s="301">
        <f t="shared" si="47"/>
        <v>1900000000</v>
      </c>
      <c r="CI71" s="301">
        <f t="shared" si="47"/>
        <v>1900000000</v>
      </c>
      <c r="CJ71" s="301">
        <f t="shared" si="47"/>
        <v>1900000000</v>
      </c>
      <c r="CK71" s="301">
        <f t="shared" si="47"/>
        <v>1900000000</v>
      </c>
      <c r="CL71" s="301">
        <f t="shared" si="47"/>
        <v>1900000000</v>
      </c>
      <c r="CM71" s="301">
        <f t="shared" si="47"/>
        <v>1900000000</v>
      </c>
      <c r="CN71" s="301">
        <f t="shared" si="47"/>
        <v>1900000000</v>
      </c>
      <c r="CO71" s="301">
        <f t="shared" si="47"/>
        <v>1900000000</v>
      </c>
      <c r="CP71" s="301">
        <f t="shared" si="47"/>
        <v>1900000000</v>
      </c>
      <c r="CQ71" s="301">
        <f t="shared" si="47"/>
        <v>1900000000</v>
      </c>
      <c r="CR71" s="301">
        <f t="shared" si="47"/>
        <v>1900000000</v>
      </c>
      <c r="CS71" s="301">
        <f t="shared" si="47"/>
        <v>1900000000</v>
      </c>
      <c r="CT71" s="301">
        <f t="shared" si="47"/>
        <v>1900000000</v>
      </c>
      <c r="CU71" s="301">
        <f t="shared" si="47"/>
        <v>1900000000</v>
      </c>
      <c r="CV71" s="301">
        <f t="shared" si="47"/>
        <v>1900000000</v>
      </c>
      <c r="CW71" s="301">
        <f t="shared" si="47"/>
        <v>1900000000</v>
      </c>
      <c r="CX71" s="301">
        <f t="shared" si="47"/>
        <v>1900000000</v>
      </c>
      <c r="CY71" s="301">
        <f t="shared" si="47"/>
        <v>1900000000</v>
      </c>
      <c r="CZ71" s="301">
        <f t="shared" si="47"/>
        <v>1900000000</v>
      </c>
      <c r="DA71" s="301">
        <f t="shared" si="47"/>
        <v>1900000000</v>
      </c>
      <c r="DB71" s="301">
        <f t="shared" si="47"/>
        <v>1900000000</v>
      </c>
      <c r="DC71" s="301">
        <f t="shared" si="47"/>
        <v>1900000000</v>
      </c>
      <c r="DD71" s="301">
        <f t="shared" si="47"/>
        <v>1900000000</v>
      </c>
      <c r="DE71" s="301">
        <f t="shared" si="47"/>
        <v>1900000000</v>
      </c>
      <c r="DF71" s="282"/>
      <c r="DG71" s="282"/>
      <c r="DH71" s="282"/>
      <c r="DI71" s="282"/>
      <c r="DJ71" s="282"/>
      <c r="DK71" s="282"/>
      <c r="DL71" s="282"/>
    </row>
    <row r="72" spans="1:116" ht="15.75" customHeight="1" x14ac:dyDescent="0.25">
      <c r="A72" s="751"/>
      <c r="B72" s="751"/>
      <c r="C72" s="321" t="s">
        <v>323</v>
      </c>
      <c r="D72" s="280" t="s">
        <v>221</v>
      </c>
      <c r="E72" s="299" t="s">
        <v>324</v>
      </c>
      <c r="F72" s="280"/>
      <c r="G72" s="280"/>
      <c r="H72" s="281">
        <v>6300</v>
      </c>
      <c r="I72" s="284">
        <v>6300</v>
      </c>
      <c r="J72" s="284">
        <v>6300</v>
      </c>
      <c r="K72" s="284">
        <v>6300</v>
      </c>
      <c r="L72" s="284">
        <v>6300</v>
      </c>
      <c r="M72" s="284">
        <v>6300</v>
      </c>
      <c r="N72" s="284">
        <v>6300</v>
      </c>
      <c r="O72" s="284">
        <v>6300</v>
      </c>
      <c r="P72" s="284">
        <v>6300</v>
      </c>
      <c r="Q72" s="284">
        <v>6300</v>
      </c>
      <c r="R72" s="284">
        <v>6300</v>
      </c>
      <c r="S72" s="284">
        <v>6300</v>
      </c>
      <c r="T72" s="284">
        <v>6300</v>
      </c>
      <c r="U72" s="284">
        <v>6300</v>
      </c>
      <c r="V72" s="284">
        <v>6300</v>
      </c>
      <c r="W72" s="284">
        <v>6300</v>
      </c>
      <c r="X72" s="284">
        <v>6300</v>
      </c>
      <c r="Y72" s="284">
        <v>6300</v>
      </c>
      <c r="Z72" s="284">
        <v>6300</v>
      </c>
      <c r="AA72" s="284">
        <v>6300</v>
      </c>
      <c r="AB72" s="284">
        <v>6300</v>
      </c>
      <c r="AC72" s="284">
        <v>6300</v>
      </c>
      <c r="AD72" s="284">
        <v>6300</v>
      </c>
      <c r="AE72" s="284">
        <v>6300</v>
      </c>
      <c r="AF72" s="284">
        <v>6300</v>
      </c>
      <c r="AG72" s="284">
        <v>6300</v>
      </c>
      <c r="AH72" s="284">
        <v>6300</v>
      </c>
      <c r="AI72" s="284">
        <v>6300</v>
      </c>
      <c r="AJ72" s="284">
        <v>6300</v>
      </c>
      <c r="AK72" s="284">
        <v>6300</v>
      </c>
      <c r="AL72" s="284">
        <v>6300</v>
      </c>
      <c r="AM72" s="284">
        <v>6300</v>
      </c>
      <c r="AN72" s="284">
        <v>6300</v>
      </c>
      <c r="AO72" s="284">
        <v>6300</v>
      </c>
      <c r="AP72" s="284">
        <v>6300</v>
      </c>
      <c r="AQ72" s="284">
        <v>6300</v>
      </c>
      <c r="AR72" s="284">
        <v>6300</v>
      </c>
      <c r="AS72" s="284">
        <v>6300</v>
      </c>
      <c r="AT72" s="284">
        <v>6300</v>
      </c>
      <c r="AU72" s="284">
        <v>6300</v>
      </c>
      <c r="AV72" s="284">
        <v>6300</v>
      </c>
      <c r="AW72" s="284">
        <v>6300</v>
      </c>
      <c r="AX72" s="284">
        <v>6300</v>
      </c>
      <c r="AY72" s="284">
        <v>6300</v>
      </c>
      <c r="AZ72" s="284">
        <v>6300</v>
      </c>
      <c r="BA72" s="284">
        <v>6300</v>
      </c>
      <c r="BB72" s="284">
        <v>6300</v>
      </c>
      <c r="BC72" s="284">
        <v>6300</v>
      </c>
      <c r="BD72" s="284">
        <v>6300</v>
      </c>
      <c r="BE72" s="284">
        <v>6300</v>
      </c>
      <c r="BF72" s="284">
        <v>6300</v>
      </c>
      <c r="BG72" s="284">
        <v>6300</v>
      </c>
      <c r="BH72" s="284">
        <v>6300</v>
      </c>
      <c r="BI72" s="284">
        <v>6300</v>
      </c>
      <c r="BJ72" s="284">
        <v>6300</v>
      </c>
      <c r="BK72" s="284">
        <v>6300</v>
      </c>
      <c r="BL72" s="284">
        <v>6300</v>
      </c>
      <c r="BM72" s="284">
        <v>6300</v>
      </c>
      <c r="BN72" s="284">
        <v>6300</v>
      </c>
      <c r="BO72" s="284">
        <v>6300</v>
      </c>
      <c r="BP72" s="284">
        <v>6300</v>
      </c>
      <c r="BQ72" s="284">
        <v>6300</v>
      </c>
      <c r="BR72" s="284">
        <v>6300</v>
      </c>
      <c r="BS72" s="284">
        <v>6300</v>
      </c>
      <c r="BT72" s="284">
        <v>6300</v>
      </c>
      <c r="BU72" s="284">
        <v>6300</v>
      </c>
      <c r="BV72" s="284">
        <v>6300</v>
      </c>
      <c r="BW72" s="284">
        <v>6300</v>
      </c>
      <c r="BX72" s="284">
        <v>6300</v>
      </c>
      <c r="BY72" s="284">
        <v>6300</v>
      </c>
      <c r="BZ72" s="284">
        <v>6300</v>
      </c>
      <c r="CA72" s="284">
        <v>6300</v>
      </c>
      <c r="CB72" s="284">
        <v>6300</v>
      </c>
      <c r="CC72" s="284">
        <v>6300</v>
      </c>
      <c r="CD72" s="284">
        <v>6300</v>
      </c>
      <c r="CE72" s="284">
        <v>6300</v>
      </c>
      <c r="CF72" s="284">
        <v>6300</v>
      </c>
      <c r="CG72" s="284">
        <v>6300</v>
      </c>
      <c r="CH72" s="284">
        <v>6300</v>
      </c>
      <c r="CI72" s="284">
        <v>6300</v>
      </c>
      <c r="CJ72" s="284">
        <v>6300</v>
      </c>
      <c r="CK72" s="284">
        <v>6300</v>
      </c>
      <c r="CL72" s="284">
        <v>6300</v>
      </c>
      <c r="CM72" s="284">
        <v>6300</v>
      </c>
      <c r="CN72" s="284">
        <v>6300</v>
      </c>
      <c r="CO72" s="284">
        <v>6300</v>
      </c>
      <c r="CP72" s="284">
        <v>6300</v>
      </c>
      <c r="CQ72" s="284">
        <v>6300</v>
      </c>
      <c r="CR72" s="284">
        <v>6300</v>
      </c>
      <c r="CS72" s="284">
        <v>6300</v>
      </c>
      <c r="CT72" s="284">
        <v>6300</v>
      </c>
      <c r="CU72" s="284">
        <v>6300</v>
      </c>
      <c r="CV72" s="284">
        <v>6300</v>
      </c>
      <c r="CW72" s="284">
        <v>6300</v>
      </c>
      <c r="CX72" s="284">
        <v>6300</v>
      </c>
      <c r="CY72" s="284">
        <v>6300</v>
      </c>
      <c r="CZ72" s="284">
        <v>6300</v>
      </c>
      <c r="DA72" s="284">
        <v>6300</v>
      </c>
      <c r="DB72" s="284">
        <v>6300</v>
      </c>
      <c r="DC72" s="284">
        <v>6300</v>
      </c>
      <c r="DD72" s="284">
        <v>6300</v>
      </c>
      <c r="DE72" s="284">
        <v>6300</v>
      </c>
      <c r="DF72" s="284"/>
      <c r="DG72" s="284"/>
      <c r="DH72" s="284"/>
      <c r="DI72" s="284"/>
      <c r="DJ72" s="284"/>
      <c r="DK72" s="284"/>
      <c r="DL72" s="284"/>
    </row>
    <row r="73" spans="1:116" ht="15.75" customHeight="1" x14ac:dyDescent="0.25">
      <c r="A73" s="751"/>
      <c r="B73" s="751"/>
      <c r="C73" s="347" t="s">
        <v>325</v>
      </c>
      <c r="D73" s="293" t="s">
        <v>326</v>
      </c>
      <c r="E73" s="293" t="e">
        <f ca="1">_xludf.FORMULATEXT(H73)</f>
        <v>#NAME?</v>
      </c>
      <c r="F73" s="349"/>
      <c r="G73" s="349"/>
      <c r="H73" s="425">
        <f t="shared" ref="H73:DE73" si="48">H71/H72</f>
        <v>301587.3015873016</v>
      </c>
      <c r="I73" s="426">
        <f t="shared" si="48"/>
        <v>301587.3015873016</v>
      </c>
      <c r="J73" s="426">
        <f t="shared" si="48"/>
        <v>301587.3015873016</v>
      </c>
      <c r="K73" s="426">
        <f t="shared" si="48"/>
        <v>301587.3015873016</v>
      </c>
      <c r="L73" s="426">
        <f t="shared" si="48"/>
        <v>301587.3015873016</v>
      </c>
      <c r="M73" s="426">
        <f t="shared" si="48"/>
        <v>301587.3015873016</v>
      </c>
      <c r="N73" s="426">
        <f t="shared" si="48"/>
        <v>301587.3015873016</v>
      </c>
      <c r="O73" s="426">
        <f t="shared" si="48"/>
        <v>301587.3015873016</v>
      </c>
      <c r="P73" s="426">
        <f t="shared" si="48"/>
        <v>301587.3015873016</v>
      </c>
      <c r="Q73" s="426">
        <f t="shared" si="48"/>
        <v>301587.3015873016</v>
      </c>
      <c r="R73" s="426">
        <f t="shared" si="48"/>
        <v>301587.3015873016</v>
      </c>
      <c r="S73" s="426">
        <f t="shared" si="48"/>
        <v>301587.3015873016</v>
      </c>
      <c r="T73" s="426">
        <f t="shared" si="48"/>
        <v>301587.3015873016</v>
      </c>
      <c r="U73" s="426">
        <f t="shared" si="48"/>
        <v>301587.3015873016</v>
      </c>
      <c r="V73" s="426">
        <f t="shared" si="48"/>
        <v>301587.3015873016</v>
      </c>
      <c r="W73" s="426">
        <f t="shared" si="48"/>
        <v>301587.3015873016</v>
      </c>
      <c r="X73" s="426">
        <f t="shared" si="48"/>
        <v>301587.3015873016</v>
      </c>
      <c r="Y73" s="426">
        <f t="shared" si="48"/>
        <v>301587.3015873016</v>
      </c>
      <c r="Z73" s="426">
        <f t="shared" si="48"/>
        <v>301587.3015873016</v>
      </c>
      <c r="AA73" s="426">
        <f t="shared" si="48"/>
        <v>301587.3015873016</v>
      </c>
      <c r="AB73" s="426">
        <f t="shared" si="48"/>
        <v>301587.3015873016</v>
      </c>
      <c r="AC73" s="426">
        <f t="shared" si="48"/>
        <v>301587.3015873016</v>
      </c>
      <c r="AD73" s="426">
        <f t="shared" si="48"/>
        <v>301587.3015873016</v>
      </c>
      <c r="AE73" s="426">
        <f t="shared" si="48"/>
        <v>301587.3015873016</v>
      </c>
      <c r="AF73" s="426">
        <f t="shared" si="48"/>
        <v>301587.3015873016</v>
      </c>
      <c r="AG73" s="426">
        <f t="shared" si="48"/>
        <v>301587.3015873016</v>
      </c>
      <c r="AH73" s="426">
        <f t="shared" si="48"/>
        <v>301587.3015873016</v>
      </c>
      <c r="AI73" s="426">
        <f t="shared" si="48"/>
        <v>301587.3015873016</v>
      </c>
      <c r="AJ73" s="426">
        <f t="shared" si="48"/>
        <v>301587.3015873016</v>
      </c>
      <c r="AK73" s="426">
        <f t="shared" si="48"/>
        <v>301587.3015873016</v>
      </c>
      <c r="AL73" s="426">
        <f t="shared" si="48"/>
        <v>301587.3015873016</v>
      </c>
      <c r="AM73" s="426">
        <f t="shared" si="48"/>
        <v>301587.3015873016</v>
      </c>
      <c r="AN73" s="426">
        <f t="shared" si="48"/>
        <v>301587.3015873016</v>
      </c>
      <c r="AO73" s="426">
        <f t="shared" si="48"/>
        <v>301587.3015873016</v>
      </c>
      <c r="AP73" s="426">
        <f t="shared" si="48"/>
        <v>301587.3015873016</v>
      </c>
      <c r="AQ73" s="426">
        <f t="shared" si="48"/>
        <v>301587.3015873016</v>
      </c>
      <c r="AR73" s="426">
        <f t="shared" si="48"/>
        <v>301587.3015873016</v>
      </c>
      <c r="AS73" s="426">
        <f t="shared" si="48"/>
        <v>301587.3015873016</v>
      </c>
      <c r="AT73" s="426">
        <f t="shared" si="48"/>
        <v>301587.3015873016</v>
      </c>
      <c r="AU73" s="426">
        <f t="shared" si="48"/>
        <v>301587.3015873016</v>
      </c>
      <c r="AV73" s="426">
        <f t="shared" si="48"/>
        <v>301587.3015873016</v>
      </c>
      <c r="AW73" s="426">
        <f t="shared" si="48"/>
        <v>301587.3015873016</v>
      </c>
      <c r="AX73" s="426">
        <f t="shared" si="48"/>
        <v>301587.3015873016</v>
      </c>
      <c r="AY73" s="426">
        <f t="shared" si="48"/>
        <v>301587.3015873016</v>
      </c>
      <c r="AZ73" s="426">
        <f t="shared" si="48"/>
        <v>301587.3015873016</v>
      </c>
      <c r="BA73" s="426">
        <f t="shared" si="48"/>
        <v>301587.3015873016</v>
      </c>
      <c r="BB73" s="426">
        <f t="shared" si="48"/>
        <v>301587.3015873016</v>
      </c>
      <c r="BC73" s="426">
        <f t="shared" si="48"/>
        <v>301587.3015873016</v>
      </c>
      <c r="BD73" s="426">
        <f t="shared" si="48"/>
        <v>301587.3015873016</v>
      </c>
      <c r="BE73" s="426">
        <f t="shared" si="48"/>
        <v>301587.3015873016</v>
      </c>
      <c r="BF73" s="426">
        <f t="shared" si="48"/>
        <v>301587.3015873016</v>
      </c>
      <c r="BG73" s="426">
        <f t="shared" si="48"/>
        <v>301587.3015873016</v>
      </c>
      <c r="BH73" s="426">
        <f t="shared" si="48"/>
        <v>301587.3015873016</v>
      </c>
      <c r="BI73" s="426">
        <f t="shared" si="48"/>
        <v>301587.3015873016</v>
      </c>
      <c r="BJ73" s="426">
        <f t="shared" si="48"/>
        <v>301587.3015873016</v>
      </c>
      <c r="BK73" s="426">
        <f t="shared" si="48"/>
        <v>301587.3015873016</v>
      </c>
      <c r="BL73" s="426">
        <f t="shared" si="48"/>
        <v>301587.3015873016</v>
      </c>
      <c r="BM73" s="426">
        <f t="shared" si="48"/>
        <v>301587.3015873016</v>
      </c>
      <c r="BN73" s="426">
        <f t="shared" si="48"/>
        <v>301587.3015873016</v>
      </c>
      <c r="BO73" s="426">
        <f t="shared" si="48"/>
        <v>301587.3015873016</v>
      </c>
      <c r="BP73" s="426">
        <f t="shared" si="48"/>
        <v>301587.3015873016</v>
      </c>
      <c r="BQ73" s="426">
        <f t="shared" si="48"/>
        <v>301587.3015873016</v>
      </c>
      <c r="BR73" s="426">
        <f t="shared" si="48"/>
        <v>301587.3015873016</v>
      </c>
      <c r="BS73" s="426">
        <f t="shared" si="48"/>
        <v>301587.3015873016</v>
      </c>
      <c r="BT73" s="426">
        <f t="shared" si="48"/>
        <v>301587.3015873016</v>
      </c>
      <c r="BU73" s="426">
        <f t="shared" si="48"/>
        <v>301587.3015873016</v>
      </c>
      <c r="BV73" s="426">
        <f t="shared" si="48"/>
        <v>301587.3015873016</v>
      </c>
      <c r="BW73" s="426">
        <f t="shared" si="48"/>
        <v>301587.3015873016</v>
      </c>
      <c r="BX73" s="426">
        <f t="shared" si="48"/>
        <v>301587.3015873016</v>
      </c>
      <c r="BY73" s="426">
        <f t="shared" si="48"/>
        <v>301587.3015873016</v>
      </c>
      <c r="BZ73" s="426">
        <f t="shared" si="48"/>
        <v>301587.3015873016</v>
      </c>
      <c r="CA73" s="426">
        <f t="shared" si="48"/>
        <v>301587.3015873016</v>
      </c>
      <c r="CB73" s="426">
        <f t="shared" si="48"/>
        <v>301587.3015873016</v>
      </c>
      <c r="CC73" s="426">
        <f t="shared" si="48"/>
        <v>301587.3015873016</v>
      </c>
      <c r="CD73" s="426">
        <f t="shared" si="48"/>
        <v>301587.3015873016</v>
      </c>
      <c r="CE73" s="426">
        <f t="shared" si="48"/>
        <v>301587.3015873016</v>
      </c>
      <c r="CF73" s="426">
        <f t="shared" si="48"/>
        <v>301587.3015873016</v>
      </c>
      <c r="CG73" s="426">
        <f t="shared" si="48"/>
        <v>301587.3015873016</v>
      </c>
      <c r="CH73" s="426">
        <f t="shared" si="48"/>
        <v>301587.3015873016</v>
      </c>
      <c r="CI73" s="426">
        <f t="shared" si="48"/>
        <v>301587.3015873016</v>
      </c>
      <c r="CJ73" s="426">
        <f t="shared" si="48"/>
        <v>301587.3015873016</v>
      </c>
      <c r="CK73" s="426">
        <f t="shared" si="48"/>
        <v>301587.3015873016</v>
      </c>
      <c r="CL73" s="426">
        <f t="shared" si="48"/>
        <v>301587.3015873016</v>
      </c>
      <c r="CM73" s="426">
        <f t="shared" si="48"/>
        <v>301587.3015873016</v>
      </c>
      <c r="CN73" s="426">
        <f t="shared" si="48"/>
        <v>301587.3015873016</v>
      </c>
      <c r="CO73" s="426">
        <f t="shared" si="48"/>
        <v>301587.3015873016</v>
      </c>
      <c r="CP73" s="426">
        <f t="shared" si="48"/>
        <v>301587.3015873016</v>
      </c>
      <c r="CQ73" s="426">
        <f t="shared" si="48"/>
        <v>301587.3015873016</v>
      </c>
      <c r="CR73" s="426">
        <f t="shared" si="48"/>
        <v>301587.3015873016</v>
      </c>
      <c r="CS73" s="426">
        <f t="shared" si="48"/>
        <v>301587.3015873016</v>
      </c>
      <c r="CT73" s="426">
        <f t="shared" si="48"/>
        <v>301587.3015873016</v>
      </c>
      <c r="CU73" s="426">
        <f t="shared" si="48"/>
        <v>301587.3015873016</v>
      </c>
      <c r="CV73" s="426">
        <f t="shared" si="48"/>
        <v>301587.3015873016</v>
      </c>
      <c r="CW73" s="426">
        <f t="shared" si="48"/>
        <v>301587.3015873016</v>
      </c>
      <c r="CX73" s="426">
        <f t="shared" si="48"/>
        <v>301587.3015873016</v>
      </c>
      <c r="CY73" s="426">
        <f t="shared" si="48"/>
        <v>301587.3015873016</v>
      </c>
      <c r="CZ73" s="426">
        <f t="shared" si="48"/>
        <v>301587.3015873016</v>
      </c>
      <c r="DA73" s="426">
        <f t="shared" si="48"/>
        <v>301587.3015873016</v>
      </c>
      <c r="DB73" s="426">
        <f t="shared" si="48"/>
        <v>301587.3015873016</v>
      </c>
      <c r="DC73" s="426">
        <f t="shared" si="48"/>
        <v>301587.3015873016</v>
      </c>
      <c r="DD73" s="426">
        <f t="shared" si="48"/>
        <v>301587.3015873016</v>
      </c>
      <c r="DE73" s="426">
        <f t="shared" si="48"/>
        <v>301587.3015873016</v>
      </c>
      <c r="DF73" s="427"/>
      <c r="DG73" s="427"/>
      <c r="DH73" s="427"/>
      <c r="DI73" s="427"/>
      <c r="DJ73" s="427"/>
      <c r="DK73" s="427"/>
      <c r="DL73" s="427"/>
    </row>
    <row r="74" spans="1:116" ht="15.75" customHeight="1" x14ac:dyDescent="0.25">
      <c r="A74" s="751"/>
      <c r="B74" s="751"/>
      <c r="C74" s="321" t="s">
        <v>327</v>
      </c>
      <c r="D74" s="280" t="s">
        <v>221</v>
      </c>
      <c r="E74" s="280" t="s">
        <v>328</v>
      </c>
      <c r="F74" s="280"/>
      <c r="G74" s="280"/>
      <c r="H74" s="297">
        <f>'Unit Costs and Indicators'!$D$18</f>
        <v>0.28409090909090912</v>
      </c>
      <c r="I74" s="298">
        <f>'Unit Costs and Indicators'!$D$18</f>
        <v>0.28409090909090912</v>
      </c>
      <c r="J74" s="298">
        <f>'Unit Costs and Indicators'!$D$18</f>
        <v>0.28409090909090912</v>
      </c>
      <c r="K74" s="298">
        <f>'Unit Costs and Indicators'!$D$18</f>
        <v>0.28409090909090912</v>
      </c>
      <c r="L74" s="298">
        <f>'Unit Costs and Indicators'!$D$18</f>
        <v>0.28409090909090912</v>
      </c>
      <c r="M74" s="298">
        <f>'Unit Costs and Indicators'!$D$18</f>
        <v>0.28409090909090912</v>
      </c>
      <c r="N74" s="298">
        <f>'Unit Costs and Indicators'!$D$18</f>
        <v>0.28409090909090912</v>
      </c>
      <c r="O74" s="298">
        <f>'Unit Costs and Indicators'!$D$18</f>
        <v>0.28409090909090912</v>
      </c>
      <c r="P74" s="298">
        <f>'Unit Costs and Indicators'!$D$18</f>
        <v>0.28409090909090912</v>
      </c>
      <c r="Q74" s="298">
        <f>'Unit Costs and Indicators'!$D$18</f>
        <v>0.28409090909090912</v>
      </c>
      <c r="R74" s="298">
        <f>'Unit Costs and Indicators'!$D$18</f>
        <v>0.28409090909090912</v>
      </c>
      <c r="S74" s="298">
        <f>'Unit Costs and Indicators'!$D$18</f>
        <v>0.28409090909090912</v>
      </c>
      <c r="T74" s="298">
        <f>'Unit Costs and Indicators'!$D$18</f>
        <v>0.28409090909090912</v>
      </c>
      <c r="U74" s="298">
        <f>'Unit Costs and Indicators'!$D$18</f>
        <v>0.28409090909090912</v>
      </c>
      <c r="V74" s="298">
        <f>'Unit Costs and Indicators'!$D$18</f>
        <v>0.28409090909090912</v>
      </c>
      <c r="W74" s="298">
        <f>'Unit Costs and Indicators'!$D$18</f>
        <v>0.28409090909090912</v>
      </c>
      <c r="X74" s="298">
        <f>'Unit Costs and Indicators'!$D$18</f>
        <v>0.28409090909090912</v>
      </c>
      <c r="Y74" s="298">
        <f>'Unit Costs and Indicators'!$D$18</f>
        <v>0.28409090909090912</v>
      </c>
      <c r="Z74" s="298">
        <f>'Unit Costs and Indicators'!$D$18</f>
        <v>0.28409090909090912</v>
      </c>
      <c r="AA74" s="298">
        <f>'Unit Costs and Indicators'!$D$18</f>
        <v>0.28409090909090912</v>
      </c>
      <c r="AB74" s="298">
        <f>'Unit Costs and Indicators'!$D$18</f>
        <v>0.28409090909090912</v>
      </c>
      <c r="AC74" s="298">
        <f>'Unit Costs and Indicators'!$D$18</f>
        <v>0.28409090909090912</v>
      </c>
      <c r="AD74" s="298">
        <f>'Unit Costs and Indicators'!$D$18</f>
        <v>0.28409090909090912</v>
      </c>
      <c r="AE74" s="298">
        <f>'Unit Costs and Indicators'!$D$18</f>
        <v>0.28409090909090912</v>
      </c>
      <c r="AF74" s="298">
        <f>'Unit Costs and Indicators'!$D$18</f>
        <v>0.28409090909090912</v>
      </c>
      <c r="AG74" s="298">
        <f>'Unit Costs and Indicators'!$D$18</f>
        <v>0.28409090909090912</v>
      </c>
      <c r="AH74" s="298">
        <f>'Unit Costs and Indicators'!$D$18</f>
        <v>0.28409090909090912</v>
      </c>
      <c r="AI74" s="298">
        <f>'Unit Costs and Indicators'!$D$18</f>
        <v>0.28409090909090912</v>
      </c>
      <c r="AJ74" s="298">
        <f>'Unit Costs and Indicators'!$D$18</f>
        <v>0.28409090909090912</v>
      </c>
      <c r="AK74" s="298">
        <f>'Unit Costs and Indicators'!$D$18</f>
        <v>0.28409090909090912</v>
      </c>
      <c r="AL74" s="298">
        <f>'Unit Costs and Indicators'!$D$18</f>
        <v>0.28409090909090912</v>
      </c>
      <c r="AM74" s="298">
        <f>'Unit Costs and Indicators'!$D$18</f>
        <v>0.28409090909090912</v>
      </c>
      <c r="AN74" s="298">
        <f>'Unit Costs and Indicators'!$D$18</f>
        <v>0.28409090909090912</v>
      </c>
      <c r="AO74" s="298">
        <f>'Unit Costs and Indicators'!$D$18</f>
        <v>0.28409090909090912</v>
      </c>
      <c r="AP74" s="298">
        <f>'Unit Costs and Indicators'!$D$18</f>
        <v>0.28409090909090912</v>
      </c>
      <c r="AQ74" s="298">
        <f>'Unit Costs and Indicators'!$D$18</f>
        <v>0.28409090909090912</v>
      </c>
      <c r="AR74" s="298">
        <f>'Unit Costs and Indicators'!$D$18</f>
        <v>0.28409090909090912</v>
      </c>
      <c r="AS74" s="298">
        <f>'Unit Costs and Indicators'!$D$18</f>
        <v>0.28409090909090912</v>
      </c>
      <c r="AT74" s="298">
        <f>'Unit Costs and Indicators'!$D$18</f>
        <v>0.28409090909090912</v>
      </c>
      <c r="AU74" s="298">
        <f>'Unit Costs and Indicators'!$D$18</f>
        <v>0.28409090909090912</v>
      </c>
      <c r="AV74" s="298">
        <f>'Unit Costs and Indicators'!$D$18</f>
        <v>0.28409090909090912</v>
      </c>
      <c r="AW74" s="298">
        <f>'Unit Costs and Indicators'!$D$18</f>
        <v>0.28409090909090912</v>
      </c>
      <c r="AX74" s="298">
        <f>'Unit Costs and Indicators'!$D$18</f>
        <v>0.28409090909090912</v>
      </c>
      <c r="AY74" s="298">
        <f>'Unit Costs and Indicators'!$D$18</f>
        <v>0.28409090909090912</v>
      </c>
      <c r="AZ74" s="298">
        <f>'Unit Costs and Indicators'!$D$18</f>
        <v>0.28409090909090912</v>
      </c>
      <c r="BA74" s="298">
        <f>'Unit Costs and Indicators'!$D$18</f>
        <v>0.28409090909090912</v>
      </c>
      <c r="BB74" s="298">
        <f>'Unit Costs and Indicators'!$D$18</f>
        <v>0.28409090909090912</v>
      </c>
      <c r="BC74" s="298">
        <f>'Unit Costs and Indicators'!$D$18</f>
        <v>0.28409090909090912</v>
      </c>
      <c r="BD74" s="298">
        <f>'Unit Costs and Indicators'!$D$18</f>
        <v>0.28409090909090912</v>
      </c>
      <c r="BE74" s="298">
        <f>'Unit Costs and Indicators'!$D$18</f>
        <v>0.28409090909090912</v>
      </c>
      <c r="BF74" s="298">
        <f>'Unit Costs and Indicators'!$D$18</f>
        <v>0.28409090909090912</v>
      </c>
      <c r="BG74" s="298">
        <f>'Unit Costs and Indicators'!$D$18</f>
        <v>0.28409090909090912</v>
      </c>
      <c r="BH74" s="298">
        <f>'Unit Costs and Indicators'!$D$18</f>
        <v>0.28409090909090912</v>
      </c>
      <c r="BI74" s="298">
        <f>'Unit Costs and Indicators'!$D$18</f>
        <v>0.28409090909090912</v>
      </c>
      <c r="BJ74" s="298">
        <f>'Unit Costs and Indicators'!$D$18</f>
        <v>0.28409090909090912</v>
      </c>
      <c r="BK74" s="298">
        <f>'Unit Costs and Indicators'!$D$18</f>
        <v>0.28409090909090912</v>
      </c>
      <c r="BL74" s="298">
        <f>'Unit Costs and Indicators'!$D$18</f>
        <v>0.28409090909090912</v>
      </c>
      <c r="BM74" s="298">
        <f>'Unit Costs and Indicators'!$D$18</f>
        <v>0.28409090909090912</v>
      </c>
      <c r="BN74" s="298">
        <f>'Unit Costs and Indicators'!$D$18</f>
        <v>0.28409090909090912</v>
      </c>
      <c r="BO74" s="298">
        <f>'Unit Costs and Indicators'!$D$18</f>
        <v>0.28409090909090912</v>
      </c>
      <c r="BP74" s="298">
        <f>'Unit Costs and Indicators'!$D$18</f>
        <v>0.28409090909090912</v>
      </c>
      <c r="BQ74" s="298">
        <f>'Unit Costs and Indicators'!$D$18</f>
        <v>0.28409090909090912</v>
      </c>
      <c r="BR74" s="298">
        <f>'Unit Costs and Indicators'!$D$18</f>
        <v>0.28409090909090912</v>
      </c>
      <c r="BS74" s="298">
        <f>'Unit Costs and Indicators'!$D$18</f>
        <v>0.28409090909090912</v>
      </c>
      <c r="BT74" s="298">
        <f>'Unit Costs and Indicators'!$D$18</f>
        <v>0.28409090909090912</v>
      </c>
      <c r="BU74" s="298">
        <f>'Unit Costs and Indicators'!$D$18</f>
        <v>0.28409090909090912</v>
      </c>
      <c r="BV74" s="298">
        <f>'Unit Costs and Indicators'!$D$18</f>
        <v>0.28409090909090912</v>
      </c>
      <c r="BW74" s="298">
        <f>'Unit Costs and Indicators'!$D$18</f>
        <v>0.28409090909090912</v>
      </c>
      <c r="BX74" s="298">
        <f>'Unit Costs and Indicators'!$D$18</f>
        <v>0.28409090909090912</v>
      </c>
      <c r="BY74" s="298">
        <f>'Unit Costs and Indicators'!$D$18</f>
        <v>0.28409090909090912</v>
      </c>
      <c r="BZ74" s="298">
        <f>'Unit Costs and Indicators'!$D$18</f>
        <v>0.28409090909090912</v>
      </c>
      <c r="CA74" s="298">
        <f>'Unit Costs and Indicators'!$D$18</f>
        <v>0.28409090909090912</v>
      </c>
      <c r="CB74" s="298">
        <f>'Unit Costs and Indicators'!$D$18</f>
        <v>0.28409090909090912</v>
      </c>
      <c r="CC74" s="298">
        <f>'Unit Costs and Indicators'!$D$18</f>
        <v>0.28409090909090912</v>
      </c>
      <c r="CD74" s="298">
        <f>'Unit Costs and Indicators'!$D$18</f>
        <v>0.28409090909090912</v>
      </c>
      <c r="CE74" s="298">
        <f>'Unit Costs and Indicators'!$D$18</f>
        <v>0.28409090909090912</v>
      </c>
      <c r="CF74" s="298">
        <f>'Unit Costs and Indicators'!$D$18</f>
        <v>0.28409090909090912</v>
      </c>
      <c r="CG74" s="298">
        <f>'Unit Costs and Indicators'!$D$18</f>
        <v>0.28409090909090912</v>
      </c>
      <c r="CH74" s="298">
        <f>'Unit Costs and Indicators'!$D$18</f>
        <v>0.28409090909090912</v>
      </c>
      <c r="CI74" s="298">
        <f>'Unit Costs and Indicators'!$D$18</f>
        <v>0.28409090909090912</v>
      </c>
      <c r="CJ74" s="298">
        <f>'Unit Costs and Indicators'!$D$18</f>
        <v>0.28409090909090912</v>
      </c>
      <c r="CK74" s="298">
        <f>'Unit Costs and Indicators'!$D$18</f>
        <v>0.28409090909090912</v>
      </c>
      <c r="CL74" s="298">
        <f>'Unit Costs and Indicators'!$D$18</f>
        <v>0.28409090909090912</v>
      </c>
      <c r="CM74" s="298">
        <f>'Unit Costs and Indicators'!$D$18</f>
        <v>0.28409090909090912</v>
      </c>
      <c r="CN74" s="298">
        <f>'Unit Costs and Indicators'!$D$18</f>
        <v>0.28409090909090912</v>
      </c>
      <c r="CO74" s="298">
        <f>'Unit Costs and Indicators'!$D$18</f>
        <v>0.28409090909090912</v>
      </c>
      <c r="CP74" s="298">
        <f>'Unit Costs and Indicators'!$D$18</f>
        <v>0.28409090909090912</v>
      </c>
      <c r="CQ74" s="298">
        <f>'Unit Costs and Indicators'!$D$18</f>
        <v>0.28409090909090912</v>
      </c>
      <c r="CR74" s="298">
        <f>'Unit Costs and Indicators'!$D$18</f>
        <v>0.28409090909090912</v>
      </c>
      <c r="CS74" s="298">
        <f>'Unit Costs and Indicators'!$D$18</f>
        <v>0.28409090909090912</v>
      </c>
      <c r="CT74" s="298">
        <f>'Unit Costs and Indicators'!$D$18</f>
        <v>0.28409090909090912</v>
      </c>
      <c r="CU74" s="298">
        <f>'Unit Costs and Indicators'!$D$18</f>
        <v>0.28409090909090912</v>
      </c>
      <c r="CV74" s="298">
        <f>'Unit Costs and Indicators'!$D$18</f>
        <v>0.28409090909090912</v>
      </c>
      <c r="CW74" s="298">
        <f>'Unit Costs and Indicators'!$D$18</f>
        <v>0.28409090909090912</v>
      </c>
      <c r="CX74" s="298">
        <f>'Unit Costs and Indicators'!$D$18</f>
        <v>0.28409090909090912</v>
      </c>
      <c r="CY74" s="298">
        <f>'Unit Costs and Indicators'!$D$18</f>
        <v>0.28409090909090912</v>
      </c>
      <c r="CZ74" s="298">
        <f>'Unit Costs and Indicators'!$D$18</f>
        <v>0.28409090909090912</v>
      </c>
      <c r="DA74" s="298">
        <f>'Unit Costs and Indicators'!$D$18</f>
        <v>0.28409090909090912</v>
      </c>
      <c r="DB74" s="298">
        <f>'Unit Costs and Indicators'!$D$18</f>
        <v>0.28409090909090912</v>
      </c>
      <c r="DC74" s="298">
        <f>'Unit Costs and Indicators'!$D$18</f>
        <v>0.28409090909090912</v>
      </c>
      <c r="DD74" s="298">
        <f>'Unit Costs and Indicators'!$D$18</f>
        <v>0.28409090909090912</v>
      </c>
      <c r="DE74" s="298">
        <f>'Unit Costs and Indicators'!$D$18</f>
        <v>0.28409090909090912</v>
      </c>
      <c r="DF74" s="298"/>
      <c r="DG74" s="298"/>
      <c r="DH74" s="298"/>
      <c r="DI74" s="298"/>
      <c r="DJ74" s="298"/>
      <c r="DK74" s="298"/>
      <c r="DL74" s="298"/>
    </row>
    <row r="75" spans="1:116" ht="15.75" customHeight="1" x14ac:dyDescent="0.25">
      <c r="A75" s="751"/>
      <c r="B75" s="354"/>
      <c r="C75" s="355" t="s">
        <v>244</v>
      </c>
      <c r="D75" s="356" t="s">
        <v>247</v>
      </c>
      <c r="E75" s="357"/>
      <c r="F75" s="316" t="s">
        <v>14</v>
      </c>
      <c r="G75" s="317">
        <f t="array" ref="G75">NPV($C$4, J75:DE75)+I75</f>
        <v>3828474.4275061991</v>
      </c>
      <c r="H75" s="359">
        <f t="shared" ref="H75:I75" si="49">H73*H74</f>
        <v>85678.210678210686</v>
      </c>
      <c r="I75" s="360">
        <f t="shared" si="49"/>
        <v>85678.210678210686</v>
      </c>
      <c r="J75" s="360">
        <f t="shared" ref="J75:DE75" si="50">J73*J74*(1 + $C$3)^(J5 - $I$5)</f>
        <v>87391.774891774898</v>
      </c>
      <c r="K75" s="360">
        <f t="shared" si="50"/>
        <v>89139.610389610403</v>
      </c>
      <c r="L75" s="360">
        <f t="shared" si="50"/>
        <v>90922.402597402601</v>
      </c>
      <c r="M75" s="360">
        <f t="shared" si="50"/>
        <v>92740.850649350657</v>
      </c>
      <c r="N75" s="360">
        <f t="shared" si="50"/>
        <v>94595.66766233767</v>
      </c>
      <c r="O75" s="360">
        <f t="shared" si="50"/>
        <v>96487.581015584423</v>
      </c>
      <c r="P75" s="360">
        <f t="shared" si="50"/>
        <v>98417.332635896091</v>
      </c>
      <c r="Q75" s="360">
        <f t="shared" si="50"/>
        <v>100385.67928861403</v>
      </c>
      <c r="R75" s="360">
        <f t="shared" si="50"/>
        <v>102393.39287438631</v>
      </c>
      <c r="S75" s="360">
        <f t="shared" si="50"/>
        <v>104441.26073187403</v>
      </c>
      <c r="T75" s="360">
        <f t="shared" si="50"/>
        <v>106530.08594651151</v>
      </c>
      <c r="U75" s="360">
        <f t="shared" si="50"/>
        <v>108660.68766544174</v>
      </c>
      <c r="V75" s="360">
        <f t="shared" si="50"/>
        <v>110833.90141875058</v>
      </c>
      <c r="W75" s="360">
        <f t="shared" si="50"/>
        <v>113050.57944712559</v>
      </c>
      <c r="X75" s="360">
        <f t="shared" si="50"/>
        <v>115311.59103606809</v>
      </c>
      <c r="Y75" s="360">
        <f t="shared" si="50"/>
        <v>117617.82285678945</v>
      </c>
      <c r="Z75" s="360">
        <f t="shared" si="50"/>
        <v>119970.17931392525</v>
      </c>
      <c r="AA75" s="360">
        <f t="shared" si="50"/>
        <v>122369.58290020375</v>
      </c>
      <c r="AB75" s="360">
        <f t="shared" si="50"/>
        <v>124816.97455820782</v>
      </c>
      <c r="AC75" s="360">
        <f t="shared" si="50"/>
        <v>127313.314049372</v>
      </c>
      <c r="AD75" s="360">
        <f t="shared" si="50"/>
        <v>129859.58033035943</v>
      </c>
      <c r="AE75" s="360">
        <f t="shared" si="50"/>
        <v>132456.77193696663</v>
      </c>
      <c r="AF75" s="360">
        <f t="shared" si="50"/>
        <v>135105.90737570592</v>
      </c>
      <c r="AG75" s="360">
        <f t="shared" si="50"/>
        <v>137808.02552322004</v>
      </c>
      <c r="AH75" s="360">
        <f t="shared" si="50"/>
        <v>140564.18603368444</v>
      </c>
      <c r="AI75" s="360">
        <f t="shared" si="50"/>
        <v>143375.46975435817</v>
      </c>
      <c r="AJ75" s="360">
        <f t="shared" si="50"/>
        <v>146242.97914944528</v>
      </c>
      <c r="AK75" s="360">
        <f t="shared" si="50"/>
        <v>149167.83873243423</v>
      </c>
      <c r="AL75" s="360">
        <f t="shared" si="50"/>
        <v>152151.19550708288</v>
      </c>
      <c r="AM75" s="360">
        <f t="shared" si="50"/>
        <v>155194.21941722455</v>
      </c>
      <c r="AN75" s="360">
        <f t="shared" si="50"/>
        <v>158298.10380556903</v>
      </c>
      <c r="AO75" s="360">
        <f t="shared" si="50"/>
        <v>161464.06588168044</v>
      </c>
      <c r="AP75" s="360">
        <f t="shared" si="50"/>
        <v>164693.34719931404</v>
      </c>
      <c r="AQ75" s="360">
        <f t="shared" si="50"/>
        <v>167987.21414330031</v>
      </c>
      <c r="AR75" s="360">
        <f t="shared" si="50"/>
        <v>171346.95842616633</v>
      </c>
      <c r="AS75" s="360">
        <f t="shared" si="50"/>
        <v>174773.89759468962</v>
      </c>
      <c r="AT75" s="360">
        <f t="shared" si="50"/>
        <v>178269.37554658344</v>
      </c>
      <c r="AU75" s="360">
        <f t="shared" si="50"/>
        <v>181834.76305751514</v>
      </c>
      <c r="AV75" s="360">
        <f t="shared" si="50"/>
        <v>185471.45831866536</v>
      </c>
      <c r="AW75" s="360">
        <f t="shared" si="50"/>
        <v>189180.88748503872</v>
      </c>
      <c r="AX75" s="360">
        <f t="shared" si="50"/>
        <v>192964.50523473948</v>
      </c>
      <c r="AY75" s="360">
        <f t="shared" si="50"/>
        <v>196823.79533943426</v>
      </c>
      <c r="AZ75" s="360">
        <f t="shared" si="50"/>
        <v>200760.27124622295</v>
      </c>
      <c r="BA75" s="360">
        <f t="shared" si="50"/>
        <v>204775.47667114745</v>
      </c>
      <c r="BB75" s="360">
        <f t="shared" si="50"/>
        <v>208870.98620457036</v>
      </c>
      <c r="BC75" s="360">
        <f t="shared" si="50"/>
        <v>213048.40592866181</v>
      </c>
      <c r="BD75" s="360">
        <f t="shared" si="50"/>
        <v>217309.37404723497</v>
      </c>
      <c r="BE75" s="360">
        <f t="shared" si="50"/>
        <v>221655.56152817971</v>
      </c>
      <c r="BF75" s="360">
        <f t="shared" si="50"/>
        <v>226088.67275874331</v>
      </c>
      <c r="BG75" s="360">
        <f t="shared" si="50"/>
        <v>230610.44621391819</v>
      </c>
      <c r="BH75" s="360">
        <f t="shared" si="50"/>
        <v>235222.65513819651</v>
      </c>
      <c r="BI75" s="360">
        <f t="shared" si="50"/>
        <v>239927.10824096049</v>
      </c>
      <c r="BJ75" s="360">
        <f t="shared" si="50"/>
        <v>244725.65040577966</v>
      </c>
      <c r="BK75" s="360">
        <f t="shared" si="50"/>
        <v>249620.16341389526</v>
      </c>
      <c r="BL75" s="360">
        <f t="shared" si="50"/>
        <v>254612.56668217311</v>
      </c>
      <c r="BM75" s="360">
        <f t="shared" si="50"/>
        <v>259704.81801581659</v>
      </c>
      <c r="BN75" s="360">
        <f t="shared" si="50"/>
        <v>264898.91437613289</v>
      </c>
      <c r="BO75" s="360">
        <f t="shared" si="50"/>
        <v>270196.89266365563</v>
      </c>
      <c r="BP75" s="360">
        <f t="shared" si="50"/>
        <v>275600.83051692869</v>
      </c>
      <c r="BQ75" s="360">
        <f t="shared" si="50"/>
        <v>281112.84712726733</v>
      </c>
      <c r="BR75" s="360">
        <f t="shared" si="50"/>
        <v>286735.10406981263</v>
      </c>
      <c r="BS75" s="360">
        <f t="shared" si="50"/>
        <v>292469.80615120888</v>
      </c>
      <c r="BT75" s="360">
        <f t="shared" si="50"/>
        <v>298319.20227423299</v>
      </c>
      <c r="BU75" s="360">
        <f t="shared" si="50"/>
        <v>304285.58631971775</v>
      </c>
      <c r="BV75" s="360">
        <f t="shared" si="50"/>
        <v>310371.29804611212</v>
      </c>
      <c r="BW75" s="360">
        <f t="shared" si="50"/>
        <v>316578.72400703433</v>
      </c>
      <c r="BX75" s="360">
        <f t="shared" si="50"/>
        <v>322910.29848717502</v>
      </c>
      <c r="BY75" s="360">
        <f t="shared" si="50"/>
        <v>329368.50445691851</v>
      </c>
      <c r="BZ75" s="360">
        <f t="shared" si="50"/>
        <v>335955.8745460569</v>
      </c>
      <c r="CA75" s="360">
        <f t="shared" si="50"/>
        <v>342674.99203697802</v>
      </c>
      <c r="CB75" s="360">
        <f t="shared" si="50"/>
        <v>349528.49187771755</v>
      </c>
      <c r="CC75" s="360">
        <f t="shared" si="50"/>
        <v>356519.06171527191</v>
      </c>
      <c r="CD75" s="360">
        <f t="shared" si="50"/>
        <v>363649.44294957735</v>
      </c>
      <c r="CE75" s="360">
        <f t="shared" si="50"/>
        <v>370922.43180856894</v>
      </c>
      <c r="CF75" s="360">
        <f t="shared" si="50"/>
        <v>378340.88044474024</v>
      </c>
      <c r="CG75" s="360">
        <f t="shared" si="50"/>
        <v>385907.69805363507</v>
      </c>
      <c r="CH75" s="360">
        <f t="shared" si="50"/>
        <v>393625.85201470781</v>
      </c>
      <c r="CI75" s="360">
        <f t="shared" si="50"/>
        <v>401498.369055002</v>
      </c>
      <c r="CJ75" s="360">
        <f t="shared" si="50"/>
        <v>409528.33643610188</v>
      </c>
      <c r="CK75" s="360">
        <f t="shared" si="50"/>
        <v>417718.90316482401</v>
      </c>
      <c r="CL75" s="360">
        <f t="shared" si="50"/>
        <v>426073.2812281205</v>
      </c>
      <c r="CM75" s="360">
        <f t="shared" si="50"/>
        <v>434594.74685268285</v>
      </c>
      <c r="CN75" s="360">
        <f t="shared" si="50"/>
        <v>443286.64178973652</v>
      </c>
      <c r="CO75" s="360">
        <f t="shared" si="50"/>
        <v>452152.37462553126</v>
      </c>
      <c r="CP75" s="360">
        <f t="shared" si="50"/>
        <v>461195.4221180419</v>
      </c>
      <c r="CQ75" s="360">
        <f t="shared" si="50"/>
        <v>470419.33056040277</v>
      </c>
      <c r="CR75" s="360">
        <f t="shared" si="50"/>
        <v>479827.71717161068</v>
      </c>
      <c r="CS75" s="360">
        <f t="shared" si="50"/>
        <v>489424.27151504293</v>
      </c>
      <c r="CT75" s="360">
        <f t="shared" si="50"/>
        <v>499212.7569453438</v>
      </c>
      <c r="CU75" s="360">
        <f t="shared" si="50"/>
        <v>509197.01208425075</v>
      </c>
      <c r="CV75" s="360">
        <f t="shared" si="50"/>
        <v>519380.95232593565</v>
      </c>
      <c r="CW75" s="360">
        <f t="shared" si="50"/>
        <v>529768.57137245452</v>
      </c>
      <c r="CX75" s="360">
        <f t="shared" si="50"/>
        <v>540363.94279990357</v>
      </c>
      <c r="CY75" s="360">
        <f t="shared" si="50"/>
        <v>551171.22165590164</v>
      </c>
      <c r="CZ75" s="360">
        <f t="shared" si="50"/>
        <v>562194.64608901949</v>
      </c>
      <c r="DA75" s="360">
        <f t="shared" si="50"/>
        <v>573438.53901079996</v>
      </c>
      <c r="DB75" s="360">
        <f t="shared" si="50"/>
        <v>584907.30979101604</v>
      </c>
      <c r="DC75" s="360">
        <f t="shared" si="50"/>
        <v>596605.45598683634</v>
      </c>
      <c r="DD75" s="360">
        <f t="shared" si="50"/>
        <v>608537.56510657305</v>
      </c>
      <c r="DE75" s="360">
        <f t="shared" si="50"/>
        <v>620708.3164087045</v>
      </c>
      <c r="DF75" s="428"/>
      <c r="DG75" s="428"/>
      <c r="DH75" s="428"/>
      <c r="DI75" s="428"/>
      <c r="DJ75" s="428"/>
      <c r="DK75" s="428"/>
      <c r="DL75" s="428"/>
    </row>
    <row r="76" spans="1:116" ht="15.75" customHeight="1" x14ac:dyDescent="0.25">
      <c r="A76" s="751"/>
      <c r="B76" s="758" t="s">
        <v>79</v>
      </c>
      <c r="C76" s="278" t="str">
        <f t="shared" ref="C76:H76" si="51">C9</f>
        <v>Actual number of Street Cuts</v>
      </c>
      <c r="D76" s="403" t="str">
        <f t="shared" si="51"/>
        <v>#</v>
      </c>
      <c r="E76" s="403" t="str">
        <f t="shared" si="51"/>
        <v>Mar/11/2020 Utilidor Working Group Meeting: DOT</v>
      </c>
      <c r="F76" s="403">
        <f t="shared" si="51"/>
        <v>0</v>
      </c>
      <c r="G76" s="403">
        <f t="shared" si="51"/>
        <v>0</v>
      </c>
      <c r="H76" s="430">
        <f t="shared" si="51"/>
        <v>0</v>
      </c>
      <c r="I76" s="403">
        <f>'Cost (Counterfactual)'!I85</f>
        <v>24.210449999999998</v>
      </c>
      <c r="J76" s="403">
        <f>'Cost (Counterfactual)'!J85</f>
        <v>24.331502249999996</v>
      </c>
      <c r="K76" s="403">
        <f t="shared" ref="K76:DE76" si="52">K9</f>
        <v>0</v>
      </c>
      <c r="L76" s="403">
        <f t="shared" si="52"/>
        <v>0</v>
      </c>
      <c r="M76" s="403">
        <f t="shared" si="52"/>
        <v>0</v>
      </c>
      <c r="N76" s="403">
        <f t="shared" si="52"/>
        <v>0</v>
      </c>
      <c r="O76" s="403">
        <f t="shared" si="52"/>
        <v>0</v>
      </c>
      <c r="P76" s="403">
        <f t="shared" si="52"/>
        <v>0</v>
      </c>
      <c r="Q76" s="403">
        <f t="shared" si="52"/>
        <v>0</v>
      </c>
      <c r="R76" s="403">
        <f t="shared" si="52"/>
        <v>0</v>
      </c>
      <c r="S76" s="403">
        <f t="shared" si="52"/>
        <v>0</v>
      </c>
      <c r="T76" s="403">
        <f t="shared" si="52"/>
        <v>0</v>
      </c>
      <c r="U76" s="403">
        <f t="shared" si="52"/>
        <v>0</v>
      </c>
      <c r="V76" s="403">
        <f t="shared" si="52"/>
        <v>0</v>
      </c>
      <c r="W76" s="403">
        <f t="shared" si="52"/>
        <v>0</v>
      </c>
      <c r="X76" s="403">
        <f t="shared" si="52"/>
        <v>0</v>
      </c>
      <c r="Y76" s="403">
        <f t="shared" si="52"/>
        <v>0</v>
      </c>
      <c r="Z76" s="403">
        <f t="shared" si="52"/>
        <v>0</v>
      </c>
      <c r="AA76" s="403">
        <f t="shared" si="52"/>
        <v>0</v>
      </c>
      <c r="AB76" s="403">
        <f t="shared" si="52"/>
        <v>0</v>
      </c>
      <c r="AC76" s="403">
        <f t="shared" si="52"/>
        <v>0</v>
      </c>
      <c r="AD76" s="403">
        <f t="shared" si="52"/>
        <v>0</v>
      </c>
      <c r="AE76" s="403">
        <f t="shared" si="52"/>
        <v>0</v>
      </c>
      <c r="AF76" s="403">
        <f t="shared" si="52"/>
        <v>0</v>
      </c>
      <c r="AG76" s="403">
        <f t="shared" si="52"/>
        <v>0</v>
      </c>
      <c r="AH76" s="403">
        <f t="shared" si="52"/>
        <v>0</v>
      </c>
      <c r="AI76" s="403">
        <f t="shared" si="52"/>
        <v>0</v>
      </c>
      <c r="AJ76" s="403">
        <f t="shared" si="52"/>
        <v>0</v>
      </c>
      <c r="AK76" s="403">
        <f t="shared" si="52"/>
        <v>0</v>
      </c>
      <c r="AL76" s="403">
        <f t="shared" si="52"/>
        <v>0</v>
      </c>
      <c r="AM76" s="403">
        <f t="shared" si="52"/>
        <v>0</v>
      </c>
      <c r="AN76" s="403">
        <f t="shared" si="52"/>
        <v>0</v>
      </c>
      <c r="AO76" s="403">
        <f t="shared" si="52"/>
        <v>0</v>
      </c>
      <c r="AP76" s="403">
        <f t="shared" si="52"/>
        <v>0</v>
      </c>
      <c r="AQ76" s="403">
        <f t="shared" si="52"/>
        <v>0</v>
      </c>
      <c r="AR76" s="403">
        <f t="shared" si="52"/>
        <v>0</v>
      </c>
      <c r="AS76" s="403">
        <f t="shared" si="52"/>
        <v>0</v>
      </c>
      <c r="AT76" s="403">
        <f t="shared" si="52"/>
        <v>0</v>
      </c>
      <c r="AU76" s="403">
        <f t="shared" si="52"/>
        <v>0</v>
      </c>
      <c r="AV76" s="403">
        <f t="shared" si="52"/>
        <v>0</v>
      </c>
      <c r="AW76" s="403">
        <f t="shared" si="52"/>
        <v>0</v>
      </c>
      <c r="AX76" s="403">
        <f t="shared" si="52"/>
        <v>0</v>
      </c>
      <c r="AY76" s="403">
        <f t="shared" si="52"/>
        <v>0</v>
      </c>
      <c r="AZ76" s="403">
        <f t="shared" si="52"/>
        <v>0</v>
      </c>
      <c r="BA76" s="403">
        <f t="shared" si="52"/>
        <v>0</v>
      </c>
      <c r="BB76" s="403">
        <f t="shared" si="52"/>
        <v>0</v>
      </c>
      <c r="BC76" s="403">
        <f t="shared" si="52"/>
        <v>0</v>
      </c>
      <c r="BD76" s="403">
        <f t="shared" si="52"/>
        <v>0</v>
      </c>
      <c r="BE76" s="403">
        <f t="shared" si="52"/>
        <v>0</v>
      </c>
      <c r="BF76" s="403">
        <f t="shared" si="52"/>
        <v>0</v>
      </c>
      <c r="BG76" s="403">
        <f t="shared" si="52"/>
        <v>0</v>
      </c>
      <c r="BH76" s="403">
        <f t="shared" si="52"/>
        <v>0</v>
      </c>
      <c r="BI76" s="403">
        <f t="shared" si="52"/>
        <v>0</v>
      </c>
      <c r="BJ76" s="403">
        <f t="shared" si="52"/>
        <v>0</v>
      </c>
      <c r="BK76" s="403">
        <f t="shared" si="52"/>
        <v>0</v>
      </c>
      <c r="BL76" s="403">
        <f t="shared" si="52"/>
        <v>0</v>
      </c>
      <c r="BM76" s="403">
        <f t="shared" si="52"/>
        <v>0</v>
      </c>
      <c r="BN76" s="403">
        <f t="shared" si="52"/>
        <v>0</v>
      </c>
      <c r="BO76" s="403">
        <f t="shared" si="52"/>
        <v>0</v>
      </c>
      <c r="BP76" s="403">
        <f t="shared" si="52"/>
        <v>0</v>
      </c>
      <c r="BQ76" s="403">
        <f t="shared" si="52"/>
        <v>0</v>
      </c>
      <c r="BR76" s="403">
        <f t="shared" si="52"/>
        <v>0</v>
      </c>
      <c r="BS76" s="403">
        <f t="shared" si="52"/>
        <v>0</v>
      </c>
      <c r="BT76" s="403">
        <f t="shared" si="52"/>
        <v>0</v>
      </c>
      <c r="BU76" s="403">
        <f t="shared" si="52"/>
        <v>0</v>
      </c>
      <c r="BV76" s="403">
        <f t="shared" si="52"/>
        <v>0</v>
      </c>
      <c r="BW76" s="403">
        <f t="shared" si="52"/>
        <v>0</v>
      </c>
      <c r="BX76" s="403">
        <f t="shared" si="52"/>
        <v>0</v>
      </c>
      <c r="BY76" s="403">
        <f t="shared" si="52"/>
        <v>0</v>
      </c>
      <c r="BZ76" s="403">
        <f t="shared" si="52"/>
        <v>0</v>
      </c>
      <c r="CA76" s="403">
        <f t="shared" si="52"/>
        <v>0</v>
      </c>
      <c r="CB76" s="403">
        <f t="shared" si="52"/>
        <v>0</v>
      </c>
      <c r="CC76" s="403">
        <f t="shared" si="52"/>
        <v>0</v>
      </c>
      <c r="CD76" s="403">
        <f t="shared" si="52"/>
        <v>0</v>
      </c>
      <c r="CE76" s="403">
        <f t="shared" si="52"/>
        <v>0</v>
      </c>
      <c r="CF76" s="403">
        <f t="shared" si="52"/>
        <v>0</v>
      </c>
      <c r="CG76" s="403">
        <f t="shared" si="52"/>
        <v>0</v>
      </c>
      <c r="CH76" s="403">
        <f t="shared" si="52"/>
        <v>0</v>
      </c>
      <c r="CI76" s="403">
        <f t="shared" si="52"/>
        <v>0</v>
      </c>
      <c r="CJ76" s="403">
        <f t="shared" si="52"/>
        <v>0</v>
      </c>
      <c r="CK76" s="403">
        <f t="shared" si="52"/>
        <v>0</v>
      </c>
      <c r="CL76" s="403">
        <f t="shared" si="52"/>
        <v>0</v>
      </c>
      <c r="CM76" s="403">
        <f t="shared" si="52"/>
        <v>0</v>
      </c>
      <c r="CN76" s="403">
        <f t="shared" si="52"/>
        <v>0</v>
      </c>
      <c r="CO76" s="403">
        <f t="shared" si="52"/>
        <v>0</v>
      </c>
      <c r="CP76" s="403">
        <f t="shared" si="52"/>
        <v>0</v>
      </c>
      <c r="CQ76" s="403">
        <f t="shared" si="52"/>
        <v>0</v>
      </c>
      <c r="CR76" s="403">
        <f t="shared" si="52"/>
        <v>0</v>
      </c>
      <c r="CS76" s="403">
        <f t="shared" si="52"/>
        <v>0</v>
      </c>
      <c r="CT76" s="403">
        <f t="shared" si="52"/>
        <v>0</v>
      </c>
      <c r="CU76" s="403">
        <f t="shared" si="52"/>
        <v>0</v>
      </c>
      <c r="CV76" s="403">
        <f t="shared" si="52"/>
        <v>0</v>
      </c>
      <c r="CW76" s="403">
        <f t="shared" si="52"/>
        <v>0</v>
      </c>
      <c r="CX76" s="403">
        <f t="shared" si="52"/>
        <v>0</v>
      </c>
      <c r="CY76" s="403">
        <f t="shared" si="52"/>
        <v>0</v>
      </c>
      <c r="CZ76" s="403">
        <f t="shared" si="52"/>
        <v>0</v>
      </c>
      <c r="DA76" s="403">
        <f t="shared" si="52"/>
        <v>0</v>
      </c>
      <c r="DB76" s="403">
        <f t="shared" si="52"/>
        <v>0</v>
      </c>
      <c r="DC76" s="403">
        <f t="shared" si="52"/>
        <v>0</v>
      </c>
      <c r="DD76" s="403">
        <f t="shared" si="52"/>
        <v>0</v>
      </c>
      <c r="DE76" s="403">
        <f t="shared" si="52"/>
        <v>0</v>
      </c>
      <c r="DF76" s="284"/>
      <c r="DG76" s="284"/>
      <c r="DH76" s="284"/>
      <c r="DI76" s="284"/>
      <c r="DJ76" s="284"/>
      <c r="DK76" s="284"/>
      <c r="DL76" s="284"/>
    </row>
    <row r="77" spans="1:116" ht="15.75" customHeight="1" x14ac:dyDescent="0.25">
      <c r="A77" s="751"/>
      <c r="B77" s="751"/>
      <c r="C77" s="278" t="s">
        <v>329</v>
      </c>
      <c r="D77" s="431" t="s">
        <v>204</v>
      </c>
      <c r="E77" s="280" t="s">
        <v>330</v>
      </c>
      <c r="F77" s="432"/>
      <c r="G77" s="433">
        <f>'Unit Costs and Indicators'!F169</f>
        <v>0</v>
      </c>
      <c r="H77" s="281">
        <f>H76*G77</f>
        <v>0</v>
      </c>
      <c r="I77" s="284">
        <f>'Cost (Counterfactual)'!I86</f>
        <v>11.201206796999999</v>
      </c>
      <c r="J77" s="284">
        <f>'Cost (Counterfactual)'!J86</f>
        <v>11.257212830984999</v>
      </c>
      <c r="K77" s="284">
        <f t="shared" ref="K77:DE77" si="53">K76*$G$77</f>
        <v>0</v>
      </c>
      <c r="L77" s="284">
        <f t="shared" si="53"/>
        <v>0</v>
      </c>
      <c r="M77" s="284">
        <f t="shared" si="53"/>
        <v>0</v>
      </c>
      <c r="N77" s="284">
        <f t="shared" si="53"/>
        <v>0</v>
      </c>
      <c r="O77" s="284">
        <f t="shared" si="53"/>
        <v>0</v>
      </c>
      <c r="P77" s="284">
        <f t="shared" si="53"/>
        <v>0</v>
      </c>
      <c r="Q77" s="284">
        <f t="shared" si="53"/>
        <v>0</v>
      </c>
      <c r="R77" s="284">
        <f t="shared" si="53"/>
        <v>0</v>
      </c>
      <c r="S77" s="284">
        <f t="shared" si="53"/>
        <v>0</v>
      </c>
      <c r="T77" s="284">
        <f t="shared" si="53"/>
        <v>0</v>
      </c>
      <c r="U77" s="284">
        <f t="shared" si="53"/>
        <v>0</v>
      </c>
      <c r="V77" s="284">
        <f t="shared" si="53"/>
        <v>0</v>
      </c>
      <c r="W77" s="284">
        <f t="shared" si="53"/>
        <v>0</v>
      </c>
      <c r="X77" s="284">
        <f t="shared" si="53"/>
        <v>0</v>
      </c>
      <c r="Y77" s="284">
        <f t="shared" si="53"/>
        <v>0</v>
      </c>
      <c r="Z77" s="284">
        <f t="shared" si="53"/>
        <v>0</v>
      </c>
      <c r="AA77" s="284">
        <f t="shared" si="53"/>
        <v>0</v>
      </c>
      <c r="AB77" s="284">
        <f t="shared" si="53"/>
        <v>0</v>
      </c>
      <c r="AC77" s="284">
        <f t="shared" si="53"/>
        <v>0</v>
      </c>
      <c r="AD77" s="284">
        <f t="shared" si="53"/>
        <v>0</v>
      </c>
      <c r="AE77" s="284">
        <f t="shared" si="53"/>
        <v>0</v>
      </c>
      <c r="AF77" s="284">
        <f t="shared" si="53"/>
        <v>0</v>
      </c>
      <c r="AG77" s="284">
        <f t="shared" si="53"/>
        <v>0</v>
      </c>
      <c r="AH77" s="284">
        <f t="shared" si="53"/>
        <v>0</v>
      </c>
      <c r="AI77" s="284">
        <f t="shared" si="53"/>
        <v>0</v>
      </c>
      <c r="AJ77" s="284">
        <f t="shared" si="53"/>
        <v>0</v>
      </c>
      <c r="AK77" s="284">
        <f t="shared" si="53"/>
        <v>0</v>
      </c>
      <c r="AL77" s="284">
        <f t="shared" si="53"/>
        <v>0</v>
      </c>
      <c r="AM77" s="284">
        <f t="shared" si="53"/>
        <v>0</v>
      </c>
      <c r="AN77" s="284">
        <f t="shared" si="53"/>
        <v>0</v>
      </c>
      <c r="AO77" s="284">
        <f t="shared" si="53"/>
        <v>0</v>
      </c>
      <c r="AP77" s="284">
        <f t="shared" si="53"/>
        <v>0</v>
      </c>
      <c r="AQ77" s="284">
        <f t="shared" si="53"/>
        <v>0</v>
      </c>
      <c r="AR77" s="284">
        <f t="shared" si="53"/>
        <v>0</v>
      </c>
      <c r="AS77" s="284">
        <f t="shared" si="53"/>
        <v>0</v>
      </c>
      <c r="AT77" s="284">
        <f t="shared" si="53"/>
        <v>0</v>
      </c>
      <c r="AU77" s="284">
        <f t="shared" si="53"/>
        <v>0</v>
      </c>
      <c r="AV77" s="284">
        <f t="shared" si="53"/>
        <v>0</v>
      </c>
      <c r="AW77" s="284">
        <f t="shared" si="53"/>
        <v>0</v>
      </c>
      <c r="AX77" s="284">
        <f t="shared" si="53"/>
        <v>0</v>
      </c>
      <c r="AY77" s="284">
        <f t="shared" si="53"/>
        <v>0</v>
      </c>
      <c r="AZ77" s="284">
        <f t="shared" si="53"/>
        <v>0</v>
      </c>
      <c r="BA77" s="284">
        <f t="shared" si="53"/>
        <v>0</v>
      </c>
      <c r="BB77" s="284">
        <f t="shared" si="53"/>
        <v>0</v>
      </c>
      <c r="BC77" s="284">
        <f t="shared" si="53"/>
        <v>0</v>
      </c>
      <c r="BD77" s="284">
        <f t="shared" si="53"/>
        <v>0</v>
      </c>
      <c r="BE77" s="284">
        <f t="shared" si="53"/>
        <v>0</v>
      </c>
      <c r="BF77" s="284">
        <f t="shared" si="53"/>
        <v>0</v>
      </c>
      <c r="BG77" s="284">
        <f t="shared" si="53"/>
        <v>0</v>
      </c>
      <c r="BH77" s="284">
        <f t="shared" si="53"/>
        <v>0</v>
      </c>
      <c r="BI77" s="284">
        <f t="shared" si="53"/>
        <v>0</v>
      </c>
      <c r="BJ77" s="284">
        <f t="shared" si="53"/>
        <v>0</v>
      </c>
      <c r="BK77" s="284">
        <f t="shared" si="53"/>
        <v>0</v>
      </c>
      <c r="BL77" s="284">
        <f t="shared" si="53"/>
        <v>0</v>
      </c>
      <c r="BM77" s="284">
        <f t="shared" si="53"/>
        <v>0</v>
      </c>
      <c r="BN77" s="284">
        <f t="shared" si="53"/>
        <v>0</v>
      </c>
      <c r="BO77" s="284">
        <f t="shared" si="53"/>
        <v>0</v>
      </c>
      <c r="BP77" s="284">
        <f t="shared" si="53"/>
        <v>0</v>
      </c>
      <c r="BQ77" s="284">
        <f t="shared" si="53"/>
        <v>0</v>
      </c>
      <c r="BR77" s="284">
        <f t="shared" si="53"/>
        <v>0</v>
      </c>
      <c r="BS77" s="284">
        <f t="shared" si="53"/>
        <v>0</v>
      </c>
      <c r="BT77" s="284">
        <f t="shared" si="53"/>
        <v>0</v>
      </c>
      <c r="BU77" s="284">
        <f t="shared" si="53"/>
        <v>0</v>
      </c>
      <c r="BV77" s="284">
        <f t="shared" si="53"/>
        <v>0</v>
      </c>
      <c r="BW77" s="284">
        <f t="shared" si="53"/>
        <v>0</v>
      </c>
      <c r="BX77" s="284">
        <f t="shared" si="53"/>
        <v>0</v>
      </c>
      <c r="BY77" s="284">
        <f t="shared" si="53"/>
        <v>0</v>
      </c>
      <c r="BZ77" s="284">
        <f t="shared" si="53"/>
        <v>0</v>
      </c>
      <c r="CA77" s="284">
        <f t="shared" si="53"/>
        <v>0</v>
      </c>
      <c r="CB77" s="284">
        <f t="shared" si="53"/>
        <v>0</v>
      </c>
      <c r="CC77" s="284">
        <f t="shared" si="53"/>
        <v>0</v>
      </c>
      <c r="CD77" s="284">
        <f t="shared" si="53"/>
        <v>0</v>
      </c>
      <c r="CE77" s="284">
        <f t="shared" si="53"/>
        <v>0</v>
      </c>
      <c r="CF77" s="284">
        <f t="shared" si="53"/>
        <v>0</v>
      </c>
      <c r="CG77" s="284">
        <f t="shared" si="53"/>
        <v>0</v>
      </c>
      <c r="CH77" s="284">
        <f t="shared" si="53"/>
        <v>0</v>
      </c>
      <c r="CI77" s="284">
        <f t="shared" si="53"/>
        <v>0</v>
      </c>
      <c r="CJ77" s="284">
        <f t="shared" si="53"/>
        <v>0</v>
      </c>
      <c r="CK77" s="284">
        <f t="shared" si="53"/>
        <v>0</v>
      </c>
      <c r="CL77" s="284">
        <f t="shared" si="53"/>
        <v>0</v>
      </c>
      <c r="CM77" s="284">
        <f t="shared" si="53"/>
        <v>0</v>
      </c>
      <c r="CN77" s="284">
        <f t="shared" si="53"/>
        <v>0</v>
      </c>
      <c r="CO77" s="284">
        <f t="shared" si="53"/>
        <v>0</v>
      </c>
      <c r="CP77" s="284">
        <f t="shared" si="53"/>
        <v>0</v>
      </c>
      <c r="CQ77" s="284">
        <f t="shared" si="53"/>
        <v>0</v>
      </c>
      <c r="CR77" s="284">
        <f t="shared" si="53"/>
        <v>0</v>
      </c>
      <c r="CS77" s="284">
        <f t="shared" si="53"/>
        <v>0</v>
      </c>
      <c r="CT77" s="284">
        <f t="shared" si="53"/>
        <v>0</v>
      </c>
      <c r="CU77" s="284">
        <f t="shared" si="53"/>
        <v>0</v>
      </c>
      <c r="CV77" s="284">
        <f t="shared" si="53"/>
        <v>0</v>
      </c>
      <c r="CW77" s="284">
        <f t="shared" si="53"/>
        <v>0</v>
      </c>
      <c r="CX77" s="284">
        <f t="shared" si="53"/>
        <v>0</v>
      </c>
      <c r="CY77" s="284">
        <f t="shared" si="53"/>
        <v>0</v>
      </c>
      <c r="CZ77" s="284">
        <f t="shared" si="53"/>
        <v>0</v>
      </c>
      <c r="DA77" s="284">
        <f t="shared" si="53"/>
        <v>0</v>
      </c>
      <c r="DB77" s="284">
        <f t="shared" si="53"/>
        <v>0</v>
      </c>
      <c r="DC77" s="284">
        <f t="shared" si="53"/>
        <v>0</v>
      </c>
      <c r="DD77" s="284">
        <f t="shared" si="53"/>
        <v>0</v>
      </c>
      <c r="DE77" s="284">
        <f t="shared" si="53"/>
        <v>0</v>
      </c>
      <c r="DF77" s="434"/>
      <c r="DG77" s="434"/>
      <c r="DH77" s="434"/>
      <c r="DI77" s="434"/>
      <c r="DJ77" s="434"/>
      <c r="DK77" s="434"/>
      <c r="DL77" s="434"/>
    </row>
    <row r="78" spans="1:116" ht="15.75" customHeight="1" x14ac:dyDescent="0.25">
      <c r="A78" s="751"/>
      <c r="B78" s="751"/>
      <c r="C78" s="321" t="s">
        <v>401</v>
      </c>
      <c r="D78" s="280" t="s">
        <v>402</v>
      </c>
      <c r="E78" s="280" t="s">
        <v>122</v>
      </c>
      <c r="F78" s="280"/>
      <c r="G78" s="280">
        <f>'Cost (Counterfactual)'!G87</f>
        <v>500.00000000000006</v>
      </c>
      <c r="H78" s="281">
        <f>'Cost (Counterfactual)'!H87</f>
        <v>500.00000000000006</v>
      </c>
      <c r="I78" s="284">
        <f>'Cost (Counterfactual)'!I87</f>
        <v>500.00000000000006</v>
      </c>
      <c r="J78" s="284">
        <f>'Cost (Counterfactual)'!J87</f>
        <v>500.00000000000006</v>
      </c>
      <c r="K78" s="284">
        <f t="shared" ref="K78:DE78" si="54">J78</f>
        <v>500.00000000000006</v>
      </c>
      <c r="L78" s="284">
        <f t="shared" si="54"/>
        <v>500.00000000000006</v>
      </c>
      <c r="M78" s="284">
        <f t="shared" si="54"/>
        <v>500.00000000000006</v>
      </c>
      <c r="N78" s="284">
        <f t="shared" si="54"/>
        <v>500.00000000000006</v>
      </c>
      <c r="O78" s="284">
        <f t="shared" si="54"/>
        <v>500.00000000000006</v>
      </c>
      <c r="P78" s="284">
        <f t="shared" si="54"/>
        <v>500.00000000000006</v>
      </c>
      <c r="Q78" s="284">
        <f t="shared" si="54"/>
        <v>500.00000000000006</v>
      </c>
      <c r="R78" s="284">
        <f t="shared" si="54"/>
        <v>500.00000000000006</v>
      </c>
      <c r="S78" s="284">
        <f t="shared" si="54"/>
        <v>500.00000000000006</v>
      </c>
      <c r="T78" s="284">
        <f t="shared" si="54"/>
        <v>500.00000000000006</v>
      </c>
      <c r="U78" s="284">
        <f t="shared" si="54"/>
        <v>500.00000000000006</v>
      </c>
      <c r="V78" s="284">
        <f t="shared" si="54"/>
        <v>500.00000000000006</v>
      </c>
      <c r="W78" s="284">
        <f t="shared" si="54"/>
        <v>500.00000000000006</v>
      </c>
      <c r="X78" s="284">
        <f t="shared" si="54"/>
        <v>500.00000000000006</v>
      </c>
      <c r="Y78" s="284">
        <f t="shared" si="54"/>
        <v>500.00000000000006</v>
      </c>
      <c r="Z78" s="284">
        <f t="shared" si="54"/>
        <v>500.00000000000006</v>
      </c>
      <c r="AA78" s="284">
        <f t="shared" si="54"/>
        <v>500.00000000000006</v>
      </c>
      <c r="AB78" s="284">
        <f t="shared" si="54"/>
        <v>500.00000000000006</v>
      </c>
      <c r="AC78" s="284">
        <f t="shared" si="54"/>
        <v>500.00000000000006</v>
      </c>
      <c r="AD78" s="284">
        <f t="shared" si="54"/>
        <v>500.00000000000006</v>
      </c>
      <c r="AE78" s="284">
        <f t="shared" si="54"/>
        <v>500.00000000000006</v>
      </c>
      <c r="AF78" s="284">
        <f t="shared" si="54"/>
        <v>500.00000000000006</v>
      </c>
      <c r="AG78" s="284">
        <f t="shared" si="54"/>
        <v>500.00000000000006</v>
      </c>
      <c r="AH78" s="284">
        <f t="shared" si="54"/>
        <v>500.00000000000006</v>
      </c>
      <c r="AI78" s="284">
        <f t="shared" si="54"/>
        <v>500.00000000000006</v>
      </c>
      <c r="AJ78" s="284">
        <f t="shared" si="54"/>
        <v>500.00000000000006</v>
      </c>
      <c r="AK78" s="284">
        <f t="shared" si="54"/>
        <v>500.00000000000006</v>
      </c>
      <c r="AL78" s="284">
        <f t="shared" si="54"/>
        <v>500.00000000000006</v>
      </c>
      <c r="AM78" s="284">
        <f t="shared" si="54"/>
        <v>500.00000000000006</v>
      </c>
      <c r="AN78" s="284">
        <f t="shared" si="54"/>
        <v>500.00000000000006</v>
      </c>
      <c r="AO78" s="284">
        <f t="shared" si="54"/>
        <v>500.00000000000006</v>
      </c>
      <c r="AP78" s="284">
        <f t="shared" si="54"/>
        <v>500.00000000000006</v>
      </c>
      <c r="AQ78" s="284">
        <f t="shared" si="54"/>
        <v>500.00000000000006</v>
      </c>
      <c r="AR78" s="284">
        <f t="shared" si="54"/>
        <v>500.00000000000006</v>
      </c>
      <c r="AS78" s="284">
        <f t="shared" si="54"/>
        <v>500.00000000000006</v>
      </c>
      <c r="AT78" s="284">
        <f t="shared" si="54"/>
        <v>500.00000000000006</v>
      </c>
      <c r="AU78" s="284">
        <f t="shared" si="54"/>
        <v>500.00000000000006</v>
      </c>
      <c r="AV78" s="284">
        <f t="shared" si="54"/>
        <v>500.00000000000006</v>
      </c>
      <c r="AW78" s="284">
        <f t="shared" si="54"/>
        <v>500.00000000000006</v>
      </c>
      <c r="AX78" s="284">
        <f t="shared" si="54"/>
        <v>500.00000000000006</v>
      </c>
      <c r="AY78" s="284">
        <f t="shared" si="54"/>
        <v>500.00000000000006</v>
      </c>
      <c r="AZ78" s="284">
        <f t="shared" si="54"/>
        <v>500.00000000000006</v>
      </c>
      <c r="BA78" s="284">
        <f t="shared" si="54"/>
        <v>500.00000000000006</v>
      </c>
      <c r="BB78" s="284">
        <f t="shared" si="54"/>
        <v>500.00000000000006</v>
      </c>
      <c r="BC78" s="284">
        <f t="shared" si="54"/>
        <v>500.00000000000006</v>
      </c>
      <c r="BD78" s="284">
        <f t="shared" si="54"/>
        <v>500.00000000000006</v>
      </c>
      <c r="BE78" s="284">
        <f t="shared" si="54"/>
        <v>500.00000000000006</v>
      </c>
      <c r="BF78" s="284">
        <f t="shared" si="54"/>
        <v>500.00000000000006</v>
      </c>
      <c r="BG78" s="284">
        <f t="shared" si="54"/>
        <v>500.00000000000006</v>
      </c>
      <c r="BH78" s="284">
        <f t="shared" si="54"/>
        <v>500.00000000000006</v>
      </c>
      <c r="BI78" s="284">
        <f t="shared" si="54"/>
        <v>500.00000000000006</v>
      </c>
      <c r="BJ78" s="284">
        <f t="shared" si="54"/>
        <v>500.00000000000006</v>
      </c>
      <c r="BK78" s="284">
        <f t="shared" si="54"/>
        <v>500.00000000000006</v>
      </c>
      <c r="BL78" s="284">
        <f t="shared" si="54"/>
        <v>500.00000000000006</v>
      </c>
      <c r="BM78" s="284">
        <f t="shared" si="54"/>
        <v>500.00000000000006</v>
      </c>
      <c r="BN78" s="284">
        <f t="shared" si="54"/>
        <v>500.00000000000006</v>
      </c>
      <c r="BO78" s="284">
        <f t="shared" si="54"/>
        <v>500.00000000000006</v>
      </c>
      <c r="BP78" s="284">
        <f t="shared" si="54"/>
        <v>500.00000000000006</v>
      </c>
      <c r="BQ78" s="284">
        <f t="shared" si="54"/>
        <v>500.00000000000006</v>
      </c>
      <c r="BR78" s="284">
        <f t="shared" si="54"/>
        <v>500.00000000000006</v>
      </c>
      <c r="BS78" s="284">
        <f t="shared" si="54"/>
        <v>500.00000000000006</v>
      </c>
      <c r="BT78" s="284">
        <f t="shared" si="54"/>
        <v>500.00000000000006</v>
      </c>
      <c r="BU78" s="284">
        <f t="shared" si="54"/>
        <v>500.00000000000006</v>
      </c>
      <c r="BV78" s="284">
        <f t="shared" si="54"/>
        <v>500.00000000000006</v>
      </c>
      <c r="BW78" s="284">
        <f t="shared" si="54"/>
        <v>500.00000000000006</v>
      </c>
      <c r="BX78" s="284">
        <f t="shared" si="54"/>
        <v>500.00000000000006</v>
      </c>
      <c r="BY78" s="284">
        <f t="shared" si="54"/>
        <v>500.00000000000006</v>
      </c>
      <c r="BZ78" s="284">
        <f t="shared" si="54"/>
        <v>500.00000000000006</v>
      </c>
      <c r="CA78" s="284">
        <f t="shared" si="54"/>
        <v>500.00000000000006</v>
      </c>
      <c r="CB78" s="284">
        <f t="shared" si="54"/>
        <v>500.00000000000006</v>
      </c>
      <c r="CC78" s="284">
        <f t="shared" si="54"/>
        <v>500.00000000000006</v>
      </c>
      <c r="CD78" s="284">
        <f t="shared" si="54"/>
        <v>500.00000000000006</v>
      </c>
      <c r="CE78" s="284">
        <f t="shared" si="54"/>
        <v>500.00000000000006</v>
      </c>
      <c r="CF78" s="284">
        <f t="shared" si="54"/>
        <v>500.00000000000006</v>
      </c>
      <c r="CG78" s="284">
        <f t="shared" si="54"/>
        <v>500.00000000000006</v>
      </c>
      <c r="CH78" s="284">
        <f t="shared" si="54"/>
        <v>500.00000000000006</v>
      </c>
      <c r="CI78" s="284">
        <f t="shared" si="54"/>
        <v>500.00000000000006</v>
      </c>
      <c r="CJ78" s="284">
        <f t="shared" si="54"/>
        <v>500.00000000000006</v>
      </c>
      <c r="CK78" s="284">
        <f t="shared" si="54"/>
        <v>500.00000000000006</v>
      </c>
      <c r="CL78" s="284">
        <f t="shared" si="54"/>
        <v>500.00000000000006</v>
      </c>
      <c r="CM78" s="284">
        <f t="shared" si="54"/>
        <v>500.00000000000006</v>
      </c>
      <c r="CN78" s="284">
        <f t="shared" si="54"/>
        <v>500.00000000000006</v>
      </c>
      <c r="CO78" s="284">
        <f t="shared" si="54"/>
        <v>500.00000000000006</v>
      </c>
      <c r="CP78" s="284">
        <f t="shared" si="54"/>
        <v>500.00000000000006</v>
      </c>
      <c r="CQ78" s="284">
        <f t="shared" si="54"/>
        <v>500.00000000000006</v>
      </c>
      <c r="CR78" s="284">
        <f t="shared" si="54"/>
        <v>500.00000000000006</v>
      </c>
      <c r="CS78" s="284">
        <f t="shared" si="54"/>
        <v>500.00000000000006</v>
      </c>
      <c r="CT78" s="284">
        <f t="shared" si="54"/>
        <v>500.00000000000006</v>
      </c>
      <c r="CU78" s="284">
        <f t="shared" si="54"/>
        <v>500.00000000000006</v>
      </c>
      <c r="CV78" s="284">
        <f t="shared" si="54"/>
        <v>500.00000000000006</v>
      </c>
      <c r="CW78" s="284">
        <f t="shared" si="54"/>
        <v>500.00000000000006</v>
      </c>
      <c r="CX78" s="284">
        <f t="shared" si="54"/>
        <v>500.00000000000006</v>
      </c>
      <c r="CY78" s="284">
        <f t="shared" si="54"/>
        <v>500.00000000000006</v>
      </c>
      <c r="CZ78" s="284">
        <f t="shared" si="54"/>
        <v>500.00000000000006</v>
      </c>
      <c r="DA78" s="284">
        <f t="shared" si="54"/>
        <v>500.00000000000006</v>
      </c>
      <c r="DB78" s="284">
        <f t="shared" si="54"/>
        <v>500.00000000000006</v>
      </c>
      <c r="DC78" s="284">
        <f t="shared" si="54"/>
        <v>500.00000000000006</v>
      </c>
      <c r="DD78" s="284">
        <f t="shared" si="54"/>
        <v>500.00000000000006</v>
      </c>
      <c r="DE78" s="284">
        <f t="shared" si="54"/>
        <v>500.00000000000006</v>
      </c>
      <c r="DF78" s="278"/>
      <c r="DG78" s="278"/>
      <c r="DH78" s="278"/>
      <c r="DI78" s="278"/>
      <c r="DJ78" s="278"/>
      <c r="DK78" s="278"/>
      <c r="DL78" s="278"/>
    </row>
    <row r="79" spans="1:116" ht="15.75" customHeight="1" x14ac:dyDescent="0.25">
      <c r="A79" s="751"/>
      <c r="B79" s="751"/>
      <c r="C79" s="321" t="s">
        <v>403</v>
      </c>
      <c r="D79" s="280" t="s">
        <v>404</v>
      </c>
      <c r="E79" s="280" t="s">
        <v>122</v>
      </c>
      <c r="F79" s="280"/>
      <c r="G79" s="411">
        <f>'Cost (Counterfactual)'!G88</f>
        <v>800</v>
      </c>
      <c r="H79" s="300">
        <f>'Cost (Counterfactual)'!H88</f>
        <v>800</v>
      </c>
      <c r="I79" s="301">
        <f>'Cost (Counterfactual)'!I88</f>
        <v>800</v>
      </c>
      <c r="J79" s="301">
        <f t="shared" ref="J79:DE79" si="55">I79</f>
        <v>800</v>
      </c>
      <c r="K79" s="301">
        <f t="shared" si="55"/>
        <v>800</v>
      </c>
      <c r="L79" s="301">
        <f t="shared" si="55"/>
        <v>800</v>
      </c>
      <c r="M79" s="301">
        <f t="shared" si="55"/>
        <v>800</v>
      </c>
      <c r="N79" s="301">
        <f t="shared" si="55"/>
        <v>800</v>
      </c>
      <c r="O79" s="301">
        <f t="shared" si="55"/>
        <v>800</v>
      </c>
      <c r="P79" s="301">
        <f t="shared" si="55"/>
        <v>800</v>
      </c>
      <c r="Q79" s="301">
        <f t="shared" si="55"/>
        <v>800</v>
      </c>
      <c r="R79" s="301">
        <f t="shared" si="55"/>
        <v>800</v>
      </c>
      <c r="S79" s="301">
        <f t="shared" si="55"/>
        <v>800</v>
      </c>
      <c r="T79" s="301">
        <f t="shared" si="55"/>
        <v>800</v>
      </c>
      <c r="U79" s="301">
        <f t="shared" si="55"/>
        <v>800</v>
      </c>
      <c r="V79" s="301">
        <f t="shared" si="55"/>
        <v>800</v>
      </c>
      <c r="W79" s="301">
        <f t="shared" si="55"/>
        <v>800</v>
      </c>
      <c r="X79" s="301">
        <f t="shared" si="55"/>
        <v>800</v>
      </c>
      <c r="Y79" s="301">
        <f t="shared" si="55"/>
        <v>800</v>
      </c>
      <c r="Z79" s="301">
        <f t="shared" si="55"/>
        <v>800</v>
      </c>
      <c r="AA79" s="301">
        <f t="shared" si="55"/>
        <v>800</v>
      </c>
      <c r="AB79" s="301">
        <f t="shared" si="55"/>
        <v>800</v>
      </c>
      <c r="AC79" s="301">
        <f t="shared" si="55"/>
        <v>800</v>
      </c>
      <c r="AD79" s="301">
        <f t="shared" si="55"/>
        <v>800</v>
      </c>
      <c r="AE79" s="301">
        <f t="shared" si="55"/>
        <v>800</v>
      </c>
      <c r="AF79" s="301">
        <f t="shared" si="55"/>
        <v>800</v>
      </c>
      <c r="AG79" s="301">
        <f t="shared" si="55"/>
        <v>800</v>
      </c>
      <c r="AH79" s="301">
        <f t="shared" si="55"/>
        <v>800</v>
      </c>
      <c r="AI79" s="301">
        <f t="shared" si="55"/>
        <v>800</v>
      </c>
      <c r="AJ79" s="301">
        <f t="shared" si="55"/>
        <v>800</v>
      </c>
      <c r="AK79" s="301">
        <f t="shared" si="55"/>
        <v>800</v>
      </c>
      <c r="AL79" s="301">
        <f t="shared" si="55"/>
        <v>800</v>
      </c>
      <c r="AM79" s="301">
        <f t="shared" si="55"/>
        <v>800</v>
      </c>
      <c r="AN79" s="301">
        <f t="shared" si="55"/>
        <v>800</v>
      </c>
      <c r="AO79" s="301">
        <f t="shared" si="55"/>
        <v>800</v>
      </c>
      <c r="AP79" s="301">
        <f t="shared" si="55"/>
        <v>800</v>
      </c>
      <c r="AQ79" s="301">
        <f t="shared" si="55"/>
        <v>800</v>
      </c>
      <c r="AR79" s="301">
        <f t="shared" si="55"/>
        <v>800</v>
      </c>
      <c r="AS79" s="301">
        <f t="shared" si="55"/>
        <v>800</v>
      </c>
      <c r="AT79" s="301">
        <f t="shared" si="55"/>
        <v>800</v>
      </c>
      <c r="AU79" s="301">
        <f t="shared" si="55"/>
        <v>800</v>
      </c>
      <c r="AV79" s="301">
        <f t="shared" si="55"/>
        <v>800</v>
      </c>
      <c r="AW79" s="301">
        <f t="shared" si="55"/>
        <v>800</v>
      </c>
      <c r="AX79" s="301">
        <f t="shared" si="55"/>
        <v>800</v>
      </c>
      <c r="AY79" s="301">
        <f t="shared" si="55"/>
        <v>800</v>
      </c>
      <c r="AZ79" s="301">
        <f t="shared" si="55"/>
        <v>800</v>
      </c>
      <c r="BA79" s="301">
        <f t="shared" si="55"/>
        <v>800</v>
      </c>
      <c r="BB79" s="301">
        <f t="shared" si="55"/>
        <v>800</v>
      </c>
      <c r="BC79" s="301">
        <f t="shared" si="55"/>
        <v>800</v>
      </c>
      <c r="BD79" s="301">
        <f t="shared" si="55"/>
        <v>800</v>
      </c>
      <c r="BE79" s="301">
        <f t="shared" si="55"/>
        <v>800</v>
      </c>
      <c r="BF79" s="301">
        <f t="shared" si="55"/>
        <v>800</v>
      </c>
      <c r="BG79" s="301">
        <f t="shared" si="55"/>
        <v>800</v>
      </c>
      <c r="BH79" s="301">
        <f t="shared" si="55"/>
        <v>800</v>
      </c>
      <c r="BI79" s="301">
        <f t="shared" si="55"/>
        <v>800</v>
      </c>
      <c r="BJ79" s="301">
        <f t="shared" si="55"/>
        <v>800</v>
      </c>
      <c r="BK79" s="301">
        <f t="shared" si="55"/>
        <v>800</v>
      </c>
      <c r="BL79" s="301">
        <f t="shared" si="55"/>
        <v>800</v>
      </c>
      <c r="BM79" s="301">
        <f t="shared" si="55"/>
        <v>800</v>
      </c>
      <c r="BN79" s="301">
        <f t="shared" si="55"/>
        <v>800</v>
      </c>
      <c r="BO79" s="301">
        <f t="shared" si="55"/>
        <v>800</v>
      </c>
      <c r="BP79" s="301">
        <f t="shared" si="55"/>
        <v>800</v>
      </c>
      <c r="BQ79" s="301">
        <f t="shared" si="55"/>
        <v>800</v>
      </c>
      <c r="BR79" s="301">
        <f t="shared" si="55"/>
        <v>800</v>
      </c>
      <c r="BS79" s="301">
        <f t="shared" si="55"/>
        <v>800</v>
      </c>
      <c r="BT79" s="301">
        <f t="shared" si="55"/>
        <v>800</v>
      </c>
      <c r="BU79" s="301">
        <f t="shared" si="55"/>
        <v>800</v>
      </c>
      <c r="BV79" s="301">
        <f t="shared" si="55"/>
        <v>800</v>
      </c>
      <c r="BW79" s="301">
        <f t="shared" si="55"/>
        <v>800</v>
      </c>
      <c r="BX79" s="301">
        <f t="shared" si="55"/>
        <v>800</v>
      </c>
      <c r="BY79" s="301">
        <f t="shared" si="55"/>
        <v>800</v>
      </c>
      <c r="BZ79" s="301">
        <f t="shared" si="55"/>
        <v>800</v>
      </c>
      <c r="CA79" s="301">
        <f t="shared" si="55"/>
        <v>800</v>
      </c>
      <c r="CB79" s="301">
        <f t="shared" si="55"/>
        <v>800</v>
      </c>
      <c r="CC79" s="301">
        <f t="shared" si="55"/>
        <v>800</v>
      </c>
      <c r="CD79" s="301">
        <f t="shared" si="55"/>
        <v>800</v>
      </c>
      <c r="CE79" s="301">
        <f t="shared" si="55"/>
        <v>800</v>
      </c>
      <c r="CF79" s="301">
        <f t="shared" si="55"/>
        <v>800</v>
      </c>
      <c r="CG79" s="301">
        <f t="shared" si="55"/>
        <v>800</v>
      </c>
      <c r="CH79" s="301">
        <f t="shared" si="55"/>
        <v>800</v>
      </c>
      <c r="CI79" s="301">
        <f t="shared" si="55"/>
        <v>800</v>
      </c>
      <c r="CJ79" s="301">
        <f t="shared" si="55"/>
        <v>800</v>
      </c>
      <c r="CK79" s="301">
        <f t="shared" si="55"/>
        <v>800</v>
      </c>
      <c r="CL79" s="301">
        <f t="shared" si="55"/>
        <v>800</v>
      </c>
      <c r="CM79" s="301">
        <f t="shared" si="55"/>
        <v>800</v>
      </c>
      <c r="CN79" s="301">
        <f t="shared" si="55"/>
        <v>800</v>
      </c>
      <c r="CO79" s="301">
        <f t="shared" si="55"/>
        <v>800</v>
      </c>
      <c r="CP79" s="301">
        <f t="shared" si="55"/>
        <v>800</v>
      </c>
      <c r="CQ79" s="301">
        <f t="shared" si="55"/>
        <v>800</v>
      </c>
      <c r="CR79" s="301">
        <f t="shared" si="55"/>
        <v>800</v>
      </c>
      <c r="CS79" s="301">
        <f t="shared" si="55"/>
        <v>800</v>
      </c>
      <c r="CT79" s="301">
        <f t="shared" si="55"/>
        <v>800</v>
      </c>
      <c r="CU79" s="301">
        <f t="shared" si="55"/>
        <v>800</v>
      </c>
      <c r="CV79" s="301">
        <f t="shared" si="55"/>
        <v>800</v>
      </c>
      <c r="CW79" s="301">
        <f t="shared" si="55"/>
        <v>800</v>
      </c>
      <c r="CX79" s="301">
        <f t="shared" si="55"/>
        <v>800</v>
      </c>
      <c r="CY79" s="301">
        <f t="shared" si="55"/>
        <v>800</v>
      </c>
      <c r="CZ79" s="301">
        <f t="shared" si="55"/>
        <v>800</v>
      </c>
      <c r="DA79" s="301">
        <f t="shared" si="55"/>
        <v>800</v>
      </c>
      <c r="DB79" s="301">
        <f t="shared" si="55"/>
        <v>800</v>
      </c>
      <c r="DC79" s="301">
        <f t="shared" si="55"/>
        <v>800</v>
      </c>
      <c r="DD79" s="301">
        <f t="shared" si="55"/>
        <v>800</v>
      </c>
      <c r="DE79" s="301">
        <f t="shared" si="55"/>
        <v>800</v>
      </c>
      <c r="DF79" s="278"/>
      <c r="DG79" s="278"/>
      <c r="DH79" s="278"/>
      <c r="DI79" s="278"/>
      <c r="DJ79" s="278"/>
      <c r="DK79" s="278"/>
      <c r="DL79" s="278"/>
    </row>
    <row r="80" spans="1:116" ht="15.75" customHeight="1" x14ac:dyDescent="0.25">
      <c r="A80" s="751"/>
      <c r="B80" s="354"/>
      <c r="C80" s="355" t="s">
        <v>244</v>
      </c>
      <c r="D80" s="356" t="s">
        <v>247</v>
      </c>
      <c r="E80" s="357"/>
      <c r="F80" s="316" t="s">
        <v>14</v>
      </c>
      <c r="G80" s="317">
        <f t="array" ref="G80">NPV($C$4, J80:DE80)+I80</f>
        <v>8896773.9063402675</v>
      </c>
      <c r="H80" s="359">
        <f t="shared" ref="H80:I80" si="56">H77*H78*H79</f>
        <v>0</v>
      </c>
      <c r="I80" s="360">
        <f t="shared" si="56"/>
        <v>4480482.7187999999</v>
      </c>
      <c r="J80" s="360">
        <f t="shared" ref="J80:DE80" si="57">J77*J78*J79*(1 + $C$3)^(J5 - $I$5)</f>
        <v>4592942.8350418797</v>
      </c>
      <c r="K80" s="360">
        <f t="shared" si="57"/>
        <v>0</v>
      </c>
      <c r="L80" s="360">
        <f t="shared" si="57"/>
        <v>0</v>
      </c>
      <c r="M80" s="360">
        <f t="shared" si="57"/>
        <v>0</v>
      </c>
      <c r="N80" s="360">
        <f t="shared" si="57"/>
        <v>0</v>
      </c>
      <c r="O80" s="360">
        <f t="shared" si="57"/>
        <v>0</v>
      </c>
      <c r="P80" s="360">
        <f t="shared" si="57"/>
        <v>0</v>
      </c>
      <c r="Q80" s="360">
        <f t="shared" si="57"/>
        <v>0</v>
      </c>
      <c r="R80" s="360">
        <f t="shared" si="57"/>
        <v>0</v>
      </c>
      <c r="S80" s="360">
        <f t="shared" si="57"/>
        <v>0</v>
      </c>
      <c r="T80" s="360">
        <f t="shared" si="57"/>
        <v>0</v>
      </c>
      <c r="U80" s="360">
        <f t="shared" si="57"/>
        <v>0</v>
      </c>
      <c r="V80" s="360">
        <f t="shared" si="57"/>
        <v>0</v>
      </c>
      <c r="W80" s="360">
        <f t="shared" si="57"/>
        <v>0</v>
      </c>
      <c r="X80" s="360">
        <f t="shared" si="57"/>
        <v>0</v>
      </c>
      <c r="Y80" s="360">
        <f t="shared" si="57"/>
        <v>0</v>
      </c>
      <c r="Z80" s="360">
        <f t="shared" si="57"/>
        <v>0</v>
      </c>
      <c r="AA80" s="360">
        <f t="shared" si="57"/>
        <v>0</v>
      </c>
      <c r="AB80" s="360">
        <f t="shared" si="57"/>
        <v>0</v>
      </c>
      <c r="AC80" s="360">
        <f t="shared" si="57"/>
        <v>0</v>
      </c>
      <c r="AD80" s="360">
        <f t="shared" si="57"/>
        <v>0</v>
      </c>
      <c r="AE80" s="360">
        <f t="shared" si="57"/>
        <v>0</v>
      </c>
      <c r="AF80" s="360">
        <f t="shared" si="57"/>
        <v>0</v>
      </c>
      <c r="AG80" s="360">
        <f t="shared" si="57"/>
        <v>0</v>
      </c>
      <c r="AH80" s="360">
        <f t="shared" si="57"/>
        <v>0</v>
      </c>
      <c r="AI80" s="360">
        <f t="shared" si="57"/>
        <v>0</v>
      </c>
      <c r="AJ80" s="360">
        <f t="shared" si="57"/>
        <v>0</v>
      </c>
      <c r="AK80" s="360">
        <f t="shared" si="57"/>
        <v>0</v>
      </c>
      <c r="AL80" s="360">
        <f t="shared" si="57"/>
        <v>0</v>
      </c>
      <c r="AM80" s="360">
        <f t="shared" si="57"/>
        <v>0</v>
      </c>
      <c r="AN80" s="360">
        <f t="shared" si="57"/>
        <v>0</v>
      </c>
      <c r="AO80" s="360">
        <f t="shared" si="57"/>
        <v>0</v>
      </c>
      <c r="AP80" s="360">
        <f t="shared" si="57"/>
        <v>0</v>
      </c>
      <c r="AQ80" s="360">
        <f t="shared" si="57"/>
        <v>0</v>
      </c>
      <c r="AR80" s="360">
        <f t="shared" si="57"/>
        <v>0</v>
      </c>
      <c r="AS80" s="360">
        <f t="shared" si="57"/>
        <v>0</v>
      </c>
      <c r="AT80" s="360">
        <f t="shared" si="57"/>
        <v>0</v>
      </c>
      <c r="AU80" s="360">
        <f t="shared" si="57"/>
        <v>0</v>
      </c>
      <c r="AV80" s="360">
        <f t="shared" si="57"/>
        <v>0</v>
      </c>
      <c r="AW80" s="360">
        <f t="shared" si="57"/>
        <v>0</v>
      </c>
      <c r="AX80" s="360">
        <f t="shared" si="57"/>
        <v>0</v>
      </c>
      <c r="AY80" s="360">
        <f t="shared" si="57"/>
        <v>0</v>
      </c>
      <c r="AZ80" s="360">
        <f t="shared" si="57"/>
        <v>0</v>
      </c>
      <c r="BA80" s="360">
        <f t="shared" si="57"/>
        <v>0</v>
      </c>
      <c r="BB80" s="360">
        <f t="shared" si="57"/>
        <v>0</v>
      </c>
      <c r="BC80" s="360">
        <f t="shared" si="57"/>
        <v>0</v>
      </c>
      <c r="BD80" s="360">
        <f t="shared" si="57"/>
        <v>0</v>
      </c>
      <c r="BE80" s="360">
        <f t="shared" si="57"/>
        <v>0</v>
      </c>
      <c r="BF80" s="360">
        <f t="shared" si="57"/>
        <v>0</v>
      </c>
      <c r="BG80" s="360">
        <f t="shared" si="57"/>
        <v>0</v>
      </c>
      <c r="BH80" s="360">
        <f t="shared" si="57"/>
        <v>0</v>
      </c>
      <c r="BI80" s="360">
        <f t="shared" si="57"/>
        <v>0</v>
      </c>
      <c r="BJ80" s="360">
        <f t="shared" si="57"/>
        <v>0</v>
      </c>
      <c r="BK80" s="360">
        <f t="shared" si="57"/>
        <v>0</v>
      </c>
      <c r="BL80" s="360">
        <f t="shared" si="57"/>
        <v>0</v>
      </c>
      <c r="BM80" s="360">
        <f t="shared" si="57"/>
        <v>0</v>
      </c>
      <c r="BN80" s="360">
        <f t="shared" si="57"/>
        <v>0</v>
      </c>
      <c r="BO80" s="360">
        <f t="shared" si="57"/>
        <v>0</v>
      </c>
      <c r="BP80" s="360">
        <f t="shared" si="57"/>
        <v>0</v>
      </c>
      <c r="BQ80" s="360">
        <f t="shared" si="57"/>
        <v>0</v>
      </c>
      <c r="BR80" s="360">
        <f t="shared" si="57"/>
        <v>0</v>
      </c>
      <c r="BS80" s="360">
        <f t="shared" si="57"/>
        <v>0</v>
      </c>
      <c r="BT80" s="360">
        <f t="shared" si="57"/>
        <v>0</v>
      </c>
      <c r="BU80" s="360">
        <f t="shared" si="57"/>
        <v>0</v>
      </c>
      <c r="BV80" s="360">
        <f t="shared" si="57"/>
        <v>0</v>
      </c>
      <c r="BW80" s="360">
        <f t="shared" si="57"/>
        <v>0</v>
      </c>
      <c r="BX80" s="360">
        <f t="shared" si="57"/>
        <v>0</v>
      </c>
      <c r="BY80" s="360">
        <f t="shared" si="57"/>
        <v>0</v>
      </c>
      <c r="BZ80" s="360">
        <f t="shared" si="57"/>
        <v>0</v>
      </c>
      <c r="CA80" s="360">
        <f t="shared" si="57"/>
        <v>0</v>
      </c>
      <c r="CB80" s="360">
        <f t="shared" si="57"/>
        <v>0</v>
      </c>
      <c r="CC80" s="360">
        <f t="shared" si="57"/>
        <v>0</v>
      </c>
      <c r="CD80" s="360">
        <f t="shared" si="57"/>
        <v>0</v>
      </c>
      <c r="CE80" s="360">
        <f t="shared" si="57"/>
        <v>0</v>
      </c>
      <c r="CF80" s="360">
        <f t="shared" si="57"/>
        <v>0</v>
      </c>
      <c r="CG80" s="360">
        <f t="shared" si="57"/>
        <v>0</v>
      </c>
      <c r="CH80" s="360">
        <f t="shared" si="57"/>
        <v>0</v>
      </c>
      <c r="CI80" s="360">
        <f t="shared" si="57"/>
        <v>0</v>
      </c>
      <c r="CJ80" s="360">
        <f t="shared" si="57"/>
        <v>0</v>
      </c>
      <c r="CK80" s="360">
        <f t="shared" si="57"/>
        <v>0</v>
      </c>
      <c r="CL80" s="360">
        <f t="shared" si="57"/>
        <v>0</v>
      </c>
      <c r="CM80" s="360">
        <f t="shared" si="57"/>
        <v>0</v>
      </c>
      <c r="CN80" s="360">
        <f t="shared" si="57"/>
        <v>0</v>
      </c>
      <c r="CO80" s="360">
        <f t="shared" si="57"/>
        <v>0</v>
      </c>
      <c r="CP80" s="360">
        <f t="shared" si="57"/>
        <v>0</v>
      </c>
      <c r="CQ80" s="360">
        <f t="shared" si="57"/>
        <v>0</v>
      </c>
      <c r="CR80" s="360">
        <f t="shared" si="57"/>
        <v>0</v>
      </c>
      <c r="CS80" s="360">
        <f t="shared" si="57"/>
        <v>0</v>
      </c>
      <c r="CT80" s="360">
        <f t="shared" si="57"/>
        <v>0</v>
      </c>
      <c r="CU80" s="360">
        <f t="shared" si="57"/>
        <v>0</v>
      </c>
      <c r="CV80" s="360">
        <f t="shared" si="57"/>
        <v>0</v>
      </c>
      <c r="CW80" s="360">
        <f t="shared" si="57"/>
        <v>0</v>
      </c>
      <c r="CX80" s="360">
        <f t="shared" si="57"/>
        <v>0</v>
      </c>
      <c r="CY80" s="360">
        <f t="shared" si="57"/>
        <v>0</v>
      </c>
      <c r="CZ80" s="360">
        <f t="shared" si="57"/>
        <v>0</v>
      </c>
      <c r="DA80" s="360">
        <f t="shared" si="57"/>
        <v>0</v>
      </c>
      <c r="DB80" s="360">
        <f t="shared" si="57"/>
        <v>0</v>
      </c>
      <c r="DC80" s="360">
        <f t="shared" si="57"/>
        <v>0</v>
      </c>
      <c r="DD80" s="360">
        <f t="shared" si="57"/>
        <v>0</v>
      </c>
      <c r="DE80" s="360">
        <f t="shared" si="57"/>
        <v>0</v>
      </c>
      <c r="DF80" s="435"/>
      <c r="DG80" s="435"/>
      <c r="DH80" s="435"/>
      <c r="DI80" s="435"/>
      <c r="DJ80" s="435"/>
      <c r="DK80" s="435"/>
      <c r="DL80" s="435"/>
    </row>
    <row r="81" spans="1:134" ht="15.75" customHeight="1" x14ac:dyDescent="0.25">
      <c r="A81" s="751"/>
      <c r="B81" s="424" t="s">
        <v>335</v>
      </c>
      <c r="C81" s="321" t="s">
        <v>336</v>
      </c>
      <c r="D81" s="279" t="s">
        <v>247</v>
      </c>
      <c r="E81" s="280"/>
      <c r="F81" s="280"/>
      <c r="G81" s="280"/>
      <c r="H81" s="436">
        <f>H45</f>
        <v>9.538186444413796</v>
      </c>
      <c r="I81" s="353">
        <f>'Cost (Counterfactual)'!I90</f>
        <v>27.506210581776202</v>
      </c>
      <c r="J81" s="353">
        <f>'Cost (Counterfactual)'!J90</f>
        <v>28.323567212334815</v>
      </c>
      <c r="K81" s="353">
        <f t="shared" ref="K81:DE81" si="58">K45</f>
        <v>11.400557893546143</v>
      </c>
      <c r="L81" s="353">
        <f t="shared" si="58"/>
        <v>11.628569051417065</v>
      </c>
      <c r="M81" s="353">
        <f t="shared" si="58"/>
        <v>11.861140432445408</v>
      </c>
      <c r="N81" s="353">
        <f t="shared" si="58"/>
        <v>12.098363241094317</v>
      </c>
      <c r="O81" s="353">
        <f t="shared" si="58"/>
        <v>12.340330505916203</v>
      </c>
      <c r="P81" s="353">
        <f t="shared" si="58"/>
        <v>12.587137116034524</v>
      </c>
      <c r="Q81" s="353">
        <f t="shared" si="58"/>
        <v>12.838879858355217</v>
      </c>
      <c r="R81" s="353">
        <f t="shared" si="58"/>
        <v>13.09565745552232</v>
      </c>
      <c r="S81" s="353">
        <f t="shared" si="58"/>
        <v>13.357570604632768</v>
      </c>
      <c r="T81" s="353">
        <f t="shared" si="58"/>
        <v>13.624722016725419</v>
      </c>
      <c r="U81" s="353">
        <f t="shared" si="58"/>
        <v>13.897216457059931</v>
      </c>
      <c r="V81" s="353">
        <f t="shared" si="58"/>
        <v>14.175160786201129</v>
      </c>
      <c r="W81" s="353">
        <f t="shared" si="58"/>
        <v>14.458664001925152</v>
      </c>
      <c r="X81" s="353">
        <f t="shared" si="58"/>
        <v>14.747837281963651</v>
      </c>
      <c r="Y81" s="353">
        <f t="shared" si="58"/>
        <v>15.042794027602927</v>
      </c>
      <c r="Z81" s="353">
        <f t="shared" si="58"/>
        <v>15.343649908154987</v>
      </c>
      <c r="AA81" s="353">
        <f t="shared" si="58"/>
        <v>15.650522906318084</v>
      </c>
      <c r="AB81" s="353">
        <f t="shared" si="58"/>
        <v>15.963533364444446</v>
      </c>
      <c r="AC81" s="353">
        <f t="shared" si="58"/>
        <v>16.282804031733338</v>
      </c>
      <c r="AD81" s="353">
        <f t="shared" si="58"/>
        <v>16.608460112368004</v>
      </c>
      <c r="AE81" s="353">
        <f t="shared" si="58"/>
        <v>16.940629314615364</v>
      </c>
      <c r="AF81" s="353">
        <f t="shared" si="58"/>
        <v>17.279441900907667</v>
      </c>
      <c r="AG81" s="353">
        <f t="shared" si="58"/>
        <v>17.625030738925823</v>
      </c>
      <c r="AH81" s="353">
        <f t="shared" si="58"/>
        <v>17.97753135370434</v>
      </c>
      <c r="AI81" s="353">
        <f t="shared" si="58"/>
        <v>18.337081980778425</v>
      </c>
      <c r="AJ81" s="353">
        <f t="shared" si="58"/>
        <v>18.70382362039399</v>
      </c>
      <c r="AK81" s="353">
        <f t="shared" si="58"/>
        <v>19.077900092801876</v>
      </c>
      <c r="AL81" s="353">
        <f t="shared" si="58"/>
        <v>19.459458094657911</v>
      </c>
      <c r="AM81" s="353">
        <f t="shared" si="58"/>
        <v>19.848647256551072</v>
      </c>
      <c r="AN81" s="353">
        <f t="shared" si="58"/>
        <v>20.245620201682087</v>
      </c>
      <c r="AO81" s="353">
        <f t="shared" si="58"/>
        <v>20.650532605715732</v>
      </c>
      <c r="AP81" s="353">
        <f t="shared" si="58"/>
        <v>21.063543257830048</v>
      </c>
      <c r="AQ81" s="353">
        <f t="shared" si="58"/>
        <v>21.484814122986648</v>
      </c>
      <c r="AR81" s="353">
        <f t="shared" si="58"/>
        <v>21.914510405446379</v>
      </c>
      <c r="AS81" s="353">
        <f t="shared" si="58"/>
        <v>22.352800613555306</v>
      </c>
      <c r="AT81" s="353">
        <f t="shared" si="58"/>
        <v>22.799856625826415</v>
      </c>
      <c r="AU81" s="353">
        <f t="shared" si="58"/>
        <v>23.255853758342948</v>
      </c>
      <c r="AV81" s="353">
        <f t="shared" si="58"/>
        <v>23.720970833509796</v>
      </c>
      <c r="AW81" s="353">
        <f t="shared" si="58"/>
        <v>24.195390250179997</v>
      </c>
      <c r="AX81" s="353">
        <f t="shared" si="58"/>
        <v>24.679298055183597</v>
      </c>
      <c r="AY81" s="353">
        <f t="shared" si="58"/>
        <v>25.17288401628727</v>
      </c>
      <c r="AZ81" s="353">
        <f t="shared" si="58"/>
        <v>25.676341696613012</v>
      </c>
      <c r="BA81" s="353">
        <f t="shared" si="58"/>
        <v>26.189868530545276</v>
      </c>
      <c r="BB81" s="353">
        <f t="shared" si="58"/>
        <v>26.71366590115618</v>
      </c>
      <c r="BC81" s="353">
        <f t="shared" si="58"/>
        <v>27.247939219179308</v>
      </c>
      <c r="BD81" s="353">
        <f t="shared" si="58"/>
        <v>27.792898003562883</v>
      </c>
      <c r="BE81" s="353">
        <f t="shared" si="58"/>
        <v>28.348755963634147</v>
      </c>
      <c r="BF81" s="353">
        <f t="shared" si="58"/>
        <v>28.915731082906831</v>
      </c>
      <c r="BG81" s="353">
        <f t="shared" si="58"/>
        <v>29.494045704564968</v>
      </c>
      <c r="BH81" s="353">
        <f t="shared" si="58"/>
        <v>30.083926618656264</v>
      </c>
      <c r="BI81" s="353">
        <f t="shared" si="58"/>
        <v>30.685605151029392</v>
      </c>
      <c r="BJ81" s="353">
        <f t="shared" si="58"/>
        <v>31.299317254049974</v>
      </c>
      <c r="BK81" s="353">
        <f t="shared" si="58"/>
        <v>31.925303599130981</v>
      </c>
      <c r="BL81" s="353">
        <f t="shared" si="58"/>
        <v>32.563809671113589</v>
      </c>
      <c r="BM81" s="353">
        <f t="shared" si="58"/>
        <v>33.215085864535865</v>
      </c>
      <c r="BN81" s="353">
        <f t="shared" si="58"/>
        <v>33.879387581826578</v>
      </c>
      <c r="BO81" s="353">
        <f t="shared" si="58"/>
        <v>34.556975333463114</v>
      </c>
      <c r="BP81" s="353">
        <f t="shared" si="58"/>
        <v>35.248114840132374</v>
      </c>
      <c r="BQ81" s="353">
        <f t="shared" si="58"/>
        <v>35.953077136935029</v>
      </c>
      <c r="BR81" s="353">
        <f t="shared" si="58"/>
        <v>36.672138679673722</v>
      </c>
      <c r="BS81" s="353">
        <f t="shared" si="58"/>
        <v>37.405581453267203</v>
      </c>
      <c r="BT81" s="353">
        <f t="shared" si="58"/>
        <v>38.153693082332538</v>
      </c>
      <c r="BU81" s="353">
        <f t="shared" si="58"/>
        <v>38.916766943979198</v>
      </c>
      <c r="BV81" s="353">
        <f t="shared" si="58"/>
        <v>39.695102282858784</v>
      </c>
      <c r="BW81" s="353">
        <f t="shared" si="58"/>
        <v>40.489004328515954</v>
      </c>
      <c r="BX81" s="353">
        <f t="shared" si="58"/>
        <v>41.298784415086274</v>
      </c>
      <c r="BY81" s="353">
        <f t="shared" si="58"/>
        <v>42.124760103387999</v>
      </c>
      <c r="BZ81" s="353">
        <f t="shared" si="58"/>
        <v>42.967255305455758</v>
      </c>
      <c r="CA81" s="353">
        <f t="shared" si="58"/>
        <v>43.826600411564876</v>
      </c>
      <c r="CB81" s="353">
        <f t="shared" si="58"/>
        <v>44.703132419796169</v>
      </c>
      <c r="CC81" s="353">
        <f t="shared" si="58"/>
        <v>45.597195068192093</v>
      </c>
      <c r="CD81" s="353">
        <f t="shared" si="58"/>
        <v>46.509138969555934</v>
      </c>
      <c r="CE81" s="353">
        <f t="shared" si="58"/>
        <v>47.439321748947059</v>
      </c>
      <c r="CF81" s="353">
        <f t="shared" si="58"/>
        <v>48.388108183925986</v>
      </c>
      <c r="CG81" s="353">
        <f t="shared" si="58"/>
        <v>49.355870347604515</v>
      </c>
      <c r="CH81" s="353">
        <f t="shared" si="58"/>
        <v>50.34298775455661</v>
      </c>
      <c r="CI81" s="353">
        <f t="shared" si="58"/>
        <v>51.349847509647745</v>
      </c>
      <c r="CJ81" s="353">
        <f t="shared" si="58"/>
        <v>52.376844459840683</v>
      </c>
      <c r="CK81" s="353">
        <f t="shared" si="58"/>
        <v>53.424381349037503</v>
      </c>
      <c r="CL81" s="353">
        <f t="shared" si="58"/>
        <v>54.492868976018251</v>
      </c>
      <c r="CM81" s="353">
        <f t="shared" si="58"/>
        <v>55.582726355538611</v>
      </c>
      <c r="CN81" s="353">
        <f t="shared" si="58"/>
        <v>56.694380882649384</v>
      </c>
      <c r="CO81" s="353">
        <f t="shared" si="58"/>
        <v>57.828268500302379</v>
      </c>
      <c r="CP81" s="353">
        <f t="shared" si="58"/>
        <v>58.984833870308428</v>
      </c>
      <c r="CQ81" s="353">
        <f t="shared" si="58"/>
        <v>60.164530547714598</v>
      </c>
      <c r="CR81" s="353">
        <f t="shared" si="58"/>
        <v>61.367821158668875</v>
      </c>
      <c r="CS81" s="353">
        <f t="shared" si="58"/>
        <v>62.595177581842258</v>
      </c>
      <c r="CT81" s="353">
        <f t="shared" si="58"/>
        <v>63.847081133479108</v>
      </c>
      <c r="CU81" s="353">
        <f t="shared" si="58"/>
        <v>65.12402275614869</v>
      </c>
      <c r="CV81" s="353">
        <f t="shared" si="58"/>
        <v>66.426503211271651</v>
      </c>
      <c r="CW81" s="353">
        <f t="shared" si="58"/>
        <v>67.755033275497098</v>
      </c>
      <c r="CX81" s="353">
        <f t="shared" si="58"/>
        <v>69.110133941007035</v>
      </c>
      <c r="CY81" s="353">
        <f t="shared" si="58"/>
        <v>70.492336619827185</v>
      </c>
      <c r="CZ81" s="353">
        <f t="shared" si="58"/>
        <v>71.902183352223702</v>
      </c>
      <c r="DA81" s="353">
        <f t="shared" si="58"/>
        <v>73.340227019268198</v>
      </c>
      <c r="DB81" s="353">
        <f t="shared" si="58"/>
        <v>74.807031559653566</v>
      </c>
      <c r="DC81" s="353">
        <f t="shared" si="58"/>
        <v>76.303172190846624</v>
      </c>
      <c r="DD81" s="353">
        <f t="shared" si="58"/>
        <v>77.829235634663561</v>
      </c>
      <c r="DE81" s="353">
        <f t="shared" si="58"/>
        <v>79.385820347356827</v>
      </c>
      <c r="DF81" s="437"/>
      <c r="DG81" s="437"/>
      <c r="DH81" s="437"/>
      <c r="DI81" s="437"/>
      <c r="DJ81" s="437"/>
      <c r="DK81" s="437"/>
      <c r="DL81" s="437"/>
    </row>
    <row r="82" spans="1:134" ht="15.75" customHeight="1" x14ac:dyDescent="0.25">
      <c r="A82" s="751"/>
      <c r="B82" s="380"/>
      <c r="C82" s="355" t="s">
        <v>244</v>
      </c>
      <c r="D82" s="381" t="s">
        <v>247</v>
      </c>
      <c r="E82" s="357"/>
      <c r="F82" s="316" t="s">
        <v>14</v>
      </c>
      <c r="G82" s="317">
        <f t="array" ref="G82">NPV($C$4, J82:DE82)+I82</f>
        <v>522.68019091137046</v>
      </c>
      <c r="H82" s="359">
        <f t="shared" ref="H82:DE82" si="59">H81</f>
        <v>9.538186444413796</v>
      </c>
      <c r="I82" s="360">
        <f t="shared" si="59"/>
        <v>27.506210581776202</v>
      </c>
      <c r="J82" s="360">
        <f t="shared" si="59"/>
        <v>28.323567212334815</v>
      </c>
      <c r="K82" s="360">
        <f t="shared" si="59"/>
        <v>11.400557893546143</v>
      </c>
      <c r="L82" s="360">
        <f t="shared" si="59"/>
        <v>11.628569051417065</v>
      </c>
      <c r="M82" s="360">
        <f t="shared" si="59"/>
        <v>11.861140432445408</v>
      </c>
      <c r="N82" s="360">
        <f t="shared" si="59"/>
        <v>12.098363241094317</v>
      </c>
      <c r="O82" s="360">
        <f t="shared" si="59"/>
        <v>12.340330505916203</v>
      </c>
      <c r="P82" s="360">
        <f t="shared" si="59"/>
        <v>12.587137116034524</v>
      </c>
      <c r="Q82" s="360">
        <f t="shared" si="59"/>
        <v>12.838879858355217</v>
      </c>
      <c r="R82" s="360">
        <f t="shared" si="59"/>
        <v>13.09565745552232</v>
      </c>
      <c r="S82" s="360">
        <f t="shared" si="59"/>
        <v>13.357570604632768</v>
      </c>
      <c r="T82" s="360">
        <f t="shared" si="59"/>
        <v>13.624722016725419</v>
      </c>
      <c r="U82" s="360">
        <f t="shared" si="59"/>
        <v>13.897216457059931</v>
      </c>
      <c r="V82" s="360">
        <f t="shared" si="59"/>
        <v>14.175160786201129</v>
      </c>
      <c r="W82" s="360">
        <f t="shared" si="59"/>
        <v>14.458664001925152</v>
      </c>
      <c r="X82" s="360">
        <f t="shared" si="59"/>
        <v>14.747837281963651</v>
      </c>
      <c r="Y82" s="360">
        <f t="shared" si="59"/>
        <v>15.042794027602927</v>
      </c>
      <c r="Z82" s="360">
        <f t="shared" si="59"/>
        <v>15.343649908154987</v>
      </c>
      <c r="AA82" s="360">
        <f t="shared" si="59"/>
        <v>15.650522906318084</v>
      </c>
      <c r="AB82" s="360">
        <f t="shared" si="59"/>
        <v>15.963533364444446</v>
      </c>
      <c r="AC82" s="360">
        <f t="shared" si="59"/>
        <v>16.282804031733338</v>
      </c>
      <c r="AD82" s="360">
        <f t="shared" si="59"/>
        <v>16.608460112368004</v>
      </c>
      <c r="AE82" s="360">
        <f t="shared" si="59"/>
        <v>16.940629314615364</v>
      </c>
      <c r="AF82" s="360">
        <f t="shared" si="59"/>
        <v>17.279441900907667</v>
      </c>
      <c r="AG82" s="360">
        <f t="shared" si="59"/>
        <v>17.625030738925823</v>
      </c>
      <c r="AH82" s="360">
        <f t="shared" si="59"/>
        <v>17.97753135370434</v>
      </c>
      <c r="AI82" s="360">
        <f t="shared" si="59"/>
        <v>18.337081980778425</v>
      </c>
      <c r="AJ82" s="360">
        <f t="shared" si="59"/>
        <v>18.70382362039399</v>
      </c>
      <c r="AK82" s="360">
        <f t="shared" si="59"/>
        <v>19.077900092801876</v>
      </c>
      <c r="AL82" s="360">
        <f t="shared" si="59"/>
        <v>19.459458094657911</v>
      </c>
      <c r="AM82" s="360">
        <f t="shared" si="59"/>
        <v>19.848647256551072</v>
      </c>
      <c r="AN82" s="360">
        <f t="shared" si="59"/>
        <v>20.245620201682087</v>
      </c>
      <c r="AO82" s="360">
        <f t="shared" si="59"/>
        <v>20.650532605715732</v>
      </c>
      <c r="AP82" s="360">
        <f t="shared" si="59"/>
        <v>21.063543257830048</v>
      </c>
      <c r="AQ82" s="360">
        <f t="shared" si="59"/>
        <v>21.484814122986648</v>
      </c>
      <c r="AR82" s="360">
        <f t="shared" si="59"/>
        <v>21.914510405446379</v>
      </c>
      <c r="AS82" s="360">
        <f t="shared" si="59"/>
        <v>22.352800613555306</v>
      </c>
      <c r="AT82" s="360">
        <f t="shared" si="59"/>
        <v>22.799856625826415</v>
      </c>
      <c r="AU82" s="360">
        <f t="shared" si="59"/>
        <v>23.255853758342948</v>
      </c>
      <c r="AV82" s="360">
        <f t="shared" si="59"/>
        <v>23.720970833509796</v>
      </c>
      <c r="AW82" s="360">
        <f t="shared" si="59"/>
        <v>24.195390250179997</v>
      </c>
      <c r="AX82" s="360">
        <f t="shared" si="59"/>
        <v>24.679298055183597</v>
      </c>
      <c r="AY82" s="360">
        <f t="shared" si="59"/>
        <v>25.17288401628727</v>
      </c>
      <c r="AZ82" s="360">
        <f t="shared" si="59"/>
        <v>25.676341696613012</v>
      </c>
      <c r="BA82" s="360">
        <f t="shared" si="59"/>
        <v>26.189868530545276</v>
      </c>
      <c r="BB82" s="360">
        <f t="shared" si="59"/>
        <v>26.71366590115618</v>
      </c>
      <c r="BC82" s="360">
        <f t="shared" si="59"/>
        <v>27.247939219179308</v>
      </c>
      <c r="BD82" s="360">
        <f t="shared" si="59"/>
        <v>27.792898003562883</v>
      </c>
      <c r="BE82" s="360">
        <f t="shared" si="59"/>
        <v>28.348755963634147</v>
      </c>
      <c r="BF82" s="360">
        <f t="shared" si="59"/>
        <v>28.915731082906831</v>
      </c>
      <c r="BG82" s="360">
        <f t="shared" si="59"/>
        <v>29.494045704564968</v>
      </c>
      <c r="BH82" s="360">
        <f t="shared" si="59"/>
        <v>30.083926618656264</v>
      </c>
      <c r="BI82" s="360">
        <f t="shared" si="59"/>
        <v>30.685605151029392</v>
      </c>
      <c r="BJ82" s="360">
        <f t="shared" si="59"/>
        <v>31.299317254049974</v>
      </c>
      <c r="BK82" s="360">
        <f t="shared" si="59"/>
        <v>31.925303599130981</v>
      </c>
      <c r="BL82" s="360">
        <f t="shared" si="59"/>
        <v>32.563809671113589</v>
      </c>
      <c r="BM82" s="360">
        <f t="shared" si="59"/>
        <v>33.215085864535865</v>
      </c>
      <c r="BN82" s="360">
        <f t="shared" si="59"/>
        <v>33.879387581826578</v>
      </c>
      <c r="BO82" s="360">
        <f t="shared" si="59"/>
        <v>34.556975333463114</v>
      </c>
      <c r="BP82" s="360">
        <f t="shared" si="59"/>
        <v>35.248114840132374</v>
      </c>
      <c r="BQ82" s="360">
        <f t="shared" si="59"/>
        <v>35.953077136935029</v>
      </c>
      <c r="BR82" s="360">
        <f t="shared" si="59"/>
        <v>36.672138679673722</v>
      </c>
      <c r="BS82" s="360">
        <f t="shared" si="59"/>
        <v>37.405581453267203</v>
      </c>
      <c r="BT82" s="360">
        <f t="shared" si="59"/>
        <v>38.153693082332538</v>
      </c>
      <c r="BU82" s="360">
        <f t="shared" si="59"/>
        <v>38.916766943979198</v>
      </c>
      <c r="BV82" s="360">
        <f t="shared" si="59"/>
        <v>39.695102282858784</v>
      </c>
      <c r="BW82" s="360">
        <f t="shared" si="59"/>
        <v>40.489004328515954</v>
      </c>
      <c r="BX82" s="360">
        <f t="shared" si="59"/>
        <v>41.298784415086274</v>
      </c>
      <c r="BY82" s="360">
        <f t="shared" si="59"/>
        <v>42.124760103387999</v>
      </c>
      <c r="BZ82" s="360">
        <f t="shared" si="59"/>
        <v>42.967255305455758</v>
      </c>
      <c r="CA82" s="360">
        <f t="shared" si="59"/>
        <v>43.826600411564876</v>
      </c>
      <c r="CB82" s="360">
        <f t="shared" si="59"/>
        <v>44.703132419796169</v>
      </c>
      <c r="CC82" s="360">
        <f t="shared" si="59"/>
        <v>45.597195068192093</v>
      </c>
      <c r="CD82" s="360">
        <f t="shared" si="59"/>
        <v>46.509138969555934</v>
      </c>
      <c r="CE82" s="360">
        <f t="shared" si="59"/>
        <v>47.439321748947059</v>
      </c>
      <c r="CF82" s="360">
        <f t="shared" si="59"/>
        <v>48.388108183925986</v>
      </c>
      <c r="CG82" s="360">
        <f t="shared" si="59"/>
        <v>49.355870347604515</v>
      </c>
      <c r="CH82" s="360">
        <f t="shared" si="59"/>
        <v>50.34298775455661</v>
      </c>
      <c r="CI82" s="360">
        <f t="shared" si="59"/>
        <v>51.349847509647745</v>
      </c>
      <c r="CJ82" s="360">
        <f t="shared" si="59"/>
        <v>52.376844459840683</v>
      </c>
      <c r="CK82" s="360">
        <f t="shared" si="59"/>
        <v>53.424381349037503</v>
      </c>
      <c r="CL82" s="360">
        <f t="shared" si="59"/>
        <v>54.492868976018251</v>
      </c>
      <c r="CM82" s="360">
        <f t="shared" si="59"/>
        <v>55.582726355538611</v>
      </c>
      <c r="CN82" s="360">
        <f t="shared" si="59"/>
        <v>56.694380882649384</v>
      </c>
      <c r="CO82" s="360">
        <f t="shared" si="59"/>
        <v>57.828268500302379</v>
      </c>
      <c r="CP82" s="360">
        <f t="shared" si="59"/>
        <v>58.984833870308428</v>
      </c>
      <c r="CQ82" s="360">
        <f t="shared" si="59"/>
        <v>60.164530547714598</v>
      </c>
      <c r="CR82" s="360">
        <f t="shared" si="59"/>
        <v>61.367821158668875</v>
      </c>
      <c r="CS82" s="360">
        <f t="shared" si="59"/>
        <v>62.595177581842258</v>
      </c>
      <c r="CT82" s="360">
        <f t="shared" si="59"/>
        <v>63.847081133479108</v>
      </c>
      <c r="CU82" s="360">
        <f t="shared" si="59"/>
        <v>65.12402275614869</v>
      </c>
      <c r="CV82" s="360">
        <f t="shared" si="59"/>
        <v>66.426503211271651</v>
      </c>
      <c r="CW82" s="360">
        <f t="shared" si="59"/>
        <v>67.755033275497098</v>
      </c>
      <c r="CX82" s="360">
        <f t="shared" si="59"/>
        <v>69.110133941007035</v>
      </c>
      <c r="CY82" s="360">
        <f t="shared" si="59"/>
        <v>70.492336619827185</v>
      </c>
      <c r="CZ82" s="360">
        <f t="shared" si="59"/>
        <v>71.902183352223702</v>
      </c>
      <c r="DA82" s="360">
        <f t="shared" si="59"/>
        <v>73.340227019268198</v>
      </c>
      <c r="DB82" s="360">
        <f t="shared" si="59"/>
        <v>74.807031559653566</v>
      </c>
      <c r="DC82" s="360">
        <f t="shared" si="59"/>
        <v>76.303172190846624</v>
      </c>
      <c r="DD82" s="360">
        <f t="shared" si="59"/>
        <v>77.829235634663561</v>
      </c>
      <c r="DE82" s="360">
        <f t="shared" si="59"/>
        <v>79.385820347356827</v>
      </c>
      <c r="DF82" s="438"/>
      <c r="DG82" s="438"/>
      <c r="DH82" s="438"/>
      <c r="DI82" s="438"/>
      <c r="DJ82" s="438"/>
      <c r="DK82" s="438"/>
      <c r="DL82" s="438"/>
    </row>
    <row r="83" spans="1:134" ht="15.75" customHeight="1" x14ac:dyDescent="0.25">
      <c r="A83" s="751"/>
      <c r="B83" s="758" t="s">
        <v>337</v>
      </c>
      <c r="C83" s="321" t="s">
        <v>338</v>
      </c>
      <c r="D83" s="280" t="s">
        <v>262</v>
      </c>
      <c r="E83" s="280" t="s">
        <v>122</v>
      </c>
      <c r="F83" s="280"/>
      <c r="G83" s="280" t="s">
        <v>405</v>
      </c>
      <c r="H83" s="557">
        <f>(66/10)*0.01</f>
        <v>6.6000000000000003E-2</v>
      </c>
      <c r="I83" s="397">
        <f>'Cost (Counterfactual)'!H92</f>
        <v>6.6</v>
      </c>
      <c r="J83" s="397">
        <f>'Cost (Counterfactual)'!J92</f>
        <v>6.6</v>
      </c>
      <c r="K83" s="397">
        <f t="shared" ref="K83:DE83" si="60">(66/10)*0.01</f>
        <v>6.6000000000000003E-2</v>
      </c>
      <c r="L83" s="397">
        <f t="shared" si="60"/>
        <v>6.6000000000000003E-2</v>
      </c>
      <c r="M83" s="397">
        <f t="shared" si="60"/>
        <v>6.6000000000000003E-2</v>
      </c>
      <c r="N83" s="397">
        <f t="shared" si="60"/>
        <v>6.6000000000000003E-2</v>
      </c>
      <c r="O83" s="397">
        <f t="shared" si="60"/>
        <v>6.6000000000000003E-2</v>
      </c>
      <c r="P83" s="397">
        <f t="shared" si="60"/>
        <v>6.6000000000000003E-2</v>
      </c>
      <c r="Q83" s="397">
        <f t="shared" si="60"/>
        <v>6.6000000000000003E-2</v>
      </c>
      <c r="R83" s="397">
        <f t="shared" si="60"/>
        <v>6.6000000000000003E-2</v>
      </c>
      <c r="S83" s="397">
        <f t="shared" si="60"/>
        <v>6.6000000000000003E-2</v>
      </c>
      <c r="T83" s="397">
        <f t="shared" si="60"/>
        <v>6.6000000000000003E-2</v>
      </c>
      <c r="U83" s="397">
        <f t="shared" si="60"/>
        <v>6.6000000000000003E-2</v>
      </c>
      <c r="V83" s="397">
        <f t="shared" si="60"/>
        <v>6.6000000000000003E-2</v>
      </c>
      <c r="W83" s="397">
        <f t="shared" si="60"/>
        <v>6.6000000000000003E-2</v>
      </c>
      <c r="X83" s="397">
        <f t="shared" si="60"/>
        <v>6.6000000000000003E-2</v>
      </c>
      <c r="Y83" s="397">
        <f t="shared" si="60"/>
        <v>6.6000000000000003E-2</v>
      </c>
      <c r="Z83" s="397">
        <f t="shared" si="60"/>
        <v>6.6000000000000003E-2</v>
      </c>
      <c r="AA83" s="397">
        <f t="shared" si="60"/>
        <v>6.6000000000000003E-2</v>
      </c>
      <c r="AB83" s="397">
        <f t="shared" si="60"/>
        <v>6.6000000000000003E-2</v>
      </c>
      <c r="AC83" s="397">
        <f t="shared" si="60"/>
        <v>6.6000000000000003E-2</v>
      </c>
      <c r="AD83" s="397">
        <f t="shared" si="60"/>
        <v>6.6000000000000003E-2</v>
      </c>
      <c r="AE83" s="397">
        <f t="shared" si="60"/>
        <v>6.6000000000000003E-2</v>
      </c>
      <c r="AF83" s="397">
        <f t="shared" si="60"/>
        <v>6.6000000000000003E-2</v>
      </c>
      <c r="AG83" s="397">
        <f t="shared" si="60"/>
        <v>6.6000000000000003E-2</v>
      </c>
      <c r="AH83" s="397">
        <f t="shared" si="60"/>
        <v>6.6000000000000003E-2</v>
      </c>
      <c r="AI83" s="397">
        <f t="shared" si="60"/>
        <v>6.6000000000000003E-2</v>
      </c>
      <c r="AJ83" s="397">
        <f t="shared" si="60"/>
        <v>6.6000000000000003E-2</v>
      </c>
      <c r="AK83" s="397">
        <f t="shared" si="60"/>
        <v>6.6000000000000003E-2</v>
      </c>
      <c r="AL83" s="397">
        <f t="shared" si="60"/>
        <v>6.6000000000000003E-2</v>
      </c>
      <c r="AM83" s="397">
        <f t="shared" si="60"/>
        <v>6.6000000000000003E-2</v>
      </c>
      <c r="AN83" s="397">
        <f t="shared" si="60"/>
        <v>6.6000000000000003E-2</v>
      </c>
      <c r="AO83" s="397">
        <f t="shared" si="60"/>
        <v>6.6000000000000003E-2</v>
      </c>
      <c r="AP83" s="397">
        <f t="shared" si="60"/>
        <v>6.6000000000000003E-2</v>
      </c>
      <c r="AQ83" s="397">
        <f t="shared" si="60"/>
        <v>6.6000000000000003E-2</v>
      </c>
      <c r="AR83" s="397">
        <f t="shared" si="60"/>
        <v>6.6000000000000003E-2</v>
      </c>
      <c r="AS83" s="397">
        <f t="shared" si="60"/>
        <v>6.6000000000000003E-2</v>
      </c>
      <c r="AT83" s="397">
        <f t="shared" si="60"/>
        <v>6.6000000000000003E-2</v>
      </c>
      <c r="AU83" s="397">
        <f t="shared" si="60"/>
        <v>6.6000000000000003E-2</v>
      </c>
      <c r="AV83" s="397">
        <f t="shared" si="60"/>
        <v>6.6000000000000003E-2</v>
      </c>
      <c r="AW83" s="397">
        <f t="shared" si="60"/>
        <v>6.6000000000000003E-2</v>
      </c>
      <c r="AX83" s="397">
        <f t="shared" si="60"/>
        <v>6.6000000000000003E-2</v>
      </c>
      <c r="AY83" s="397">
        <f t="shared" si="60"/>
        <v>6.6000000000000003E-2</v>
      </c>
      <c r="AZ83" s="397">
        <f t="shared" si="60"/>
        <v>6.6000000000000003E-2</v>
      </c>
      <c r="BA83" s="397">
        <f t="shared" si="60"/>
        <v>6.6000000000000003E-2</v>
      </c>
      <c r="BB83" s="397">
        <f t="shared" si="60"/>
        <v>6.6000000000000003E-2</v>
      </c>
      <c r="BC83" s="397">
        <f t="shared" si="60"/>
        <v>6.6000000000000003E-2</v>
      </c>
      <c r="BD83" s="397">
        <f t="shared" si="60"/>
        <v>6.6000000000000003E-2</v>
      </c>
      <c r="BE83" s="397">
        <f t="shared" si="60"/>
        <v>6.6000000000000003E-2</v>
      </c>
      <c r="BF83" s="397">
        <f t="shared" si="60"/>
        <v>6.6000000000000003E-2</v>
      </c>
      <c r="BG83" s="397">
        <f t="shared" si="60"/>
        <v>6.6000000000000003E-2</v>
      </c>
      <c r="BH83" s="397">
        <f t="shared" si="60"/>
        <v>6.6000000000000003E-2</v>
      </c>
      <c r="BI83" s="397">
        <f t="shared" si="60"/>
        <v>6.6000000000000003E-2</v>
      </c>
      <c r="BJ83" s="397">
        <f t="shared" si="60"/>
        <v>6.6000000000000003E-2</v>
      </c>
      <c r="BK83" s="397">
        <f t="shared" si="60"/>
        <v>6.6000000000000003E-2</v>
      </c>
      <c r="BL83" s="397">
        <f t="shared" si="60"/>
        <v>6.6000000000000003E-2</v>
      </c>
      <c r="BM83" s="397">
        <f t="shared" si="60"/>
        <v>6.6000000000000003E-2</v>
      </c>
      <c r="BN83" s="397">
        <f t="shared" si="60"/>
        <v>6.6000000000000003E-2</v>
      </c>
      <c r="BO83" s="397">
        <f t="shared" si="60"/>
        <v>6.6000000000000003E-2</v>
      </c>
      <c r="BP83" s="397">
        <f t="shared" si="60"/>
        <v>6.6000000000000003E-2</v>
      </c>
      <c r="BQ83" s="397">
        <f t="shared" si="60"/>
        <v>6.6000000000000003E-2</v>
      </c>
      <c r="BR83" s="397">
        <f t="shared" si="60"/>
        <v>6.6000000000000003E-2</v>
      </c>
      <c r="BS83" s="397">
        <f t="shared" si="60"/>
        <v>6.6000000000000003E-2</v>
      </c>
      <c r="BT83" s="397">
        <f t="shared" si="60"/>
        <v>6.6000000000000003E-2</v>
      </c>
      <c r="BU83" s="397">
        <f t="shared" si="60"/>
        <v>6.6000000000000003E-2</v>
      </c>
      <c r="BV83" s="397">
        <f t="shared" si="60"/>
        <v>6.6000000000000003E-2</v>
      </c>
      <c r="BW83" s="397">
        <f t="shared" si="60"/>
        <v>6.6000000000000003E-2</v>
      </c>
      <c r="BX83" s="397">
        <f t="shared" si="60"/>
        <v>6.6000000000000003E-2</v>
      </c>
      <c r="BY83" s="397">
        <f t="shared" si="60"/>
        <v>6.6000000000000003E-2</v>
      </c>
      <c r="BZ83" s="397">
        <f t="shared" si="60"/>
        <v>6.6000000000000003E-2</v>
      </c>
      <c r="CA83" s="397">
        <f t="shared" si="60"/>
        <v>6.6000000000000003E-2</v>
      </c>
      <c r="CB83" s="397">
        <f t="shared" si="60"/>
        <v>6.6000000000000003E-2</v>
      </c>
      <c r="CC83" s="397">
        <f t="shared" si="60"/>
        <v>6.6000000000000003E-2</v>
      </c>
      <c r="CD83" s="397">
        <f t="shared" si="60"/>
        <v>6.6000000000000003E-2</v>
      </c>
      <c r="CE83" s="397">
        <f t="shared" si="60"/>
        <v>6.6000000000000003E-2</v>
      </c>
      <c r="CF83" s="397">
        <f t="shared" si="60"/>
        <v>6.6000000000000003E-2</v>
      </c>
      <c r="CG83" s="397">
        <f t="shared" si="60"/>
        <v>6.6000000000000003E-2</v>
      </c>
      <c r="CH83" s="397">
        <f t="shared" si="60"/>
        <v>6.6000000000000003E-2</v>
      </c>
      <c r="CI83" s="397">
        <f t="shared" si="60"/>
        <v>6.6000000000000003E-2</v>
      </c>
      <c r="CJ83" s="397">
        <f t="shared" si="60"/>
        <v>6.6000000000000003E-2</v>
      </c>
      <c r="CK83" s="397">
        <f t="shared" si="60"/>
        <v>6.6000000000000003E-2</v>
      </c>
      <c r="CL83" s="397">
        <f t="shared" si="60"/>
        <v>6.6000000000000003E-2</v>
      </c>
      <c r="CM83" s="397">
        <f t="shared" si="60"/>
        <v>6.6000000000000003E-2</v>
      </c>
      <c r="CN83" s="397">
        <f t="shared" si="60"/>
        <v>6.6000000000000003E-2</v>
      </c>
      <c r="CO83" s="397">
        <f t="shared" si="60"/>
        <v>6.6000000000000003E-2</v>
      </c>
      <c r="CP83" s="397">
        <f t="shared" si="60"/>
        <v>6.6000000000000003E-2</v>
      </c>
      <c r="CQ83" s="397">
        <f t="shared" si="60"/>
        <v>6.6000000000000003E-2</v>
      </c>
      <c r="CR83" s="397">
        <f t="shared" si="60"/>
        <v>6.6000000000000003E-2</v>
      </c>
      <c r="CS83" s="397">
        <f t="shared" si="60"/>
        <v>6.6000000000000003E-2</v>
      </c>
      <c r="CT83" s="397">
        <f t="shared" si="60"/>
        <v>6.6000000000000003E-2</v>
      </c>
      <c r="CU83" s="397">
        <f t="shared" si="60"/>
        <v>6.6000000000000003E-2</v>
      </c>
      <c r="CV83" s="397">
        <f t="shared" si="60"/>
        <v>6.6000000000000003E-2</v>
      </c>
      <c r="CW83" s="397">
        <f t="shared" si="60"/>
        <v>6.6000000000000003E-2</v>
      </c>
      <c r="CX83" s="397">
        <f t="shared" si="60"/>
        <v>6.6000000000000003E-2</v>
      </c>
      <c r="CY83" s="397">
        <f t="shared" si="60"/>
        <v>6.6000000000000003E-2</v>
      </c>
      <c r="CZ83" s="397">
        <f t="shared" si="60"/>
        <v>6.6000000000000003E-2</v>
      </c>
      <c r="DA83" s="397">
        <f t="shared" si="60"/>
        <v>6.6000000000000003E-2</v>
      </c>
      <c r="DB83" s="397">
        <f t="shared" si="60"/>
        <v>6.6000000000000003E-2</v>
      </c>
      <c r="DC83" s="397">
        <f t="shared" si="60"/>
        <v>6.6000000000000003E-2</v>
      </c>
      <c r="DD83" s="397">
        <f t="shared" si="60"/>
        <v>6.6000000000000003E-2</v>
      </c>
      <c r="DE83" s="397">
        <f t="shared" si="60"/>
        <v>6.6000000000000003E-2</v>
      </c>
      <c r="DF83" s="308"/>
      <c r="DG83" s="308"/>
      <c r="DH83" s="308"/>
      <c r="DI83" s="308"/>
      <c r="DJ83" s="308"/>
      <c r="DK83" s="308"/>
      <c r="DL83" s="308"/>
    </row>
    <row r="84" spans="1:134" ht="15.75" customHeight="1" x14ac:dyDescent="0.25">
      <c r="A84" s="751"/>
      <c r="B84" s="751"/>
      <c r="C84" s="321" t="s">
        <v>341</v>
      </c>
      <c r="D84" s="280" t="s">
        <v>342</v>
      </c>
      <c r="E84" s="280" t="s">
        <v>343</v>
      </c>
      <c r="F84" s="280"/>
      <c r="G84" s="280" t="s">
        <v>344</v>
      </c>
      <c r="H84" s="313">
        <f>75000*(1+2%)^3</f>
        <v>79590.599999999991</v>
      </c>
      <c r="I84" s="301">
        <f t="shared" ref="I84:DE84" si="61">H84</f>
        <v>79590.599999999991</v>
      </c>
      <c r="J84" s="301">
        <f t="shared" si="61"/>
        <v>79590.599999999991</v>
      </c>
      <c r="K84" s="301">
        <f t="shared" si="61"/>
        <v>79590.599999999991</v>
      </c>
      <c r="L84" s="301">
        <f t="shared" si="61"/>
        <v>79590.599999999991</v>
      </c>
      <c r="M84" s="301">
        <f t="shared" si="61"/>
        <v>79590.599999999991</v>
      </c>
      <c r="N84" s="301">
        <f t="shared" si="61"/>
        <v>79590.599999999991</v>
      </c>
      <c r="O84" s="301">
        <f t="shared" si="61"/>
        <v>79590.599999999991</v>
      </c>
      <c r="P84" s="301">
        <f t="shared" si="61"/>
        <v>79590.599999999991</v>
      </c>
      <c r="Q84" s="301">
        <f t="shared" si="61"/>
        <v>79590.599999999991</v>
      </c>
      <c r="R84" s="301">
        <f t="shared" si="61"/>
        <v>79590.599999999991</v>
      </c>
      <c r="S84" s="301">
        <f t="shared" si="61"/>
        <v>79590.599999999991</v>
      </c>
      <c r="T84" s="301">
        <f t="shared" si="61"/>
        <v>79590.599999999991</v>
      </c>
      <c r="U84" s="301">
        <f t="shared" si="61"/>
        <v>79590.599999999991</v>
      </c>
      <c r="V84" s="301">
        <f t="shared" si="61"/>
        <v>79590.599999999991</v>
      </c>
      <c r="W84" s="301">
        <f t="shared" si="61"/>
        <v>79590.599999999991</v>
      </c>
      <c r="X84" s="301">
        <f t="shared" si="61"/>
        <v>79590.599999999991</v>
      </c>
      <c r="Y84" s="301">
        <f t="shared" si="61"/>
        <v>79590.599999999991</v>
      </c>
      <c r="Z84" s="301">
        <f t="shared" si="61"/>
        <v>79590.599999999991</v>
      </c>
      <c r="AA84" s="301">
        <f t="shared" si="61"/>
        <v>79590.599999999991</v>
      </c>
      <c r="AB84" s="301">
        <f t="shared" si="61"/>
        <v>79590.599999999991</v>
      </c>
      <c r="AC84" s="301">
        <f t="shared" si="61"/>
        <v>79590.599999999991</v>
      </c>
      <c r="AD84" s="301">
        <f t="shared" si="61"/>
        <v>79590.599999999991</v>
      </c>
      <c r="AE84" s="301">
        <f t="shared" si="61"/>
        <v>79590.599999999991</v>
      </c>
      <c r="AF84" s="301">
        <f t="shared" si="61"/>
        <v>79590.599999999991</v>
      </c>
      <c r="AG84" s="301">
        <f t="shared" si="61"/>
        <v>79590.599999999991</v>
      </c>
      <c r="AH84" s="301">
        <f t="shared" si="61"/>
        <v>79590.599999999991</v>
      </c>
      <c r="AI84" s="301">
        <f t="shared" si="61"/>
        <v>79590.599999999991</v>
      </c>
      <c r="AJ84" s="301">
        <f t="shared" si="61"/>
        <v>79590.599999999991</v>
      </c>
      <c r="AK84" s="301">
        <f t="shared" si="61"/>
        <v>79590.599999999991</v>
      </c>
      <c r="AL84" s="301">
        <f t="shared" si="61"/>
        <v>79590.599999999991</v>
      </c>
      <c r="AM84" s="301">
        <f t="shared" si="61"/>
        <v>79590.599999999991</v>
      </c>
      <c r="AN84" s="301">
        <f t="shared" si="61"/>
        <v>79590.599999999991</v>
      </c>
      <c r="AO84" s="301">
        <f t="shared" si="61"/>
        <v>79590.599999999991</v>
      </c>
      <c r="AP84" s="301">
        <f t="shared" si="61"/>
        <v>79590.599999999991</v>
      </c>
      <c r="AQ84" s="301">
        <f t="shared" si="61"/>
        <v>79590.599999999991</v>
      </c>
      <c r="AR84" s="301">
        <f t="shared" si="61"/>
        <v>79590.599999999991</v>
      </c>
      <c r="AS84" s="301">
        <f t="shared" si="61"/>
        <v>79590.599999999991</v>
      </c>
      <c r="AT84" s="301">
        <f t="shared" si="61"/>
        <v>79590.599999999991</v>
      </c>
      <c r="AU84" s="301">
        <f t="shared" si="61"/>
        <v>79590.599999999991</v>
      </c>
      <c r="AV84" s="301">
        <f t="shared" si="61"/>
        <v>79590.599999999991</v>
      </c>
      <c r="AW84" s="301">
        <f t="shared" si="61"/>
        <v>79590.599999999991</v>
      </c>
      <c r="AX84" s="301">
        <f t="shared" si="61"/>
        <v>79590.599999999991</v>
      </c>
      <c r="AY84" s="301">
        <f t="shared" si="61"/>
        <v>79590.599999999991</v>
      </c>
      <c r="AZ84" s="301">
        <f t="shared" si="61"/>
        <v>79590.599999999991</v>
      </c>
      <c r="BA84" s="301">
        <f t="shared" si="61"/>
        <v>79590.599999999991</v>
      </c>
      <c r="BB84" s="301">
        <f t="shared" si="61"/>
        <v>79590.599999999991</v>
      </c>
      <c r="BC84" s="301">
        <f t="shared" si="61"/>
        <v>79590.599999999991</v>
      </c>
      <c r="BD84" s="301">
        <f t="shared" si="61"/>
        <v>79590.599999999991</v>
      </c>
      <c r="BE84" s="301">
        <f t="shared" si="61"/>
        <v>79590.599999999991</v>
      </c>
      <c r="BF84" s="301">
        <f t="shared" si="61"/>
        <v>79590.599999999991</v>
      </c>
      <c r="BG84" s="301">
        <f t="shared" si="61"/>
        <v>79590.599999999991</v>
      </c>
      <c r="BH84" s="301">
        <f t="shared" si="61"/>
        <v>79590.599999999991</v>
      </c>
      <c r="BI84" s="301">
        <f t="shared" si="61"/>
        <v>79590.599999999991</v>
      </c>
      <c r="BJ84" s="301">
        <f t="shared" si="61"/>
        <v>79590.599999999991</v>
      </c>
      <c r="BK84" s="301">
        <f t="shared" si="61"/>
        <v>79590.599999999991</v>
      </c>
      <c r="BL84" s="301">
        <f t="shared" si="61"/>
        <v>79590.599999999991</v>
      </c>
      <c r="BM84" s="301">
        <f t="shared" si="61"/>
        <v>79590.599999999991</v>
      </c>
      <c r="BN84" s="301">
        <f t="shared" si="61"/>
        <v>79590.599999999991</v>
      </c>
      <c r="BO84" s="301">
        <f t="shared" si="61"/>
        <v>79590.599999999991</v>
      </c>
      <c r="BP84" s="301">
        <f t="shared" si="61"/>
        <v>79590.599999999991</v>
      </c>
      <c r="BQ84" s="301">
        <f t="shared" si="61"/>
        <v>79590.599999999991</v>
      </c>
      <c r="BR84" s="301">
        <f t="shared" si="61"/>
        <v>79590.599999999991</v>
      </c>
      <c r="BS84" s="301">
        <f t="shared" si="61"/>
        <v>79590.599999999991</v>
      </c>
      <c r="BT84" s="301">
        <f t="shared" si="61"/>
        <v>79590.599999999991</v>
      </c>
      <c r="BU84" s="301">
        <f t="shared" si="61"/>
        <v>79590.599999999991</v>
      </c>
      <c r="BV84" s="301">
        <f t="shared" si="61"/>
        <v>79590.599999999991</v>
      </c>
      <c r="BW84" s="301">
        <f t="shared" si="61"/>
        <v>79590.599999999991</v>
      </c>
      <c r="BX84" s="301">
        <f t="shared" si="61"/>
        <v>79590.599999999991</v>
      </c>
      <c r="BY84" s="301">
        <f t="shared" si="61"/>
        <v>79590.599999999991</v>
      </c>
      <c r="BZ84" s="301">
        <f t="shared" si="61"/>
        <v>79590.599999999991</v>
      </c>
      <c r="CA84" s="301">
        <f t="shared" si="61"/>
        <v>79590.599999999991</v>
      </c>
      <c r="CB84" s="301">
        <f t="shared" si="61"/>
        <v>79590.599999999991</v>
      </c>
      <c r="CC84" s="301">
        <f t="shared" si="61"/>
        <v>79590.599999999991</v>
      </c>
      <c r="CD84" s="301">
        <f t="shared" si="61"/>
        <v>79590.599999999991</v>
      </c>
      <c r="CE84" s="301">
        <f t="shared" si="61"/>
        <v>79590.599999999991</v>
      </c>
      <c r="CF84" s="301">
        <f t="shared" si="61"/>
        <v>79590.599999999991</v>
      </c>
      <c r="CG84" s="301">
        <f t="shared" si="61"/>
        <v>79590.599999999991</v>
      </c>
      <c r="CH84" s="301">
        <f t="shared" si="61"/>
        <v>79590.599999999991</v>
      </c>
      <c r="CI84" s="301">
        <f t="shared" si="61"/>
        <v>79590.599999999991</v>
      </c>
      <c r="CJ84" s="301">
        <f t="shared" si="61"/>
        <v>79590.599999999991</v>
      </c>
      <c r="CK84" s="301">
        <f t="shared" si="61"/>
        <v>79590.599999999991</v>
      </c>
      <c r="CL84" s="301">
        <f t="shared" si="61"/>
        <v>79590.599999999991</v>
      </c>
      <c r="CM84" s="301">
        <f t="shared" si="61"/>
        <v>79590.599999999991</v>
      </c>
      <c r="CN84" s="301">
        <f t="shared" si="61"/>
        <v>79590.599999999991</v>
      </c>
      <c r="CO84" s="301">
        <f t="shared" si="61"/>
        <v>79590.599999999991</v>
      </c>
      <c r="CP84" s="301">
        <f t="shared" si="61"/>
        <v>79590.599999999991</v>
      </c>
      <c r="CQ84" s="301">
        <f t="shared" si="61"/>
        <v>79590.599999999991</v>
      </c>
      <c r="CR84" s="301">
        <f t="shared" si="61"/>
        <v>79590.599999999991</v>
      </c>
      <c r="CS84" s="301">
        <f t="shared" si="61"/>
        <v>79590.599999999991</v>
      </c>
      <c r="CT84" s="301">
        <f t="shared" si="61"/>
        <v>79590.599999999991</v>
      </c>
      <c r="CU84" s="301">
        <f t="shared" si="61"/>
        <v>79590.599999999991</v>
      </c>
      <c r="CV84" s="301">
        <f t="shared" si="61"/>
        <v>79590.599999999991</v>
      </c>
      <c r="CW84" s="301">
        <f t="shared" si="61"/>
        <v>79590.599999999991</v>
      </c>
      <c r="CX84" s="301">
        <f t="shared" si="61"/>
        <v>79590.599999999991</v>
      </c>
      <c r="CY84" s="301">
        <f t="shared" si="61"/>
        <v>79590.599999999991</v>
      </c>
      <c r="CZ84" s="301">
        <f t="shared" si="61"/>
        <v>79590.599999999991</v>
      </c>
      <c r="DA84" s="301">
        <f t="shared" si="61"/>
        <v>79590.599999999991</v>
      </c>
      <c r="DB84" s="301">
        <f t="shared" si="61"/>
        <v>79590.599999999991</v>
      </c>
      <c r="DC84" s="301">
        <f t="shared" si="61"/>
        <v>79590.599999999991</v>
      </c>
      <c r="DD84" s="301">
        <f t="shared" si="61"/>
        <v>79590.599999999991</v>
      </c>
      <c r="DE84" s="301">
        <f t="shared" si="61"/>
        <v>79590.599999999991</v>
      </c>
      <c r="DF84" s="308"/>
      <c r="DG84" s="308"/>
      <c r="DH84" s="308"/>
      <c r="DI84" s="308"/>
      <c r="DJ84" s="308"/>
      <c r="DK84" s="308"/>
      <c r="DL84" s="308"/>
    </row>
    <row r="85" spans="1:134" ht="15.75" customHeight="1" x14ac:dyDescent="0.25">
      <c r="A85" s="751"/>
      <c r="B85" s="751"/>
      <c r="C85" s="347" t="s">
        <v>345</v>
      </c>
      <c r="D85" s="349" t="s">
        <v>346</v>
      </c>
      <c r="E85" s="293"/>
      <c r="F85" s="349"/>
      <c r="G85" s="349"/>
      <c r="H85" s="335">
        <f t="shared" ref="H85:DE85" si="62">H83*H84</f>
        <v>5252.9795999999997</v>
      </c>
      <c r="I85" s="336">
        <f t="shared" si="62"/>
        <v>525297.96</v>
      </c>
      <c r="J85" s="336">
        <f t="shared" si="62"/>
        <v>525297.96</v>
      </c>
      <c r="K85" s="336">
        <f t="shared" si="62"/>
        <v>5252.9795999999997</v>
      </c>
      <c r="L85" s="336">
        <f t="shared" si="62"/>
        <v>5252.9795999999997</v>
      </c>
      <c r="M85" s="336">
        <f t="shared" si="62"/>
        <v>5252.9795999999997</v>
      </c>
      <c r="N85" s="336">
        <f t="shared" si="62"/>
        <v>5252.9795999999997</v>
      </c>
      <c r="O85" s="336">
        <f t="shared" si="62"/>
        <v>5252.9795999999997</v>
      </c>
      <c r="P85" s="336">
        <f t="shared" si="62"/>
        <v>5252.9795999999997</v>
      </c>
      <c r="Q85" s="336">
        <f t="shared" si="62"/>
        <v>5252.9795999999997</v>
      </c>
      <c r="R85" s="336">
        <f t="shared" si="62"/>
        <v>5252.9795999999997</v>
      </c>
      <c r="S85" s="336">
        <f t="shared" si="62"/>
        <v>5252.9795999999997</v>
      </c>
      <c r="T85" s="336">
        <f t="shared" si="62"/>
        <v>5252.9795999999997</v>
      </c>
      <c r="U85" s="336">
        <f t="shared" si="62"/>
        <v>5252.9795999999997</v>
      </c>
      <c r="V85" s="336">
        <f t="shared" si="62"/>
        <v>5252.9795999999997</v>
      </c>
      <c r="W85" s="336">
        <f t="shared" si="62"/>
        <v>5252.9795999999997</v>
      </c>
      <c r="X85" s="336">
        <f t="shared" si="62"/>
        <v>5252.9795999999997</v>
      </c>
      <c r="Y85" s="336">
        <f t="shared" si="62"/>
        <v>5252.9795999999997</v>
      </c>
      <c r="Z85" s="336">
        <f t="shared" si="62"/>
        <v>5252.9795999999997</v>
      </c>
      <c r="AA85" s="336">
        <f t="shared" si="62"/>
        <v>5252.9795999999997</v>
      </c>
      <c r="AB85" s="336">
        <f t="shared" si="62"/>
        <v>5252.9795999999997</v>
      </c>
      <c r="AC85" s="336">
        <f t="shared" si="62"/>
        <v>5252.9795999999997</v>
      </c>
      <c r="AD85" s="336">
        <f t="shared" si="62"/>
        <v>5252.9795999999997</v>
      </c>
      <c r="AE85" s="336">
        <f t="shared" si="62"/>
        <v>5252.9795999999997</v>
      </c>
      <c r="AF85" s="336">
        <f t="shared" si="62"/>
        <v>5252.9795999999997</v>
      </c>
      <c r="AG85" s="336">
        <f t="shared" si="62"/>
        <v>5252.9795999999997</v>
      </c>
      <c r="AH85" s="336">
        <f t="shared" si="62"/>
        <v>5252.9795999999997</v>
      </c>
      <c r="AI85" s="336">
        <f t="shared" si="62"/>
        <v>5252.9795999999997</v>
      </c>
      <c r="AJ85" s="336">
        <f t="shared" si="62"/>
        <v>5252.9795999999997</v>
      </c>
      <c r="AK85" s="336">
        <f t="shared" si="62"/>
        <v>5252.9795999999997</v>
      </c>
      <c r="AL85" s="336">
        <f t="shared" si="62"/>
        <v>5252.9795999999997</v>
      </c>
      <c r="AM85" s="336">
        <f t="shared" si="62"/>
        <v>5252.9795999999997</v>
      </c>
      <c r="AN85" s="336">
        <f t="shared" si="62"/>
        <v>5252.9795999999997</v>
      </c>
      <c r="AO85" s="336">
        <f t="shared" si="62"/>
        <v>5252.9795999999997</v>
      </c>
      <c r="AP85" s="336">
        <f t="shared" si="62"/>
        <v>5252.9795999999997</v>
      </c>
      <c r="AQ85" s="336">
        <f t="shared" si="62"/>
        <v>5252.9795999999997</v>
      </c>
      <c r="AR85" s="336">
        <f t="shared" si="62"/>
        <v>5252.9795999999997</v>
      </c>
      <c r="AS85" s="336">
        <f t="shared" si="62"/>
        <v>5252.9795999999997</v>
      </c>
      <c r="AT85" s="336">
        <f t="shared" si="62"/>
        <v>5252.9795999999997</v>
      </c>
      <c r="AU85" s="336">
        <f t="shared" si="62"/>
        <v>5252.9795999999997</v>
      </c>
      <c r="AV85" s="336">
        <f t="shared" si="62"/>
        <v>5252.9795999999997</v>
      </c>
      <c r="AW85" s="336">
        <f t="shared" si="62"/>
        <v>5252.9795999999997</v>
      </c>
      <c r="AX85" s="336">
        <f t="shared" si="62"/>
        <v>5252.9795999999997</v>
      </c>
      <c r="AY85" s="336">
        <f t="shared" si="62"/>
        <v>5252.9795999999997</v>
      </c>
      <c r="AZ85" s="336">
        <f t="shared" si="62"/>
        <v>5252.9795999999997</v>
      </c>
      <c r="BA85" s="336">
        <f t="shared" si="62"/>
        <v>5252.9795999999997</v>
      </c>
      <c r="BB85" s="336">
        <f t="shared" si="62"/>
        <v>5252.9795999999997</v>
      </c>
      <c r="BC85" s="336">
        <f t="shared" si="62"/>
        <v>5252.9795999999997</v>
      </c>
      <c r="BD85" s="336">
        <f t="shared" si="62"/>
        <v>5252.9795999999997</v>
      </c>
      <c r="BE85" s="336">
        <f t="shared" si="62"/>
        <v>5252.9795999999997</v>
      </c>
      <c r="BF85" s="336">
        <f t="shared" si="62"/>
        <v>5252.9795999999997</v>
      </c>
      <c r="BG85" s="336">
        <f t="shared" si="62"/>
        <v>5252.9795999999997</v>
      </c>
      <c r="BH85" s="336">
        <f t="shared" si="62"/>
        <v>5252.9795999999997</v>
      </c>
      <c r="BI85" s="336">
        <f t="shared" si="62"/>
        <v>5252.9795999999997</v>
      </c>
      <c r="BJ85" s="336">
        <f t="shared" si="62"/>
        <v>5252.9795999999997</v>
      </c>
      <c r="BK85" s="336">
        <f t="shared" si="62"/>
        <v>5252.9795999999997</v>
      </c>
      <c r="BL85" s="336">
        <f t="shared" si="62"/>
        <v>5252.9795999999997</v>
      </c>
      <c r="BM85" s="336">
        <f t="shared" si="62"/>
        <v>5252.9795999999997</v>
      </c>
      <c r="BN85" s="336">
        <f t="shared" si="62"/>
        <v>5252.9795999999997</v>
      </c>
      <c r="BO85" s="336">
        <f t="shared" si="62"/>
        <v>5252.9795999999997</v>
      </c>
      <c r="BP85" s="336">
        <f t="shared" si="62"/>
        <v>5252.9795999999997</v>
      </c>
      <c r="BQ85" s="336">
        <f t="shared" si="62"/>
        <v>5252.9795999999997</v>
      </c>
      <c r="BR85" s="336">
        <f t="shared" si="62"/>
        <v>5252.9795999999997</v>
      </c>
      <c r="BS85" s="336">
        <f t="shared" si="62"/>
        <v>5252.9795999999997</v>
      </c>
      <c r="BT85" s="336">
        <f t="shared" si="62"/>
        <v>5252.9795999999997</v>
      </c>
      <c r="BU85" s="336">
        <f t="shared" si="62"/>
        <v>5252.9795999999997</v>
      </c>
      <c r="BV85" s="336">
        <f t="shared" si="62"/>
        <v>5252.9795999999997</v>
      </c>
      <c r="BW85" s="336">
        <f t="shared" si="62"/>
        <v>5252.9795999999997</v>
      </c>
      <c r="BX85" s="336">
        <f t="shared" si="62"/>
        <v>5252.9795999999997</v>
      </c>
      <c r="BY85" s="336">
        <f t="shared" si="62"/>
        <v>5252.9795999999997</v>
      </c>
      <c r="BZ85" s="336">
        <f t="shared" si="62"/>
        <v>5252.9795999999997</v>
      </c>
      <c r="CA85" s="336">
        <f t="shared" si="62"/>
        <v>5252.9795999999997</v>
      </c>
      <c r="CB85" s="336">
        <f t="shared" si="62"/>
        <v>5252.9795999999997</v>
      </c>
      <c r="CC85" s="336">
        <f t="shared" si="62"/>
        <v>5252.9795999999997</v>
      </c>
      <c r="CD85" s="336">
        <f t="shared" si="62"/>
        <v>5252.9795999999997</v>
      </c>
      <c r="CE85" s="336">
        <f t="shared" si="62"/>
        <v>5252.9795999999997</v>
      </c>
      <c r="CF85" s="336">
        <f t="shared" si="62"/>
        <v>5252.9795999999997</v>
      </c>
      <c r="CG85" s="336">
        <f t="shared" si="62"/>
        <v>5252.9795999999997</v>
      </c>
      <c r="CH85" s="336">
        <f t="shared" si="62"/>
        <v>5252.9795999999997</v>
      </c>
      <c r="CI85" s="336">
        <f t="shared" si="62"/>
        <v>5252.9795999999997</v>
      </c>
      <c r="CJ85" s="336">
        <f t="shared" si="62"/>
        <v>5252.9795999999997</v>
      </c>
      <c r="CK85" s="336">
        <f t="shared" si="62"/>
        <v>5252.9795999999997</v>
      </c>
      <c r="CL85" s="336">
        <f t="shared" si="62"/>
        <v>5252.9795999999997</v>
      </c>
      <c r="CM85" s="336">
        <f t="shared" si="62"/>
        <v>5252.9795999999997</v>
      </c>
      <c r="CN85" s="336">
        <f t="shared" si="62"/>
        <v>5252.9795999999997</v>
      </c>
      <c r="CO85" s="336">
        <f t="shared" si="62"/>
        <v>5252.9795999999997</v>
      </c>
      <c r="CP85" s="336">
        <f t="shared" si="62"/>
        <v>5252.9795999999997</v>
      </c>
      <c r="CQ85" s="336">
        <f t="shared" si="62"/>
        <v>5252.9795999999997</v>
      </c>
      <c r="CR85" s="336">
        <f t="shared" si="62"/>
        <v>5252.9795999999997</v>
      </c>
      <c r="CS85" s="336">
        <f t="shared" si="62"/>
        <v>5252.9795999999997</v>
      </c>
      <c r="CT85" s="336">
        <f t="shared" si="62"/>
        <v>5252.9795999999997</v>
      </c>
      <c r="CU85" s="336">
        <f t="shared" si="62"/>
        <v>5252.9795999999997</v>
      </c>
      <c r="CV85" s="336">
        <f t="shared" si="62"/>
        <v>5252.9795999999997</v>
      </c>
      <c r="CW85" s="336">
        <f t="shared" si="62"/>
        <v>5252.9795999999997</v>
      </c>
      <c r="CX85" s="336">
        <f t="shared" si="62"/>
        <v>5252.9795999999997</v>
      </c>
      <c r="CY85" s="336">
        <f t="shared" si="62"/>
        <v>5252.9795999999997</v>
      </c>
      <c r="CZ85" s="336">
        <f t="shared" si="62"/>
        <v>5252.9795999999997</v>
      </c>
      <c r="DA85" s="336">
        <f t="shared" si="62"/>
        <v>5252.9795999999997</v>
      </c>
      <c r="DB85" s="336">
        <f t="shared" si="62"/>
        <v>5252.9795999999997</v>
      </c>
      <c r="DC85" s="336">
        <f t="shared" si="62"/>
        <v>5252.9795999999997</v>
      </c>
      <c r="DD85" s="336">
        <f t="shared" si="62"/>
        <v>5252.9795999999997</v>
      </c>
      <c r="DE85" s="336">
        <f t="shared" si="62"/>
        <v>5252.9795999999997</v>
      </c>
      <c r="DF85" s="308"/>
      <c r="DG85" s="308"/>
      <c r="DH85" s="308"/>
      <c r="DI85" s="308"/>
      <c r="DJ85" s="308"/>
      <c r="DK85" s="308"/>
      <c r="DL85" s="308"/>
    </row>
    <row r="86" spans="1:134" ht="15.75" customHeight="1" x14ac:dyDescent="0.25">
      <c r="A86" s="751"/>
      <c r="B86" s="751"/>
      <c r="C86" s="440" t="s">
        <v>347</v>
      </c>
      <c r="D86" s="441" t="s">
        <v>346</v>
      </c>
      <c r="E86" s="280" t="s">
        <v>348</v>
      </c>
      <c r="F86" s="441"/>
      <c r="G86" s="441" t="s">
        <v>349</v>
      </c>
      <c r="H86" s="442">
        <f>121394*(1+2%)^3</f>
        <v>128824.283952</v>
      </c>
      <c r="I86" s="443">
        <f t="shared" ref="I86:DE86" si="63">H86</f>
        <v>128824.283952</v>
      </c>
      <c r="J86" s="443">
        <f t="shared" si="63"/>
        <v>128824.283952</v>
      </c>
      <c r="K86" s="443">
        <f t="shared" si="63"/>
        <v>128824.283952</v>
      </c>
      <c r="L86" s="443">
        <f t="shared" si="63"/>
        <v>128824.283952</v>
      </c>
      <c r="M86" s="443">
        <f t="shared" si="63"/>
        <v>128824.283952</v>
      </c>
      <c r="N86" s="443">
        <f t="shared" si="63"/>
        <v>128824.283952</v>
      </c>
      <c r="O86" s="443">
        <f t="shared" si="63"/>
        <v>128824.283952</v>
      </c>
      <c r="P86" s="443">
        <f t="shared" si="63"/>
        <v>128824.283952</v>
      </c>
      <c r="Q86" s="443">
        <f t="shared" si="63"/>
        <v>128824.283952</v>
      </c>
      <c r="R86" s="443">
        <f t="shared" si="63"/>
        <v>128824.283952</v>
      </c>
      <c r="S86" s="443">
        <f t="shared" si="63"/>
        <v>128824.283952</v>
      </c>
      <c r="T86" s="443">
        <f t="shared" si="63"/>
        <v>128824.283952</v>
      </c>
      <c r="U86" s="443">
        <f t="shared" si="63"/>
        <v>128824.283952</v>
      </c>
      <c r="V86" s="443">
        <f t="shared" si="63"/>
        <v>128824.283952</v>
      </c>
      <c r="W86" s="443">
        <f t="shared" si="63"/>
        <v>128824.283952</v>
      </c>
      <c r="X86" s="443">
        <f t="shared" si="63"/>
        <v>128824.283952</v>
      </c>
      <c r="Y86" s="443">
        <f t="shared" si="63"/>
        <v>128824.283952</v>
      </c>
      <c r="Z86" s="443">
        <f t="shared" si="63"/>
        <v>128824.283952</v>
      </c>
      <c r="AA86" s="443">
        <f t="shared" si="63"/>
        <v>128824.283952</v>
      </c>
      <c r="AB86" s="443">
        <f t="shared" si="63"/>
        <v>128824.283952</v>
      </c>
      <c r="AC86" s="443">
        <f t="shared" si="63"/>
        <v>128824.283952</v>
      </c>
      <c r="AD86" s="443">
        <f t="shared" si="63"/>
        <v>128824.283952</v>
      </c>
      <c r="AE86" s="443">
        <f t="shared" si="63"/>
        <v>128824.283952</v>
      </c>
      <c r="AF86" s="443">
        <f t="shared" si="63"/>
        <v>128824.283952</v>
      </c>
      <c r="AG86" s="443">
        <f t="shared" si="63"/>
        <v>128824.283952</v>
      </c>
      <c r="AH86" s="443">
        <f t="shared" si="63"/>
        <v>128824.283952</v>
      </c>
      <c r="AI86" s="443">
        <f t="shared" si="63"/>
        <v>128824.283952</v>
      </c>
      <c r="AJ86" s="443">
        <f t="shared" si="63"/>
        <v>128824.283952</v>
      </c>
      <c r="AK86" s="443">
        <f t="shared" si="63"/>
        <v>128824.283952</v>
      </c>
      <c r="AL86" s="443">
        <f t="shared" si="63"/>
        <v>128824.283952</v>
      </c>
      <c r="AM86" s="443">
        <f t="shared" si="63"/>
        <v>128824.283952</v>
      </c>
      <c r="AN86" s="443">
        <f t="shared" si="63"/>
        <v>128824.283952</v>
      </c>
      <c r="AO86" s="443">
        <f t="shared" si="63"/>
        <v>128824.283952</v>
      </c>
      <c r="AP86" s="443">
        <f t="shared" si="63"/>
        <v>128824.283952</v>
      </c>
      <c r="AQ86" s="443">
        <f t="shared" si="63"/>
        <v>128824.283952</v>
      </c>
      <c r="AR86" s="443">
        <f t="shared" si="63"/>
        <v>128824.283952</v>
      </c>
      <c r="AS86" s="443">
        <f t="shared" si="63"/>
        <v>128824.283952</v>
      </c>
      <c r="AT86" s="443">
        <f t="shared" si="63"/>
        <v>128824.283952</v>
      </c>
      <c r="AU86" s="443">
        <f t="shared" si="63"/>
        <v>128824.283952</v>
      </c>
      <c r="AV86" s="443">
        <f t="shared" si="63"/>
        <v>128824.283952</v>
      </c>
      <c r="AW86" s="443">
        <f t="shared" si="63"/>
        <v>128824.283952</v>
      </c>
      <c r="AX86" s="443">
        <f t="shared" si="63"/>
        <v>128824.283952</v>
      </c>
      <c r="AY86" s="443">
        <f t="shared" si="63"/>
        <v>128824.283952</v>
      </c>
      <c r="AZ86" s="443">
        <f t="shared" si="63"/>
        <v>128824.283952</v>
      </c>
      <c r="BA86" s="443">
        <f t="shared" si="63"/>
        <v>128824.283952</v>
      </c>
      <c r="BB86" s="443">
        <f t="shared" si="63"/>
        <v>128824.283952</v>
      </c>
      <c r="BC86" s="443">
        <f t="shared" si="63"/>
        <v>128824.283952</v>
      </c>
      <c r="BD86" s="443">
        <f t="shared" si="63"/>
        <v>128824.283952</v>
      </c>
      <c r="BE86" s="443">
        <f t="shared" si="63"/>
        <v>128824.283952</v>
      </c>
      <c r="BF86" s="443">
        <f t="shared" si="63"/>
        <v>128824.283952</v>
      </c>
      <c r="BG86" s="443">
        <f t="shared" si="63"/>
        <v>128824.283952</v>
      </c>
      <c r="BH86" s="443">
        <f t="shared" si="63"/>
        <v>128824.283952</v>
      </c>
      <c r="BI86" s="443">
        <f t="shared" si="63"/>
        <v>128824.283952</v>
      </c>
      <c r="BJ86" s="443">
        <f t="shared" si="63"/>
        <v>128824.283952</v>
      </c>
      <c r="BK86" s="443">
        <f t="shared" si="63"/>
        <v>128824.283952</v>
      </c>
      <c r="BL86" s="443">
        <f t="shared" si="63"/>
        <v>128824.283952</v>
      </c>
      <c r="BM86" s="443">
        <f t="shared" si="63"/>
        <v>128824.283952</v>
      </c>
      <c r="BN86" s="443">
        <f t="shared" si="63"/>
        <v>128824.283952</v>
      </c>
      <c r="BO86" s="443">
        <f t="shared" si="63"/>
        <v>128824.283952</v>
      </c>
      <c r="BP86" s="443">
        <f t="shared" si="63"/>
        <v>128824.283952</v>
      </c>
      <c r="BQ86" s="443">
        <f t="shared" si="63"/>
        <v>128824.283952</v>
      </c>
      <c r="BR86" s="443">
        <f t="shared" si="63"/>
        <v>128824.283952</v>
      </c>
      <c r="BS86" s="443">
        <f t="shared" si="63"/>
        <v>128824.283952</v>
      </c>
      <c r="BT86" s="443">
        <f t="shared" si="63"/>
        <v>128824.283952</v>
      </c>
      <c r="BU86" s="443">
        <f t="shared" si="63"/>
        <v>128824.283952</v>
      </c>
      <c r="BV86" s="443">
        <f t="shared" si="63"/>
        <v>128824.283952</v>
      </c>
      <c r="BW86" s="443">
        <f t="shared" si="63"/>
        <v>128824.283952</v>
      </c>
      <c r="BX86" s="443">
        <f t="shared" si="63"/>
        <v>128824.283952</v>
      </c>
      <c r="BY86" s="443">
        <f t="shared" si="63"/>
        <v>128824.283952</v>
      </c>
      <c r="BZ86" s="443">
        <f t="shared" si="63"/>
        <v>128824.283952</v>
      </c>
      <c r="CA86" s="443">
        <f t="shared" si="63"/>
        <v>128824.283952</v>
      </c>
      <c r="CB86" s="443">
        <f t="shared" si="63"/>
        <v>128824.283952</v>
      </c>
      <c r="CC86" s="443">
        <f t="shared" si="63"/>
        <v>128824.283952</v>
      </c>
      <c r="CD86" s="443">
        <f t="shared" si="63"/>
        <v>128824.283952</v>
      </c>
      <c r="CE86" s="443">
        <f t="shared" si="63"/>
        <v>128824.283952</v>
      </c>
      <c r="CF86" s="443">
        <f t="shared" si="63"/>
        <v>128824.283952</v>
      </c>
      <c r="CG86" s="443">
        <f t="shared" si="63"/>
        <v>128824.283952</v>
      </c>
      <c r="CH86" s="443">
        <f t="shared" si="63"/>
        <v>128824.283952</v>
      </c>
      <c r="CI86" s="443">
        <f t="shared" si="63"/>
        <v>128824.283952</v>
      </c>
      <c r="CJ86" s="443">
        <f t="shared" si="63"/>
        <v>128824.283952</v>
      </c>
      <c r="CK86" s="443">
        <f t="shared" si="63"/>
        <v>128824.283952</v>
      </c>
      <c r="CL86" s="443">
        <f t="shared" si="63"/>
        <v>128824.283952</v>
      </c>
      <c r="CM86" s="443">
        <f t="shared" si="63"/>
        <v>128824.283952</v>
      </c>
      <c r="CN86" s="443">
        <f t="shared" si="63"/>
        <v>128824.283952</v>
      </c>
      <c r="CO86" s="443">
        <f t="shared" si="63"/>
        <v>128824.283952</v>
      </c>
      <c r="CP86" s="443">
        <f t="shared" si="63"/>
        <v>128824.283952</v>
      </c>
      <c r="CQ86" s="443">
        <f t="shared" si="63"/>
        <v>128824.283952</v>
      </c>
      <c r="CR86" s="443">
        <f t="shared" si="63"/>
        <v>128824.283952</v>
      </c>
      <c r="CS86" s="443">
        <f t="shared" si="63"/>
        <v>128824.283952</v>
      </c>
      <c r="CT86" s="443">
        <f t="shared" si="63"/>
        <v>128824.283952</v>
      </c>
      <c r="CU86" s="443">
        <f t="shared" si="63"/>
        <v>128824.283952</v>
      </c>
      <c r="CV86" s="443">
        <f t="shared" si="63"/>
        <v>128824.283952</v>
      </c>
      <c r="CW86" s="443">
        <f t="shared" si="63"/>
        <v>128824.283952</v>
      </c>
      <c r="CX86" s="443">
        <f t="shared" si="63"/>
        <v>128824.283952</v>
      </c>
      <c r="CY86" s="443">
        <f t="shared" si="63"/>
        <v>128824.283952</v>
      </c>
      <c r="CZ86" s="443">
        <f t="shared" si="63"/>
        <v>128824.283952</v>
      </c>
      <c r="DA86" s="443">
        <f t="shared" si="63"/>
        <v>128824.283952</v>
      </c>
      <c r="DB86" s="443">
        <f t="shared" si="63"/>
        <v>128824.283952</v>
      </c>
      <c r="DC86" s="443">
        <f t="shared" si="63"/>
        <v>128824.283952</v>
      </c>
      <c r="DD86" s="443">
        <f t="shared" si="63"/>
        <v>128824.283952</v>
      </c>
      <c r="DE86" s="443">
        <f t="shared" si="63"/>
        <v>128824.283952</v>
      </c>
      <c r="DF86" s="308"/>
      <c r="DG86" s="308"/>
      <c r="DH86" s="308"/>
      <c r="DI86" s="308"/>
      <c r="DJ86" s="308"/>
      <c r="DK86" s="308"/>
      <c r="DL86" s="308"/>
    </row>
    <row r="87" spans="1:134" ht="15.75" customHeight="1" x14ac:dyDescent="0.25">
      <c r="A87" s="751"/>
      <c r="B87" s="751"/>
      <c r="C87" s="347" t="s">
        <v>350</v>
      </c>
      <c r="D87" s="349" t="s">
        <v>239</v>
      </c>
      <c r="E87" s="293"/>
      <c r="F87" s="349"/>
      <c r="G87" s="558">
        <f>'Unit Costs and Indicators'!D19</f>
        <v>4.7348484848484848E-5</v>
      </c>
      <c r="H87" s="372">
        <f>(H86+H85)*G87</f>
        <v>6.348355281818181</v>
      </c>
      <c r="I87" s="373">
        <f t="shared" ref="I87:DE87" si="64">(I86+I85)*$G$87</f>
        <v>30.971697156818177</v>
      </c>
      <c r="J87" s="373">
        <f t="shared" si="64"/>
        <v>30.971697156818177</v>
      </c>
      <c r="K87" s="373">
        <f t="shared" si="64"/>
        <v>6.348355281818181</v>
      </c>
      <c r="L87" s="373">
        <f t="shared" si="64"/>
        <v>6.348355281818181</v>
      </c>
      <c r="M87" s="373">
        <f t="shared" si="64"/>
        <v>6.348355281818181</v>
      </c>
      <c r="N87" s="373">
        <f t="shared" si="64"/>
        <v>6.348355281818181</v>
      </c>
      <c r="O87" s="373">
        <f t="shared" si="64"/>
        <v>6.348355281818181</v>
      </c>
      <c r="P87" s="373">
        <f t="shared" si="64"/>
        <v>6.348355281818181</v>
      </c>
      <c r="Q87" s="373">
        <f t="shared" si="64"/>
        <v>6.348355281818181</v>
      </c>
      <c r="R87" s="373">
        <f t="shared" si="64"/>
        <v>6.348355281818181</v>
      </c>
      <c r="S87" s="373">
        <f t="shared" si="64"/>
        <v>6.348355281818181</v>
      </c>
      <c r="T87" s="373">
        <f t="shared" si="64"/>
        <v>6.348355281818181</v>
      </c>
      <c r="U87" s="373">
        <f t="shared" si="64"/>
        <v>6.348355281818181</v>
      </c>
      <c r="V87" s="373">
        <f t="shared" si="64"/>
        <v>6.348355281818181</v>
      </c>
      <c r="W87" s="373">
        <f t="shared" si="64"/>
        <v>6.348355281818181</v>
      </c>
      <c r="X87" s="373">
        <f t="shared" si="64"/>
        <v>6.348355281818181</v>
      </c>
      <c r="Y87" s="373">
        <f t="shared" si="64"/>
        <v>6.348355281818181</v>
      </c>
      <c r="Z87" s="373">
        <f t="shared" si="64"/>
        <v>6.348355281818181</v>
      </c>
      <c r="AA87" s="373">
        <f t="shared" si="64"/>
        <v>6.348355281818181</v>
      </c>
      <c r="AB87" s="373">
        <f t="shared" si="64"/>
        <v>6.348355281818181</v>
      </c>
      <c r="AC87" s="373">
        <f t="shared" si="64"/>
        <v>6.348355281818181</v>
      </c>
      <c r="AD87" s="373">
        <f t="shared" si="64"/>
        <v>6.348355281818181</v>
      </c>
      <c r="AE87" s="373">
        <f t="shared" si="64"/>
        <v>6.348355281818181</v>
      </c>
      <c r="AF87" s="373">
        <f t="shared" si="64"/>
        <v>6.348355281818181</v>
      </c>
      <c r="AG87" s="373">
        <f t="shared" si="64"/>
        <v>6.348355281818181</v>
      </c>
      <c r="AH87" s="373">
        <f t="shared" si="64"/>
        <v>6.348355281818181</v>
      </c>
      <c r="AI87" s="373">
        <f t="shared" si="64"/>
        <v>6.348355281818181</v>
      </c>
      <c r="AJ87" s="373">
        <f t="shared" si="64"/>
        <v>6.348355281818181</v>
      </c>
      <c r="AK87" s="373">
        <f t="shared" si="64"/>
        <v>6.348355281818181</v>
      </c>
      <c r="AL87" s="373">
        <f t="shared" si="64"/>
        <v>6.348355281818181</v>
      </c>
      <c r="AM87" s="373">
        <f t="shared" si="64"/>
        <v>6.348355281818181</v>
      </c>
      <c r="AN87" s="373">
        <f t="shared" si="64"/>
        <v>6.348355281818181</v>
      </c>
      <c r="AO87" s="373">
        <f t="shared" si="64"/>
        <v>6.348355281818181</v>
      </c>
      <c r="AP87" s="373">
        <f t="shared" si="64"/>
        <v>6.348355281818181</v>
      </c>
      <c r="AQ87" s="373">
        <f t="shared" si="64"/>
        <v>6.348355281818181</v>
      </c>
      <c r="AR87" s="373">
        <f t="shared" si="64"/>
        <v>6.348355281818181</v>
      </c>
      <c r="AS87" s="373">
        <f t="shared" si="64"/>
        <v>6.348355281818181</v>
      </c>
      <c r="AT87" s="373">
        <f t="shared" si="64"/>
        <v>6.348355281818181</v>
      </c>
      <c r="AU87" s="373">
        <f t="shared" si="64"/>
        <v>6.348355281818181</v>
      </c>
      <c r="AV87" s="373">
        <f t="shared" si="64"/>
        <v>6.348355281818181</v>
      </c>
      <c r="AW87" s="373">
        <f t="shared" si="64"/>
        <v>6.348355281818181</v>
      </c>
      <c r="AX87" s="373">
        <f t="shared" si="64"/>
        <v>6.348355281818181</v>
      </c>
      <c r="AY87" s="373">
        <f t="shared" si="64"/>
        <v>6.348355281818181</v>
      </c>
      <c r="AZ87" s="373">
        <f t="shared" si="64"/>
        <v>6.348355281818181</v>
      </c>
      <c r="BA87" s="373">
        <f t="shared" si="64"/>
        <v>6.348355281818181</v>
      </c>
      <c r="BB87" s="373">
        <f t="shared" si="64"/>
        <v>6.348355281818181</v>
      </c>
      <c r="BC87" s="373">
        <f t="shared" si="64"/>
        <v>6.348355281818181</v>
      </c>
      <c r="BD87" s="373">
        <f t="shared" si="64"/>
        <v>6.348355281818181</v>
      </c>
      <c r="BE87" s="373">
        <f t="shared" si="64"/>
        <v>6.348355281818181</v>
      </c>
      <c r="BF87" s="373">
        <f t="shared" si="64"/>
        <v>6.348355281818181</v>
      </c>
      <c r="BG87" s="373">
        <f t="shared" si="64"/>
        <v>6.348355281818181</v>
      </c>
      <c r="BH87" s="373">
        <f t="shared" si="64"/>
        <v>6.348355281818181</v>
      </c>
      <c r="BI87" s="373">
        <f t="shared" si="64"/>
        <v>6.348355281818181</v>
      </c>
      <c r="BJ87" s="373">
        <f t="shared" si="64"/>
        <v>6.348355281818181</v>
      </c>
      <c r="BK87" s="373">
        <f t="shared" si="64"/>
        <v>6.348355281818181</v>
      </c>
      <c r="BL87" s="373">
        <f t="shared" si="64"/>
        <v>6.348355281818181</v>
      </c>
      <c r="BM87" s="373">
        <f t="shared" si="64"/>
        <v>6.348355281818181</v>
      </c>
      <c r="BN87" s="373">
        <f t="shared" si="64"/>
        <v>6.348355281818181</v>
      </c>
      <c r="BO87" s="373">
        <f t="shared" si="64"/>
        <v>6.348355281818181</v>
      </c>
      <c r="BP87" s="373">
        <f t="shared" si="64"/>
        <v>6.348355281818181</v>
      </c>
      <c r="BQ87" s="373">
        <f t="shared" si="64"/>
        <v>6.348355281818181</v>
      </c>
      <c r="BR87" s="373">
        <f t="shared" si="64"/>
        <v>6.348355281818181</v>
      </c>
      <c r="BS87" s="373">
        <f t="shared" si="64"/>
        <v>6.348355281818181</v>
      </c>
      <c r="BT87" s="373">
        <f t="shared" si="64"/>
        <v>6.348355281818181</v>
      </c>
      <c r="BU87" s="373">
        <f t="shared" si="64"/>
        <v>6.348355281818181</v>
      </c>
      <c r="BV87" s="373">
        <f t="shared" si="64"/>
        <v>6.348355281818181</v>
      </c>
      <c r="BW87" s="373">
        <f t="shared" si="64"/>
        <v>6.348355281818181</v>
      </c>
      <c r="BX87" s="373">
        <f t="shared" si="64"/>
        <v>6.348355281818181</v>
      </c>
      <c r="BY87" s="373">
        <f t="shared" si="64"/>
        <v>6.348355281818181</v>
      </c>
      <c r="BZ87" s="373">
        <f t="shared" si="64"/>
        <v>6.348355281818181</v>
      </c>
      <c r="CA87" s="373">
        <f t="shared" si="64"/>
        <v>6.348355281818181</v>
      </c>
      <c r="CB87" s="373">
        <f t="shared" si="64"/>
        <v>6.348355281818181</v>
      </c>
      <c r="CC87" s="373">
        <f t="shared" si="64"/>
        <v>6.348355281818181</v>
      </c>
      <c r="CD87" s="373">
        <f t="shared" si="64"/>
        <v>6.348355281818181</v>
      </c>
      <c r="CE87" s="373">
        <f t="shared" si="64"/>
        <v>6.348355281818181</v>
      </c>
      <c r="CF87" s="373">
        <f t="shared" si="64"/>
        <v>6.348355281818181</v>
      </c>
      <c r="CG87" s="373">
        <f t="shared" si="64"/>
        <v>6.348355281818181</v>
      </c>
      <c r="CH87" s="373">
        <f t="shared" si="64"/>
        <v>6.348355281818181</v>
      </c>
      <c r="CI87" s="373">
        <f t="shared" si="64"/>
        <v>6.348355281818181</v>
      </c>
      <c r="CJ87" s="373">
        <f t="shared" si="64"/>
        <v>6.348355281818181</v>
      </c>
      <c r="CK87" s="373">
        <f t="shared" si="64"/>
        <v>6.348355281818181</v>
      </c>
      <c r="CL87" s="373">
        <f t="shared" si="64"/>
        <v>6.348355281818181</v>
      </c>
      <c r="CM87" s="373">
        <f t="shared" si="64"/>
        <v>6.348355281818181</v>
      </c>
      <c r="CN87" s="373">
        <f t="shared" si="64"/>
        <v>6.348355281818181</v>
      </c>
      <c r="CO87" s="373">
        <f t="shared" si="64"/>
        <v>6.348355281818181</v>
      </c>
      <c r="CP87" s="373">
        <f t="shared" si="64"/>
        <v>6.348355281818181</v>
      </c>
      <c r="CQ87" s="373">
        <f t="shared" si="64"/>
        <v>6.348355281818181</v>
      </c>
      <c r="CR87" s="373">
        <f t="shared" si="64"/>
        <v>6.348355281818181</v>
      </c>
      <c r="CS87" s="373">
        <f t="shared" si="64"/>
        <v>6.348355281818181</v>
      </c>
      <c r="CT87" s="373">
        <f t="shared" si="64"/>
        <v>6.348355281818181</v>
      </c>
      <c r="CU87" s="373">
        <f t="shared" si="64"/>
        <v>6.348355281818181</v>
      </c>
      <c r="CV87" s="373">
        <f t="shared" si="64"/>
        <v>6.348355281818181</v>
      </c>
      <c r="CW87" s="373">
        <f t="shared" si="64"/>
        <v>6.348355281818181</v>
      </c>
      <c r="CX87" s="373">
        <f t="shared" si="64"/>
        <v>6.348355281818181</v>
      </c>
      <c r="CY87" s="373">
        <f t="shared" si="64"/>
        <v>6.348355281818181</v>
      </c>
      <c r="CZ87" s="373">
        <f t="shared" si="64"/>
        <v>6.348355281818181</v>
      </c>
      <c r="DA87" s="373">
        <f t="shared" si="64"/>
        <v>6.348355281818181</v>
      </c>
      <c r="DB87" s="373">
        <f t="shared" si="64"/>
        <v>6.348355281818181</v>
      </c>
      <c r="DC87" s="373">
        <f t="shared" si="64"/>
        <v>6.348355281818181</v>
      </c>
      <c r="DD87" s="373">
        <f t="shared" si="64"/>
        <v>6.348355281818181</v>
      </c>
      <c r="DE87" s="373">
        <f t="shared" si="64"/>
        <v>6.348355281818181</v>
      </c>
      <c r="DF87" s="308"/>
      <c r="DG87" s="308"/>
      <c r="DH87" s="308"/>
      <c r="DI87" s="308"/>
      <c r="DJ87" s="308"/>
      <c r="DK87" s="308"/>
      <c r="DL87" s="308"/>
    </row>
    <row r="88" spans="1:134" ht="15.75" customHeight="1" x14ac:dyDescent="0.25">
      <c r="A88" s="751"/>
      <c r="B88" s="354"/>
      <c r="C88" s="355" t="s">
        <v>244</v>
      </c>
      <c r="D88" s="381" t="s">
        <v>351</v>
      </c>
      <c r="E88" s="357"/>
      <c r="F88" s="316" t="s">
        <v>14</v>
      </c>
      <c r="G88" s="317">
        <f t="array" ref="G88">NPV($C$4, J88:DE88)+I88</f>
        <v>332.4452335024921</v>
      </c>
      <c r="H88" s="359">
        <f t="shared" ref="H88:I88" si="65">H87</f>
        <v>6.348355281818181</v>
      </c>
      <c r="I88" s="360">
        <f t="shared" si="65"/>
        <v>30.971697156818177</v>
      </c>
      <c r="J88" s="360">
        <f t="shared" ref="J88:DE88" si="66">J87*(1 + $C$3)^(J5 - $I$5)</f>
        <v>31.591131099954541</v>
      </c>
      <c r="K88" s="360">
        <f t="shared" si="66"/>
        <v>6.6048288352036355</v>
      </c>
      <c r="L88" s="360">
        <f t="shared" si="66"/>
        <v>6.7369254119077073</v>
      </c>
      <c r="M88" s="360">
        <f t="shared" si="66"/>
        <v>6.8716639201458625</v>
      </c>
      <c r="N88" s="360">
        <f t="shared" si="66"/>
        <v>7.0090971985487798</v>
      </c>
      <c r="O88" s="360">
        <f t="shared" si="66"/>
        <v>7.1492791425197559</v>
      </c>
      <c r="P88" s="360">
        <f t="shared" si="66"/>
        <v>7.2922647253701491</v>
      </c>
      <c r="Q88" s="360">
        <f t="shared" si="66"/>
        <v>7.4381100198775529</v>
      </c>
      <c r="R88" s="360">
        <f t="shared" si="66"/>
        <v>7.5868722202751036</v>
      </c>
      <c r="S88" s="360">
        <f t="shared" si="66"/>
        <v>7.738609664680606</v>
      </c>
      <c r="T88" s="360">
        <f t="shared" si="66"/>
        <v>7.8933818579742168</v>
      </c>
      <c r="U88" s="360">
        <f t="shared" si="66"/>
        <v>8.0512494951337032</v>
      </c>
      <c r="V88" s="360">
        <f t="shared" si="66"/>
        <v>8.2122744850363762</v>
      </c>
      <c r="W88" s="360">
        <f t="shared" si="66"/>
        <v>8.3765199747371053</v>
      </c>
      <c r="X88" s="360">
        <f t="shared" si="66"/>
        <v>8.5440503742318441</v>
      </c>
      <c r="Y88" s="360">
        <f t="shared" si="66"/>
        <v>8.7149313817164824</v>
      </c>
      <c r="Z88" s="360">
        <f t="shared" si="66"/>
        <v>8.889230009350813</v>
      </c>
      <c r="AA88" s="360">
        <f t="shared" si="66"/>
        <v>9.0670146095378286</v>
      </c>
      <c r="AB88" s="360">
        <f t="shared" si="66"/>
        <v>9.2483549017285842</v>
      </c>
      <c r="AC88" s="360">
        <f t="shared" si="66"/>
        <v>9.433321999763157</v>
      </c>
      <c r="AD88" s="360">
        <f t="shared" si="66"/>
        <v>9.6219884397584199</v>
      </c>
      <c r="AE88" s="360">
        <f t="shared" si="66"/>
        <v>9.8144282085535881</v>
      </c>
      <c r="AF88" s="360">
        <f t="shared" si="66"/>
        <v>10.010716772724658</v>
      </c>
      <c r="AG88" s="360">
        <f t="shared" si="66"/>
        <v>10.210931108179151</v>
      </c>
      <c r="AH88" s="360">
        <f t="shared" si="66"/>
        <v>10.415149730342735</v>
      </c>
      <c r="AI88" s="360">
        <f t="shared" si="66"/>
        <v>10.62345272494959</v>
      </c>
      <c r="AJ88" s="360">
        <f t="shared" si="66"/>
        <v>10.835921779448581</v>
      </c>
      <c r="AK88" s="360">
        <f t="shared" si="66"/>
        <v>11.052640215037554</v>
      </c>
      <c r="AL88" s="360">
        <f t="shared" si="66"/>
        <v>11.273693019338305</v>
      </c>
      <c r="AM88" s="360">
        <f t="shared" si="66"/>
        <v>11.49916687972507</v>
      </c>
      <c r="AN88" s="360">
        <f t="shared" si="66"/>
        <v>11.729150217319569</v>
      </c>
      <c r="AO88" s="360">
        <f t="shared" si="66"/>
        <v>11.963733221665963</v>
      </c>
      <c r="AP88" s="360">
        <f t="shared" si="66"/>
        <v>12.203007886099284</v>
      </c>
      <c r="AQ88" s="360">
        <f t="shared" si="66"/>
        <v>12.447068043821268</v>
      </c>
      <c r="AR88" s="360">
        <f t="shared" si="66"/>
        <v>12.696009404697694</v>
      </c>
      <c r="AS88" s="360">
        <f t="shared" si="66"/>
        <v>12.949929592791646</v>
      </c>
      <c r="AT88" s="360">
        <f t="shared" si="66"/>
        <v>13.208928184647482</v>
      </c>
      <c r="AU88" s="360">
        <f t="shared" si="66"/>
        <v>13.473106748340433</v>
      </c>
      <c r="AV88" s="360">
        <f t="shared" si="66"/>
        <v>13.742568883307236</v>
      </c>
      <c r="AW88" s="360">
        <f t="shared" si="66"/>
        <v>14.017420260973385</v>
      </c>
      <c r="AX88" s="360">
        <f t="shared" si="66"/>
        <v>14.297768666192852</v>
      </c>
      <c r="AY88" s="360">
        <f t="shared" si="66"/>
        <v>14.583724039516708</v>
      </c>
      <c r="AZ88" s="360">
        <f t="shared" si="66"/>
        <v>14.875398520307041</v>
      </c>
      <c r="BA88" s="360">
        <f t="shared" si="66"/>
        <v>15.172906490713185</v>
      </c>
      <c r="BB88" s="360">
        <f t="shared" si="66"/>
        <v>15.476364620527447</v>
      </c>
      <c r="BC88" s="360">
        <f t="shared" si="66"/>
        <v>15.785891912937997</v>
      </c>
      <c r="BD88" s="360">
        <f t="shared" si="66"/>
        <v>16.101609751196751</v>
      </c>
      <c r="BE88" s="360">
        <f t="shared" si="66"/>
        <v>16.423641946220691</v>
      </c>
      <c r="BF88" s="360">
        <f t="shared" si="66"/>
        <v>16.752114785145103</v>
      </c>
      <c r="BG88" s="360">
        <f t="shared" si="66"/>
        <v>17.087157080848005</v>
      </c>
      <c r="BH88" s="360">
        <f t="shared" si="66"/>
        <v>17.428900222464964</v>
      </c>
      <c r="BI88" s="360">
        <f t="shared" si="66"/>
        <v>17.777478226914265</v>
      </c>
      <c r="BJ88" s="360">
        <f t="shared" si="66"/>
        <v>18.133027791452548</v>
      </c>
      <c r="BK88" s="360">
        <f t="shared" si="66"/>
        <v>18.495688347281604</v>
      </c>
      <c r="BL88" s="360">
        <f t="shared" si="66"/>
        <v>18.865602114227229</v>
      </c>
      <c r="BM88" s="360">
        <f t="shared" si="66"/>
        <v>19.242914156511773</v>
      </c>
      <c r="BN88" s="360">
        <f t="shared" si="66"/>
        <v>19.627772439642012</v>
      </c>
      <c r="BO88" s="360">
        <f t="shared" si="66"/>
        <v>20.020327888434853</v>
      </c>
      <c r="BP88" s="360">
        <f t="shared" si="66"/>
        <v>20.420734446203546</v>
      </c>
      <c r="BQ88" s="360">
        <f t="shared" si="66"/>
        <v>20.829149135127622</v>
      </c>
      <c r="BR88" s="360">
        <f t="shared" si="66"/>
        <v>21.245732117830173</v>
      </c>
      <c r="BS88" s="360">
        <f t="shared" si="66"/>
        <v>21.670646760186777</v>
      </c>
      <c r="BT88" s="360">
        <f t="shared" si="66"/>
        <v>22.104059695390507</v>
      </c>
      <c r="BU88" s="360">
        <f t="shared" si="66"/>
        <v>22.546140889298321</v>
      </c>
      <c r="BV88" s="360">
        <f t="shared" si="66"/>
        <v>22.99706370708429</v>
      </c>
      <c r="BW88" s="360">
        <f t="shared" si="66"/>
        <v>23.457004981225975</v>
      </c>
      <c r="BX88" s="360">
        <f t="shared" si="66"/>
        <v>23.926145080850493</v>
      </c>
      <c r="BY88" s="360">
        <f t="shared" si="66"/>
        <v>24.404667982467501</v>
      </c>
      <c r="BZ88" s="360">
        <f t="shared" si="66"/>
        <v>24.892761342116852</v>
      </c>
      <c r="CA88" s="360">
        <f t="shared" si="66"/>
        <v>25.390616568959192</v>
      </c>
      <c r="CB88" s="360">
        <f t="shared" si="66"/>
        <v>25.898428900338374</v>
      </c>
      <c r="CC88" s="360">
        <f t="shared" si="66"/>
        <v>26.416397478345143</v>
      </c>
      <c r="CD88" s="360">
        <f t="shared" si="66"/>
        <v>26.944725427912044</v>
      </c>
      <c r="CE88" s="360">
        <f t="shared" si="66"/>
        <v>27.483619936470287</v>
      </c>
      <c r="CF88" s="360">
        <f t="shared" si="66"/>
        <v>28.033292335199686</v>
      </c>
      <c r="CG88" s="360">
        <f t="shared" si="66"/>
        <v>28.593958181903687</v>
      </c>
      <c r="CH88" s="360">
        <f t="shared" si="66"/>
        <v>29.16583734554176</v>
      </c>
      <c r="CI88" s="360">
        <f t="shared" si="66"/>
        <v>29.749154092452596</v>
      </c>
      <c r="CJ88" s="360">
        <f t="shared" si="66"/>
        <v>30.34413717430164</v>
      </c>
      <c r="CK88" s="360">
        <f t="shared" si="66"/>
        <v>30.951019917787676</v>
      </c>
      <c r="CL88" s="360">
        <f t="shared" si="66"/>
        <v>31.57004031614343</v>
      </c>
      <c r="CM88" s="360">
        <f t="shared" si="66"/>
        <v>32.201441122466292</v>
      </c>
      <c r="CN88" s="360">
        <f t="shared" si="66"/>
        <v>32.845469944915621</v>
      </c>
      <c r="CO88" s="360">
        <f t="shared" si="66"/>
        <v>33.502379343813935</v>
      </c>
      <c r="CP88" s="360">
        <f t="shared" si="66"/>
        <v>34.172426930690214</v>
      </c>
      <c r="CQ88" s="360">
        <f t="shared" si="66"/>
        <v>34.855875469304017</v>
      </c>
      <c r="CR88" s="360">
        <f t="shared" si="66"/>
        <v>35.552992978690092</v>
      </c>
      <c r="CS88" s="360">
        <f t="shared" si="66"/>
        <v>36.264052838263893</v>
      </c>
      <c r="CT88" s="360">
        <f t="shared" si="66"/>
        <v>36.989333895029176</v>
      </c>
      <c r="CU88" s="360">
        <f t="shared" si="66"/>
        <v>37.729120572929766</v>
      </c>
      <c r="CV88" s="360">
        <f t="shared" si="66"/>
        <v>38.483702984388351</v>
      </c>
      <c r="CW88" s="360">
        <f t="shared" si="66"/>
        <v>39.253377044076124</v>
      </c>
      <c r="CX88" s="360">
        <f t="shared" si="66"/>
        <v>40.038444584957645</v>
      </c>
      <c r="CY88" s="360">
        <f t="shared" si="66"/>
        <v>40.839213476656802</v>
      </c>
      <c r="CZ88" s="360">
        <f t="shared" si="66"/>
        <v>41.655997746189925</v>
      </c>
      <c r="DA88" s="360">
        <f t="shared" si="66"/>
        <v>42.489117701113734</v>
      </c>
      <c r="DB88" s="360">
        <f t="shared" si="66"/>
        <v>43.338900055136008</v>
      </c>
      <c r="DC88" s="360">
        <f t="shared" si="66"/>
        <v>44.205678056238725</v>
      </c>
      <c r="DD88" s="360">
        <f t="shared" si="66"/>
        <v>45.089791617363502</v>
      </c>
      <c r="DE88" s="360">
        <f t="shared" si="66"/>
        <v>45.991587449710771</v>
      </c>
      <c r="DF88" s="308"/>
      <c r="DG88" s="308"/>
      <c r="DH88" s="308"/>
      <c r="DI88" s="308"/>
      <c r="DJ88" s="308"/>
      <c r="DK88" s="308"/>
      <c r="DL88" s="308"/>
    </row>
    <row r="89" spans="1:134" ht="15.75" customHeight="1" x14ac:dyDescent="0.25">
      <c r="A89" s="751"/>
      <c r="B89" s="758" t="s">
        <v>352</v>
      </c>
      <c r="C89" s="321" t="s">
        <v>353</v>
      </c>
      <c r="D89" s="280" t="s">
        <v>262</v>
      </c>
      <c r="E89" s="280" t="s">
        <v>122</v>
      </c>
      <c r="F89" s="280"/>
      <c r="G89" s="400" t="s">
        <v>406</v>
      </c>
      <c r="H89" s="302">
        <v>0.01</v>
      </c>
      <c r="I89" s="308">
        <f>'Cost (Counterfactual)'!H98</f>
        <v>0.19230769230769232</v>
      </c>
      <c r="J89" s="308">
        <f>I89</f>
        <v>0.19230769230769232</v>
      </c>
      <c r="K89" s="408">
        <f t="shared" ref="K89:DE89" si="67">$J$89*$H$89</f>
        <v>1.9230769230769232E-3</v>
      </c>
      <c r="L89" s="408">
        <f t="shared" si="67"/>
        <v>1.9230769230769232E-3</v>
      </c>
      <c r="M89" s="408">
        <f t="shared" si="67"/>
        <v>1.9230769230769232E-3</v>
      </c>
      <c r="N89" s="408">
        <f t="shared" si="67"/>
        <v>1.9230769230769232E-3</v>
      </c>
      <c r="O89" s="408">
        <f t="shared" si="67"/>
        <v>1.9230769230769232E-3</v>
      </c>
      <c r="P89" s="408">
        <f t="shared" si="67"/>
        <v>1.9230769230769232E-3</v>
      </c>
      <c r="Q89" s="408">
        <f t="shared" si="67"/>
        <v>1.9230769230769232E-3</v>
      </c>
      <c r="R89" s="408">
        <f t="shared" si="67"/>
        <v>1.9230769230769232E-3</v>
      </c>
      <c r="S89" s="408">
        <f t="shared" si="67"/>
        <v>1.9230769230769232E-3</v>
      </c>
      <c r="T89" s="408">
        <f t="shared" si="67"/>
        <v>1.9230769230769232E-3</v>
      </c>
      <c r="U89" s="408">
        <f t="shared" si="67"/>
        <v>1.9230769230769232E-3</v>
      </c>
      <c r="V89" s="408">
        <f t="shared" si="67"/>
        <v>1.9230769230769232E-3</v>
      </c>
      <c r="W89" s="408">
        <f t="shared" si="67"/>
        <v>1.9230769230769232E-3</v>
      </c>
      <c r="X89" s="408">
        <f t="shared" si="67"/>
        <v>1.9230769230769232E-3</v>
      </c>
      <c r="Y89" s="408">
        <f t="shared" si="67"/>
        <v>1.9230769230769232E-3</v>
      </c>
      <c r="Z89" s="408">
        <f t="shared" si="67"/>
        <v>1.9230769230769232E-3</v>
      </c>
      <c r="AA89" s="408">
        <f t="shared" si="67"/>
        <v>1.9230769230769232E-3</v>
      </c>
      <c r="AB89" s="408">
        <f t="shared" si="67"/>
        <v>1.9230769230769232E-3</v>
      </c>
      <c r="AC89" s="408">
        <f t="shared" si="67"/>
        <v>1.9230769230769232E-3</v>
      </c>
      <c r="AD89" s="408">
        <f t="shared" si="67"/>
        <v>1.9230769230769232E-3</v>
      </c>
      <c r="AE89" s="408">
        <f t="shared" si="67"/>
        <v>1.9230769230769232E-3</v>
      </c>
      <c r="AF89" s="408">
        <f t="shared" si="67"/>
        <v>1.9230769230769232E-3</v>
      </c>
      <c r="AG89" s="408">
        <f t="shared" si="67"/>
        <v>1.9230769230769232E-3</v>
      </c>
      <c r="AH89" s="408">
        <f t="shared" si="67"/>
        <v>1.9230769230769232E-3</v>
      </c>
      <c r="AI89" s="408">
        <f t="shared" si="67"/>
        <v>1.9230769230769232E-3</v>
      </c>
      <c r="AJ89" s="408">
        <f t="shared" si="67"/>
        <v>1.9230769230769232E-3</v>
      </c>
      <c r="AK89" s="408">
        <f t="shared" si="67"/>
        <v>1.9230769230769232E-3</v>
      </c>
      <c r="AL89" s="408">
        <f t="shared" si="67"/>
        <v>1.9230769230769232E-3</v>
      </c>
      <c r="AM89" s="408">
        <f t="shared" si="67"/>
        <v>1.9230769230769232E-3</v>
      </c>
      <c r="AN89" s="408">
        <f t="shared" si="67"/>
        <v>1.9230769230769232E-3</v>
      </c>
      <c r="AO89" s="408">
        <f t="shared" si="67"/>
        <v>1.9230769230769232E-3</v>
      </c>
      <c r="AP89" s="408">
        <f t="shared" si="67"/>
        <v>1.9230769230769232E-3</v>
      </c>
      <c r="AQ89" s="408">
        <f t="shared" si="67"/>
        <v>1.9230769230769232E-3</v>
      </c>
      <c r="AR89" s="408">
        <f t="shared" si="67"/>
        <v>1.9230769230769232E-3</v>
      </c>
      <c r="AS89" s="408">
        <f t="shared" si="67"/>
        <v>1.9230769230769232E-3</v>
      </c>
      <c r="AT89" s="408">
        <f t="shared" si="67"/>
        <v>1.9230769230769232E-3</v>
      </c>
      <c r="AU89" s="408">
        <f t="shared" si="67"/>
        <v>1.9230769230769232E-3</v>
      </c>
      <c r="AV89" s="408">
        <f t="shared" si="67"/>
        <v>1.9230769230769232E-3</v>
      </c>
      <c r="AW89" s="408">
        <f t="shared" si="67"/>
        <v>1.9230769230769232E-3</v>
      </c>
      <c r="AX89" s="408">
        <f t="shared" si="67"/>
        <v>1.9230769230769232E-3</v>
      </c>
      <c r="AY89" s="408">
        <f t="shared" si="67"/>
        <v>1.9230769230769232E-3</v>
      </c>
      <c r="AZ89" s="408">
        <f t="shared" si="67"/>
        <v>1.9230769230769232E-3</v>
      </c>
      <c r="BA89" s="408">
        <f t="shared" si="67"/>
        <v>1.9230769230769232E-3</v>
      </c>
      <c r="BB89" s="408">
        <f t="shared" si="67"/>
        <v>1.9230769230769232E-3</v>
      </c>
      <c r="BC89" s="408">
        <f t="shared" si="67"/>
        <v>1.9230769230769232E-3</v>
      </c>
      <c r="BD89" s="408">
        <f t="shared" si="67"/>
        <v>1.9230769230769232E-3</v>
      </c>
      <c r="BE89" s="408">
        <f t="shared" si="67"/>
        <v>1.9230769230769232E-3</v>
      </c>
      <c r="BF89" s="408">
        <f t="shared" si="67"/>
        <v>1.9230769230769232E-3</v>
      </c>
      <c r="BG89" s="408">
        <f t="shared" si="67"/>
        <v>1.9230769230769232E-3</v>
      </c>
      <c r="BH89" s="408">
        <f t="shared" si="67"/>
        <v>1.9230769230769232E-3</v>
      </c>
      <c r="BI89" s="408">
        <f t="shared" si="67"/>
        <v>1.9230769230769232E-3</v>
      </c>
      <c r="BJ89" s="408">
        <f t="shared" si="67"/>
        <v>1.9230769230769232E-3</v>
      </c>
      <c r="BK89" s="408">
        <f t="shared" si="67"/>
        <v>1.9230769230769232E-3</v>
      </c>
      <c r="BL89" s="408">
        <f t="shared" si="67"/>
        <v>1.9230769230769232E-3</v>
      </c>
      <c r="BM89" s="408">
        <f t="shared" si="67"/>
        <v>1.9230769230769232E-3</v>
      </c>
      <c r="BN89" s="408">
        <f t="shared" si="67"/>
        <v>1.9230769230769232E-3</v>
      </c>
      <c r="BO89" s="408">
        <f t="shared" si="67"/>
        <v>1.9230769230769232E-3</v>
      </c>
      <c r="BP89" s="408">
        <f t="shared" si="67"/>
        <v>1.9230769230769232E-3</v>
      </c>
      <c r="BQ89" s="408">
        <f t="shared" si="67"/>
        <v>1.9230769230769232E-3</v>
      </c>
      <c r="BR89" s="408">
        <f t="shared" si="67"/>
        <v>1.9230769230769232E-3</v>
      </c>
      <c r="BS89" s="408">
        <f t="shared" si="67"/>
        <v>1.9230769230769232E-3</v>
      </c>
      <c r="BT89" s="408">
        <f t="shared" si="67"/>
        <v>1.9230769230769232E-3</v>
      </c>
      <c r="BU89" s="408">
        <f t="shared" si="67"/>
        <v>1.9230769230769232E-3</v>
      </c>
      <c r="BV89" s="408">
        <f t="shared" si="67"/>
        <v>1.9230769230769232E-3</v>
      </c>
      <c r="BW89" s="408">
        <f t="shared" si="67"/>
        <v>1.9230769230769232E-3</v>
      </c>
      <c r="BX89" s="408">
        <f t="shared" si="67"/>
        <v>1.9230769230769232E-3</v>
      </c>
      <c r="BY89" s="408">
        <f t="shared" si="67"/>
        <v>1.9230769230769232E-3</v>
      </c>
      <c r="BZ89" s="408">
        <f t="shared" si="67"/>
        <v>1.9230769230769232E-3</v>
      </c>
      <c r="CA89" s="408">
        <f t="shared" si="67"/>
        <v>1.9230769230769232E-3</v>
      </c>
      <c r="CB89" s="408">
        <f t="shared" si="67"/>
        <v>1.9230769230769232E-3</v>
      </c>
      <c r="CC89" s="408">
        <f t="shared" si="67"/>
        <v>1.9230769230769232E-3</v>
      </c>
      <c r="CD89" s="408">
        <f t="shared" si="67"/>
        <v>1.9230769230769232E-3</v>
      </c>
      <c r="CE89" s="408">
        <f t="shared" si="67"/>
        <v>1.9230769230769232E-3</v>
      </c>
      <c r="CF89" s="408">
        <f t="shared" si="67"/>
        <v>1.9230769230769232E-3</v>
      </c>
      <c r="CG89" s="408">
        <f t="shared" si="67"/>
        <v>1.9230769230769232E-3</v>
      </c>
      <c r="CH89" s="408">
        <f t="shared" si="67"/>
        <v>1.9230769230769232E-3</v>
      </c>
      <c r="CI89" s="408">
        <f t="shared" si="67"/>
        <v>1.9230769230769232E-3</v>
      </c>
      <c r="CJ89" s="408">
        <f t="shared" si="67"/>
        <v>1.9230769230769232E-3</v>
      </c>
      <c r="CK89" s="408">
        <f t="shared" si="67"/>
        <v>1.9230769230769232E-3</v>
      </c>
      <c r="CL89" s="408">
        <f t="shared" si="67"/>
        <v>1.9230769230769232E-3</v>
      </c>
      <c r="CM89" s="408">
        <f t="shared" si="67"/>
        <v>1.9230769230769232E-3</v>
      </c>
      <c r="CN89" s="408">
        <f t="shared" si="67"/>
        <v>1.9230769230769232E-3</v>
      </c>
      <c r="CO89" s="408">
        <f t="shared" si="67"/>
        <v>1.9230769230769232E-3</v>
      </c>
      <c r="CP89" s="408">
        <f t="shared" si="67"/>
        <v>1.9230769230769232E-3</v>
      </c>
      <c r="CQ89" s="408">
        <f t="shared" si="67"/>
        <v>1.9230769230769232E-3</v>
      </c>
      <c r="CR89" s="408">
        <f t="shared" si="67"/>
        <v>1.9230769230769232E-3</v>
      </c>
      <c r="CS89" s="408">
        <f t="shared" si="67"/>
        <v>1.9230769230769232E-3</v>
      </c>
      <c r="CT89" s="408">
        <f t="shared" si="67"/>
        <v>1.9230769230769232E-3</v>
      </c>
      <c r="CU89" s="408">
        <f t="shared" si="67"/>
        <v>1.9230769230769232E-3</v>
      </c>
      <c r="CV89" s="408">
        <f t="shared" si="67"/>
        <v>1.9230769230769232E-3</v>
      </c>
      <c r="CW89" s="408">
        <f t="shared" si="67"/>
        <v>1.9230769230769232E-3</v>
      </c>
      <c r="CX89" s="408">
        <f t="shared" si="67"/>
        <v>1.9230769230769232E-3</v>
      </c>
      <c r="CY89" s="408">
        <f t="shared" si="67"/>
        <v>1.9230769230769232E-3</v>
      </c>
      <c r="CZ89" s="408">
        <f t="shared" si="67"/>
        <v>1.9230769230769232E-3</v>
      </c>
      <c r="DA89" s="408">
        <f t="shared" si="67"/>
        <v>1.9230769230769232E-3</v>
      </c>
      <c r="DB89" s="408">
        <f t="shared" si="67"/>
        <v>1.9230769230769232E-3</v>
      </c>
      <c r="DC89" s="408">
        <f t="shared" si="67"/>
        <v>1.9230769230769232E-3</v>
      </c>
      <c r="DD89" s="408">
        <f t="shared" si="67"/>
        <v>1.9230769230769232E-3</v>
      </c>
      <c r="DE89" s="408">
        <f t="shared" si="67"/>
        <v>1.9230769230769232E-3</v>
      </c>
      <c r="DF89" s="308"/>
      <c r="DG89" s="308"/>
      <c r="DH89" s="308"/>
      <c r="DI89" s="308"/>
      <c r="DJ89" s="308"/>
      <c r="DK89" s="308"/>
      <c r="DL89" s="308"/>
    </row>
    <row r="90" spans="1:134" ht="15.75" customHeight="1" x14ac:dyDescent="0.25">
      <c r="A90" s="751"/>
      <c r="B90" s="751"/>
      <c r="C90" s="321" t="s">
        <v>356</v>
      </c>
      <c r="D90" s="280" t="s">
        <v>342</v>
      </c>
      <c r="E90" s="280" t="s">
        <v>122</v>
      </c>
      <c r="F90" s="280"/>
      <c r="G90" s="280" t="s">
        <v>407</v>
      </c>
      <c r="H90" s="436">
        <f>5000*10*2</f>
        <v>100000</v>
      </c>
      <c r="I90" s="301">
        <f t="shared" ref="I90:DE90" si="68">H90</f>
        <v>100000</v>
      </c>
      <c r="J90" s="301">
        <f t="shared" si="68"/>
        <v>100000</v>
      </c>
      <c r="K90" s="301">
        <f t="shared" si="68"/>
        <v>100000</v>
      </c>
      <c r="L90" s="301">
        <f t="shared" si="68"/>
        <v>100000</v>
      </c>
      <c r="M90" s="301">
        <f t="shared" si="68"/>
        <v>100000</v>
      </c>
      <c r="N90" s="301">
        <f t="shared" si="68"/>
        <v>100000</v>
      </c>
      <c r="O90" s="301">
        <f t="shared" si="68"/>
        <v>100000</v>
      </c>
      <c r="P90" s="301">
        <f t="shared" si="68"/>
        <v>100000</v>
      </c>
      <c r="Q90" s="301">
        <f t="shared" si="68"/>
        <v>100000</v>
      </c>
      <c r="R90" s="301">
        <f t="shared" si="68"/>
        <v>100000</v>
      </c>
      <c r="S90" s="301">
        <f t="shared" si="68"/>
        <v>100000</v>
      </c>
      <c r="T90" s="301">
        <f t="shared" si="68"/>
        <v>100000</v>
      </c>
      <c r="U90" s="301">
        <f t="shared" si="68"/>
        <v>100000</v>
      </c>
      <c r="V90" s="301">
        <f t="shared" si="68"/>
        <v>100000</v>
      </c>
      <c r="W90" s="301">
        <f t="shared" si="68"/>
        <v>100000</v>
      </c>
      <c r="X90" s="301">
        <f t="shared" si="68"/>
        <v>100000</v>
      </c>
      <c r="Y90" s="301">
        <f t="shared" si="68"/>
        <v>100000</v>
      </c>
      <c r="Z90" s="301">
        <f t="shared" si="68"/>
        <v>100000</v>
      </c>
      <c r="AA90" s="301">
        <f t="shared" si="68"/>
        <v>100000</v>
      </c>
      <c r="AB90" s="301">
        <f t="shared" si="68"/>
        <v>100000</v>
      </c>
      <c r="AC90" s="301">
        <f t="shared" si="68"/>
        <v>100000</v>
      </c>
      <c r="AD90" s="301">
        <f t="shared" si="68"/>
        <v>100000</v>
      </c>
      <c r="AE90" s="301">
        <f t="shared" si="68"/>
        <v>100000</v>
      </c>
      <c r="AF90" s="301">
        <f t="shared" si="68"/>
        <v>100000</v>
      </c>
      <c r="AG90" s="301">
        <f t="shared" si="68"/>
        <v>100000</v>
      </c>
      <c r="AH90" s="301">
        <f t="shared" si="68"/>
        <v>100000</v>
      </c>
      <c r="AI90" s="301">
        <f t="shared" si="68"/>
        <v>100000</v>
      </c>
      <c r="AJ90" s="301">
        <f t="shared" si="68"/>
        <v>100000</v>
      </c>
      <c r="AK90" s="301">
        <f t="shared" si="68"/>
        <v>100000</v>
      </c>
      <c r="AL90" s="301">
        <f t="shared" si="68"/>
        <v>100000</v>
      </c>
      <c r="AM90" s="301">
        <f t="shared" si="68"/>
        <v>100000</v>
      </c>
      <c r="AN90" s="301">
        <f t="shared" si="68"/>
        <v>100000</v>
      </c>
      <c r="AO90" s="301">
        <f t="shared" si="68"/>
        <v>100000</v>
      </c>
      <c r="AP90" s="301">
        <f t="shared" si="68"/>
        <v>100000</v>
      </c>
      <c r="AQ90" s="301">
        <f t="shared" si="68"/>
        <v>100000</v>
      </c>
      <c r="AR90" s="301">
        <f t="shared" si="68"/>
        <v>100000</v>
      </c>
      <c r="AS90" s="301">
        <f t="shared" si="68"/>
        <v>100000</v>
      </c>
      <c r="AT90" s="301">
        <f t="shared" si="68"/>
        <v>100000</v>
      </c>
      <c r="AU90" s="301">
        <f t="shared" si="68"/>
        <v>100000</v>
      </c>
      <c r="AV90" s="301">
        <f t="shared" si="68"/>
        <v>100000</v>
      </c>
      <c r="AW90" s="301">
        <f t="shared" si="68"/>
        <v>100000</v>
      </c>
      <c r="AX90" s="301">
        <f t="shared" si="68"/>
        <v>100000</v>
      </c>
      <c r="AY90" s="301">
        <f t="shared" si="68"/>
        <v>100000</v>
      </c>
      <c r="AZ90" s="301">
        <f t="shared" si="68"/>
        <v>100000</v>
      </c>
      <c r="BA90" s="301">
        <f t="shared" si="68"/>
        <v>100000</v>
      </c>
      <c r="BB90" s="301">
        <f t="shared" si="68"/>
        <v>100000</v>
      </c>
      <c r="BC90" s="301">
        <f t="shared" si="68"/>
        <v>100000</v>
      </c>
      <c r="BD90" s="301">
        <f t="shared" si="68"/>
        <v>100000</v>
      </c>
      <c r="BE90" s="301">
        <f t="shared" si="68"/>
        <v>100000</v>
      </c>
      <c r="BF90" s="301">
        <f t="shared" si="68"/>
        <v>100000</v>
      </c>
      <c r="BG90" s="301">
        <f t="shared" si="68"/>
        <v>100000</v>
      </c>
      <c r="BH90" s="301">
        <f t="shared" si="68"/>
        <v>100000</v>
      </c>
      <c r="BI90" s="301">
        <f t="shared" si="68"/>
        <v>100000</v>
      </c>
      <c r="BJ90" s="301">
        <f t="shared" si="68"/>
        <v>100000</v>
      </c>
      <c r="BK90" s="301">
        <f t="shared" si="68"/>
        <v>100000</v>
      </c>
      <c r="BL90" s="301">
        <f t="shared" si="68"/>
        <v>100000</v>
      </c>
      <c r="BM90" s="301">
        <f t="shared" si="68"/>
        <v>100000</v>
      </c>
      <c r="BN90" s="301">
        <f t="shared" si="68"/>
        <v>100000</v>
      </c>
      <c r="BO90" s="301">
        <f t="shared" si="68"/>
        <v>100000</v>
      </c>
      <c r="BP90" s="301">
        <f t="shared" si="68"/>
        <v>100000</v>
      </c>
      <c r="BQ90" s="301">
        <f t="shared" si="68"/>
        <v>100000</v>
      </c>
      <c r="BR90" s="301">
        <f t="shared" si="68"/>
        <v>100000</v>
      </c>
      <c r="BS90" s="301">
        <f t="shared" si="68"/>
        <v>100000</v>
      </c>
      <c r="BT90" s="301">
        <f t="shared" si="68"/>
        <v>100000</v>
      </c>
      <c r="BU90" s="301">
        <f t="shared" si="68"/>
        <v>100000</v>
      </c>
      <c r="BV90" s="301">
        <f t="shared" si="68"/>
        <v>100000</v>
      </c>
      <c r="BW90" s="301">
        <f t="shared" si="68"/>
        <v>100000</v>
      </c>
      <c r="BX90" s="301">
        <f t="shared" si="68"/>
        <v>100000</v>
      </c>
      <c r="BY90" s="301">
        <f t="shared" si="68"/>
        <v>100000</v>
      </c>
      <c r="BZ90" s="301">
        <f t="shared" si="68"/>
        <v>100000</v>
      </c>
      <c r="CA90" s="301">
        <f t="shared" si="68"/>
        <v>100000</v>
      </c>
      <c r="CB90" s="301">
        <f t="shared" si="68"/>
        <v>100000</v>
      </c>
      <c r="CC90" s="301">
        <f t="shared" si="68"/>
        <v>100000</v>
      </c>
      <c r="CD90" s="301">
        <f t="shared" si="68"/>
        <v>100000</v>
      </c>
      <c r="CE90" s="301">
        <f t="shared" si="68"/>
        <v>100000</v>
      </c>
      <c r="CF90" s="301">
        <f t="shared" si="68"/>
        <v>100000</v>
      </c>
      <c r="CG90" s="301">
        <f t="shared" si="68"/>
        <v>100000</v>
      </c>
      <c r="CH90" s="301">
        <f t="shared" si="68"/>
        <v>100000</v>
      </c>
      <c r="CI90" s="301">
        <f t="shared" si="68"/>
        <v>100000</v>
      </c>
      <c r="CJ90" s="301">
        <f t="shared" si="68"/>
        <v>100000</v>
      </c>
      <c r="CK90" s="301">
        <f t="shared" si="68"/>
        <v>100000</v>
      </c>
      <c r="CL90" s="301">
        <f t="shared" si="68"/>
        <v>100000</v>
      </c>
      <c r="CM90" s="301">
        <f t="shared" si="68"/>
        <v>100000</v>
      </c>
      <c r="CN90" s="301">
        <f t="shared" si="68"/>
        <v>100000</v>
      </c>
      <c r="CO90" s="301">
        <f t="shared" si="68"/>
        <v>100000</v>
      </c>
      <c r="CP90" s="301">
        <f t="shared" si="68"/>
        <v>100000</v>
      </c>
      <c r="CQ90" s="301">
        <f t="shared" si="68"/>
        <v>100000</v>
      </c>
      <c r="CR90" s="301">
        <f t="shared" si="68"/>
        <v>100000</v>
      </c>
      <c r="CS90" s="301">
        <f t="shared" si="68"/>
        <v>100000</v>
      </c>
      <c r="CT90" s="301">
        <f t="shared" si="68"/>
        <v>100000</v>
      </c>
      <c r="CU90" s="301">
        <f t="shared" si="68"/>
        <v>100000</v>
      </c>
      <c r="CV90" s="301">
        <f t="shared" si="68"/>
        <v>100000</v>
      </c>
      <c r="CW90" s="301">
        <f t="shared" si="68"/>
        <v>100000</v>
      </c>
      <c r="CX90" s="301">
        <f t="shared" si="68"/>
        <v>100000</v>
      </c>
      <c r="CY90" s="301">
        <f t="shared" si="68"/>
        <v>100000</v>
      </c>
      <c r="CZ90" s="301">
        <f t="shared" si="68"/>
        <v>100000</v>
      </c>
      <c r="DA90" s="301">
        <f t="shared" si="68"/>
        <v>100000</v>
      </c>
      <c r="DB90" s="301">
        <f t="shared" si="68"/>
        <v>100000</v>
      </c>
      <c r="DC90" s="301">
        <f t="shared" si="68"/>
        <v>100000</v>
      </c>
      <c r="DD90" s="301">
        <f t="shared" si="68"/>
        <v>100000</v>
      </c>
      <c r="DE90" s="301">
        <f t="shared" si="68"/>
        <v>100000</v>
      </c>
      <c r="DF90" s="278"/>
      <c r="DG90" s="278"/>
      <c r="DH90" s="278"/>
      <c r="DI90" s="278"/>
      <c r="DJ90" s="278"/>
      <c r="DK90" s="278"/>
      <c r="DL90" s="278"/>
    </row>
    <row r="91" spans="1:134" ht="15.75" customHeight="1" x14ac:dyDescent="0.25">
      <c r="A91" s="751"/>
      <c r="B91" s="751"/>
      <c r="C91" s="321" t="s">
        <v>358</v>
      </c>
      <c r="D91" s="280" t="s">
        <v>342</v>
      </c>
      <c r="E91" s="280" t="s">
        <v>122</v>
      </c>
      <c r="F91" s="280"/>
      <c r="G91" s="411">
        <f>500000*(1+2%)^3</f>
        <v>530604</v>
      </c>
      <c r="H91" s="436">
        <f t="shared" ref="H91:DE91" si="69">G91</f>
        <v>530604</v>
      </c>
      <c r="I91" s="301">
        <f t="shared" si="69"/>
        <v>530604</v>
      </c>
      <c r="J91" s="301">
        <f t="shared" si="69"/>
        <v>530604</v>
      </c>
      <c r="K91" s="301">
        <f t="shared" si="69"/>
        <v>530604</v>
      </c>
      <c r="L91" s="301">
        <f t="shared" si="69"/>
        <v>530604</v>
      </c>
      <c r="M91" s="301">
        <f t="shared" si="69"/>
        <v>530604</v>
      </c>
      <c r="N91" s="301">
        <f t="shared" si="69"/>
        <v>530604</v>
      </c>
      <c r="O91" s="301">
        <f t="shared" si="69"/>
        <v>530604</v>
      </c>
      <c r="P91" s="301">
        <f t="shared" si="69"/>
        <v>530604</v>
      </c>
      <c r="Q91" s="301">
        <f t="shared" si="69"/>
        <v>530604</v>
      </c>
      <c r="R91" s="301">
        <f t="shared" si="69"/>
        <v>530604</v>
      </c>
      <c r="S91" s="301">
        <f t="shared" si="69"/>
        <v>530604</v>
      </c>
      <c r="T91" s="301">
        <f t="shared" si="69"/>
        <v>530604</v>
      </c>
      <c r="U91" s="301">
        <f t="shared" si="69"/>
        <v>530604</v>
      </c>
      <c r="V91" s="301">
        <f t="shared" si="69"/>
        <v>530604</v>
      </c>
      <c r="W91" s="301">
        <f t="shared" si="69"/>
        <v>530604</v>
      </c>
      <c r="X91" s="301">
        <f t="shared" si="69"/>
        <v>530604</v>
      </c>
      <c r="Y91" s="301">
        <f t="shared" si="69"/>
        <v>530604</v>
      </c>
      <c r="Z91" s="301">
        <f t="shared" si="69"/>
        <v>530604</v>
      </c>
      <c r="AA91" s="301">
        <f t="shared" si="69"/>
        <v>530604</v>
      </c>
      <c r="AB91" s="301">
        <f t="shared" si="69"/>
        <v>530604</v>
      </c>
      <c r="AC91" s="301">
        <f t="shared" si="69"/>
        <v>530604</v>
      </c>
      <c r="AD91" s="301">
        <f t="shared" si="69"/>
        <v>530604</v>
      </c>
      <c r="AE91" s="301">
        <f t="shared" si="69"/>
        <v>530604</v>
      </c>
      <c r="AF91" s="301">
        <f t="shared" si="69"/>
        <v>530604</v>
      </c>
      <c r="AG91" s="301">
        <f t="shared" si="69"/>
        <v>530604</v>
      </c>
      <c r="AH91" s="301">
        <f t="shared" si="69"/>
        <v>530604</v>
      </c>
      <c r="AI91" s="301">
        <f t="shared" si="69"/>
        <v>530604</v>
      </c>
      <c r="AJ91" s="301">
        <f t="shared" si="69"/>
        <v>530604</v>
      </c>
      <c r="AK91" s="301">
        <f t="shared" si="69"/>
        <v>530604</v>
      </c>
      <c r="AL91" s="301">
        <f t="shared" si="69"/>
        <v>530604</v>
      </c>
      <c r="AM91" s="301">
        <f t="shared" si="69"/>
        <v>530604</v>
      </c>
      <c r="AN91" s="301">
        <f t="shared" si="69"/>
        <v>530604</v>
      </c>
      <c r="AO91" s="301">
        <f t="shared" si="69"/>
        <v>530604</v>
      </c>
      <c r="AP91" s="301">
        <f t="shared" si="69"/>
        <v>530604</v>
      </c>
      <c r="AQ91" s="301">
        <f t="shared" si="69"/>
        <v>530604</v>
      </c>
      <c r="AR91" s="301">
        <f t="shared" si="69"/>
        <v>530604</v>
      </c>
      <c r="AS91" s="301">
        <f t="shared" si="69"/>
        <v>530604</v>
      </c>
      <c r="AT91" s="301">
        <f t="shared" si="69"/>
        <v>530604</v>
      </c>
      <c r="AU91" s="301">
        <f t="shared" si="69"/>
        <v>530604</v>
      </c>
      <c r="AV91" s="301">
        <f t="shared" si="69"/>
        <v>530604</v>
      </c>
      <c r="AW91" s="301">
        <f t="shared" si="69"/>
        <v>530604</v>
      </c>
      <c r="AX91" s="301">
        <f t="shared" si="69"/>
        <v>530604</v>
      </c>
      <c r="AY91" s="301">
        <f t="shared" si="69"/>
        <v>530604</v>
      </c>
      <c r="AZ91" s="301">
        <f t="shared" si="69"/>
        <v>530604</v>
      </c>
      <c r="BA91" s="301">
        <f t="shared" si="69"/>
        <v>530604</v>
      </c>
      <c r="BB91" s="301">
        <f t="shared" si="69"/>
        <v>530604</v>
      </c>
      <c r="BC91" s="301">
        <f t="shared" si="69"/>
        <v>530604</v>
      </c>
      <c r="BD91" s="301">
        <f t="shared" si="69"/>
        <v>530604</v>
      </c>
      <c r="BE91" s="301">
        <f t="shared" si="69"/>
        <v>530604</v>
      </c>
      <c r="BF91" s="301">
        <f t="shared" si="69"/>
        <v>530604</v>
      </c>
      <c r="BG91" s="301">
        <f t="shared" si="69"/>
        <v>530604</v>
      </c>
      <c r="BH91" s="301">
        <f t="shared" si="69"/>
        <v>530604</v>
      </c>
      <c r="BI91" s="301">
        <f t="shared" si="69"/>
        <v>530604</v>
      </c>
      <c r="BJ91" s="301">
        <f t="shared" si="69"/>
        <v>530604</v>
      </c>
      <c r="BK91" s="301">
        <f t="shared" si="69"/>
        <v>530604</v>
      </c>
      <c r="BL91" s="301">
        <f t="shared" si="69"/>
        <v>530604</v>
      </c>
      <c r="BM91" s="301">
        <f t="shared" si="69"/>
        <v>530604</v>
      </c>
      <c r="BN91" s="301">
        <f t="shared" si="69"/>
        <v>530604</v>
      </c>
      <c r="BO91" s="301">
        <f t="shared" si="69"/>
        <v>530604</v>
      </c>
      <c r="BP91" s="301">
        <f t="shared" si="69"/>
        <v>530604</v>
      </c>
      <c r="BQ91" s="301">
        <f t="shared" si="69"/>
        <v>530604</v>
      </c>
      <c r="BR91" s="301">
        <f t="shared" si="69"/>
        <v>530604</v>
      </c>
      <c r="BS91" s="301">
        <f t="shared" si="69"/>
        <v>530604</v>
      </c>
      <c r="BT91" s="301">
        <f t="shared" si="69"/>
        <v>530604</v>
      </c>
      <c r="BU91" s="301">
        <f t="shared" si="69"/>
        <v>530604</v>
      </c>
      <c r="BV91" s="301">
        <f t="shared" si="69"/>
        <v>530604</v>
      </c>
      <c r="BW91" s="301">
        <f t="shared" si="69"/>
        <v>530604</v>
      </c>
      <c r="BX91" s="301">
        <f t="shared" si="69"/>
        <v>530604</v>
      </c>
      <c r="BY91" s="301">
        <f t="shared" si="69"/>
        <v>530604</v>
      </c>
      <c r="BZ91" s="301">
        <f t="shared" si="69"/>
        <v>530604</v>
      </c>
      <c r="CA91" s="301">
        <f t="shared" si="69"/>
        <v>530604</v>
      </c>
      <c r="CB91" s="301">
        <f t="shared" si="69"/>
        <v>530604</v>
      </c>
      <c r="CC91" s="301">
        <f t="shared" si="69"/>
        <v>530604</v>
      </c>
      <c r="CD91" s="301">
        <f t="shared" si="69"/>
        <v>530604</v>
      </c>
      <c r="CE91" s="301">
        <f t="shared" si="69"/>
        <v>530604</v>
      </c>
      <c r="CF91" s="301">
        <f t="shared" si="69"/>
        <v>530604</v>
      </c>
      <c r="CG91" s="301">
        <f t="shared" si="69"/>
        <v>530604</v>
      </c>
      <c r="CH91" s="301">
        <f t="shared" si="69"/>
        <v>530604</v>
      </c>
      <c r="CI91" s="301">
        <f t="shared" si="69"/>
        <v>530604</v>
      </c>
      <c r="CJ91" s="301">
        <f t="shared" si="69"/>
        <v>530604</v>
      </c>
      <c r="CK91" s="301">
        <f t="shared" si="69"/>
        <v>530604</v>
      </c>
      <c r="CL91" s="301">
        <f t="shared" si="69"/>
        <v>530604</v>
      </c>
      <c r="CM91" s="301">
        <f t="shared" si="69"/>
        <v>530604</v>
      </c>
      <c r="CN91" s="301">
        <f t="shared" si="69"/>
        <v>530604</v>
      </c>
      <c r="CO91" s="301">
        <f t="shared" si="69"/>
        <v>530604</v>
      </c>
      <c r="CP91" s="301">
        <f t="shared" si="69"/>
        <v>530604</v>
      </c>
      <c r="CQ91" s="301">
        <f t="shared" si="69"/>
        <v>530604</v>
      </c>
      <c r="CR91" s="301">
        <f t="shared" si="69"/>
        <v>530604</v>
      </c>
      <c r="CS91" s="301">
        <f t="shared" si="69"/>
        <v>530604</v>
      </c>
      <c r="CT91" s="301">
        <f t="shared" si="69"/>
        <v>530604</v>
      </c>
      <c r="CU91" s="301">
        <f t="shared" si="69"/>
        <v>530604</v>
      </c>
      <c r="CV91" s="301">
        <f t="shared" si="69"/>
        <v>530604</v>
      </c>
      <c r="CW91" s="301">
        <f t="shared" si="69"/>
        <v>530604</v>
      </c>
      <c r="CX91" s="301">
        <f t="shared" si="69"/>
        <v>530604</v>
      </c>
      <c r="CY91" s="301">
        <f t="shared" si="69"/>
        <v>530604</v>
      </c>
      <c r="CZ91" s="301">
        <f t="shared" si="69"/>
        <v>530604</v>
      </c>
      <c r="DA91" s="301">
        <f t="shared" si="69"/>
        <v>530604</v>
      </c>
      <c r="DB91" s="301">
        <f t="shared" si="69"/>
        <v>530604</v>
      </c>
      <c r="DC91" s="301">
        <f t="shared" si="69"/>
        <v>530604</v>
      </c>
      <c r="DD91" s="301">
        <f t="shared" si="69"/>
        <v>530604</v>
      </c>
      <c r="DE91" s="301">
        <f t="shared" si="69"/>
        <v>530604</v>
      </c>
      <c r="DF91" s="278"/>
      <c r="DG91" s="278"/>
      <c r="DH91" s="278"/>
      <c r="DI91" s="278"/>
      <c r="DJ91" s="278"/>
      <c r="DK91" s="278"/>
      <c r="DL91" s="278"/>
    </row>
    <row r="92" spans="1:134" ht="15.75" customHeight="1" x14ac:dyDescent="0.25">
      <c r="A92" s="751"/>
      <c r="B92" s="751"/>
      <c r="C92" s="321" t="s">
        <v>347</v>
      </c>
      <c r="D92" s="280" t="s">
        <v>342</v>
      </c>
      <c r="E92" s="280" t="s">
        <v>348</v>
      </c>
      <c r="F92" s="280"/>
      <c r="G92" s="280" t="s">
        <v>359</v>
      </c>
      <c r="H92" s="436">
        <f>H86*3</f>
        <v>386472.85185600002</v>
      </c>
      <c r="I92" s="353">
        <f>H92</f>
        <v>386472.85185600002</v>
      </c>
      <c r="J92" s="353">
        <f t="shared" ref="J92:DE92" si="70">J86*3</f>
        <v>386472.85185600002</v>
      </c>
      <c r="K92" s="353">
        <f t="shared" si="70"/>
        <v>386472.85185600002</v>
      </c>
      <c r="L92" s="353">
        <f t="shared" si="70"/>
        <v>386472.85185600002</v>
      </c>
      <c r="M92" s="353">
        <f t="shared" si="70"/>
        <v>386472.85185600002</v>
      </c>
      <c r="N92" s="353">
        <f t="shared" si="70"/>
        <v>386472.85185600002</v>
      </c>
      <c r="O92" s="353">
        <f t="shared" si="70"/>
        <v>386472.85185600002</v>
      </c>
      <c r="P92" s="353">
        <f t="shared" si="70"/>
        <v>386472.85185600002</v>
      </c>
      <c r="Q92" s="353">
        <f t="shared" si="70"/>
        <v>386472.85185600002</v>
      </c>
      <c r="R92" s="353">
        <f t="shared" si="70"/>
        <v>386472.85185600002</v>
      </c>
      <c r="S92" s="353">
        <f t="shared" si="70"/>
        <v>386472.85185600002</v>
      </c>
      <c r="T92" s="353">
        <f t="shared" si="70"/>
        <v>386472.85185600002</v>
      </c>
      <c r="U92" s="353">
        <f t="shared" si="70"/>
        <v>386472.85185600002</v>
      </c>
      <c r="V92" s="353">
        <f t="shared" si="70"/>
        <v>386472.85185600002</v>
      </c>
      <c r="W92" s="353">
        <f t="shared" si="70"/>
        <v>386472.85185600002</v>
      </c>
      <c r="X92" s="353">
        <f t="shared" si="70"/>
        <v>386472.85185600002</v>
      </c>
      <c r="Y92" s="353">
        <f t="shared" si="70"/>
        <v>386472.85185600002</v>
      </c>
      <c r="Z92" s="353">
        <f t="shared" si="70"/>
        <v>386472.85185600002</v>
      </c>
      <c r="AA92" s="353">
        <f t="shared" si="70"/>
        <v>386472.85185600002</v>
      </c>
      <c r="AB92" s="353">
        <f t="shared" si="70"/>
        <v>386472.85185600002</v>
      </c>
      <c r="AC92" s="353">
        <f t="shared" si="70"/>
        <v>386472.85185600002</v>
      </c>
      <c r="AD92" s="353">
        <f t="shared" si="70"/>
        <v>386472.85185600002</v>
      </c>
      <c r="AE92" s="353">
        <f t="shared" si="70"/>
        <v>386472.85185600002</v>
      </c>
      <c r="AF92" s="353">
        <f t="shared" si="70"/>
        <v>386472.85185600002</v>
      </c>
      <c r="AG92" s="353">
        <f t="shared" si="70"/>
        <v>386472.85185600002</v>
      </c>
      <c r="AH92" s="353">
        <f t="shared" si="70"/>
        <v>386472.85185600002</v>
      </c>
      <c r="AI92" s="353">
        <f t="shared" si="70"/>
        <v>386472.85185600002</v>
      </c>
      <c r="AJ92" s="353">
        <f t="shared" si="70"/>
        <v>386472.85185600002</v>
      </c>
      <c r="AK92" s="353">
        <f t="shared" si="70"/>
        <v>386472.85185600002</v>
      </c>
      <c r="AL92" s="353">
        <f t="shared" si="70"/>
        <v>386472.85185600002</v>
      </c>
      <c r="AM92" s="353">
        <f t="shared" si="70"/>
        <v>386472.85185600002</v>
      </c>
      <c r="AN92" s="353">
        <f t="shared" si="70"/>
        <v>386472.85185600002</v>
      </c>
      <c r="AO92" s="353">
        <f t="shared" si="70"/>
        <v>386472.85185600002</v>
      </c>
      <c r="AP92" s="353">
        <f t="shared" si="70"/>
        <v>386472.85185600002</v>
      </c>
      <c r="AQ92" s="353">
        <f t="shared" si="70"/>
        <v>386472.85185600002</v>
      </c>
      <c r="AR92" s="353">
        <f t="shared" si="70"/>
        <v>386472.85185600002</v>
      </c>
      <c r="AS92" s="353">
        <f t="shared" si="70"/>
        <v>386472.85185600002</v>
      </c>
      <c r="AT92" s="353">
        <f t="shared" si="70"/>
        <v>386472.85185600002</v>
      </c>
      <c r="AU92" s="353">
        <f t="shared" si="70"/>
        <v>386472.85185600002</v>
      </c>
      <c r="AV92" s="353">
        <f t="shared" si="70"/>
        <v>386472.85185600002</v>
      </c>
      <c r="AW92" s="353">
        <f t="shared" si="70"/>
        <v>386472.85185600002</v>
      </c>
      <c r="AX92" s="353">
        <f t="shared" si="70"/>
        <v>386472.85185600002</v>
      </c>
      <c r="AY92" s="353">
        <f t="shared" si="70"/>
        <v>386472.85185600002</v>
      </c>
      <c r="AZ92" s="353">
        <f t="shared" si="70"/>
        <v>386472.85185600002</v>
      </c>
      <c r="BA92" s="353">
        <f t="shared" si="70"/>
        <v>386472.85185600002</v>
      </c>
      <c r="BB92" s="353">
        <f t="shared" si="70"/>
        <v>386472.85185600002</v>
      </c>
      <c r="BC92" s="353">
        <f t="shared" si="70"/>
        <v>386472.85185600002</v>
      </c>
      <c r="BD92" s="353">
        <f t="shared" si="70"/>
        <v>386472.85185600002</v>
      </c>
      <c r="BE92" s="353">
        <f t="shared" si="70"/>
        <v>386472.85185600002</v>
      </c>
      <c r="BF92" s="353">
        <f t="shared" si="70"/>
        <v>386472.85185600002</v>
      </c>
      <c r="BG92" s="353">
        <f t="shared" si="70"/>
        <v>386472.85185600002</v>
      </c>
      <c r="BH92" s="353">
        <f t="shared" si="70"/>
        <v>386472.85185600002</v>
      </c>
      <c r="BI92" s="353">
        <f t="shared" si="70"/>
        <v>386472.85185600002</v>
      </c>
      <c r="BJ92" s="353">
        <f t="shared" si="70"/>
        <v>386472.85185600002</v>
      </c>
      <c r="BK92" s="353">
        <f t="shared" si="70"/>
        <v>386472.85185600002</v>
      </c>
      <c r="BL92" s="353">
        <f t="shared" si="70"/>
        <v>386472.85185600002</v>
      </c>
      <c r="BM92" s="353">
        <f t="shared" si="70"/>
        <v>386472.85185600002</v>
      </c>
      <c r="BN92" s="353">
        <f t="shared" si="70"/>
        <v>386472.85185600002</v>
      </c>
      <c r="BO92" s="353">
        <f t="shared" si="70"/>
        <v>386472.85185600002</v>
      </c>
      <c r="BP92" s="353">
        <f t="shared" si="70"/>
        <v>386472.85185600002</v>
      </c>
      <c r="BQ92" s="353">
        <f t="shared" si="70"/>
        <v>386472.85185600002</v>
      </c>
      <c r="BR92" s="353">
        <f t="shared" si="70"/>
        <v>386472.85185600002</v>
      </c>
      <c r="BS92" s="353">
        <f t="shared" si="70"/>
        <v>386472.85185600002</v>
      </c>
      <c r="BT92" s="353">
        <f t="shared" si="70"/>
        <v>386472.85185600002</v>
      </c>
      <c r="BU92" s="353">
        <f t="shared" si="70"/>
        <v>386472.85185600002</v>
      </c>
      <c r="BV92" s="353">
        <f t="shared" si="70"/>
        <v>386472.85185600002</v>
      </c>
      <c r="BW92" s="353">
        <f t="shared" si="70"/>
        <v>386472.85185600002</v>
      </c>
      <c r="BX92" s="353">
        <f t="shared" si="70"/>
        <v>386472.85185600002</v>
      </c>
      <c r="BY92" s="353">
        <f t="shared" si="70"/>
        <v>386472.85185600002</v>
      </c>
      <c r="BZ92" s="353">
        <f t="shared" si="70"/>
        <v>386472.85185600002</v>
      </c>
      <c r="CA92" s="353">
        <f t="shared" si="70"/>
        <v>386472.85185600002</v>
      </c>
      <c r="CB92" s="353">
        <f t="shared" si="70"/>
        <v>386472.85185600002</v>
      </c>
      <c r="CC92" s="353">
        <f t="shared" si="70"/>
        <v>386472.85185600002</v>
      </c>
      <c r="CD92" s="353">
        <f t="shared" si="70"/>
        <v>386472.85185600002</v>
      </c>
      <c r="CE92" s="353">
        <f t="shared" si="70"/>
        <v>386472.85185600002</v>
      </c>
      <c r="CF92" s="353">
        <f t="shared" si="70"/>
        <v>386472.85185600002</v>
      </c>
      <c r="CG92" s="353">
        <f t="shared" si="70"/>
        <v>386472.85185600002</v>
      </c>
      <c r="CH92" s="353">
        <f t="shared" si="70"/>
        <v>386472.85185600002</v>
      </c>
      <c r="CI92" s="353">
        <f t="shared" si="70"/>
        <v>386472.85185600002</v>
      </c>
      <c r="CJ92" s="353">
        <f t="shared" si="70"/>
        <v>386472.85185600002</v>
      </c>
      <c r="CK92" s="353">
        <f t="shared" si="70"/>
        <v>386472.85185600002</v>
      </c>
      <c r="CL92" s="353">
        <f t="shared" si="70"/>
        <v>386472.85185600002</v>
      </c>
      <c r="CM92" s="353">
        <f t="shared" si="70"/>
        <v>386472.85185600002</v>
      </c>
      <c r="CN92" s="353">
        <f t="shared" si="70"/>
        <v>386472.85185600002</v>
      </c>
      <c r="CO92" s="353">
        <f t="shared" si="70"/>
        <v>386472.85185600002</v>
      </c>
      <c r="CP92" s="353">
        <f t="shared" si="70"/>
        <v>386472.85185600002</v>
      </c>
      <c r="CQ92" s="353">
        <f t="shared" si="70"/>
        <v>386472.85185600002</v>
      </c>
      <c r="CR92" s="353">
        <f t="shared" si="70"/>
        <v>386472.85185600002</v>
      </c>
      <c r="CS92" s="353">
        <f t="shared" si="70"/>
        <v>386472.85185600002</v>
      </c>
      <c r="CT92" s="353">
        <f t="shared" si="70"/>
        <v>386472.85185600002</v>
      </c>
      <c r="CU92" s="353">
        <f t="shared" si="70"/>
        <v>386472.85185600002</v>
      </c>
      <c r="CV92" s="353">
        <f t="shared" si="70"/>
        <v>386472.85185600002</v>
      </c>
      <c r="CW92" s="353">
        <f t="shared" si="70"/>
        <v>386472.85185600002</v>
      </c>
      <c r="CX92" s="353">
        <f t="shared" si="70"/>
        <v>386472.85185600002</v>
      </c>
      <c r="CY92" s="353">
        <f t="shared" si="70"/>
        <v>386472.85185600002</v>
      </c>
      <c r="CZ92" s="353">
        <f t="shared" si="70"/>
        <v>386472.85185600002</v>
      </c>
      <c r="DA92" s="353">
        <f t="shared" si="70"/>
        <v>386472.85185600002</v>
      </c>
      <c r="DB92" s="353">
        <f t="shared" si="70"/>
        <v>386472.85185600002</v>
      </c>
      <c r="DC92" s="353">
        <f t="shared" si="70"/>
        <v>386472.85185600002</v>
      </c>
      <c r="DD92" s="353">
        <f t="shared" si="70"/>
        <v>386472.85185600002</v>
      </c>
      <c r="DE92" s="353">
        <f t="shared" si="70"/>
        <v>386472.85185600002</v>
      </c>
      <c r="DF92" s="278"/>
      <c r="DG92" s="278"/>
      <c r="DH92" s="278"/>
      <c r="DI92" s="278"/>
      <c r="DJ92" s="278"/>
      <c r="DK92" s="278"/>
      <c r="DL92" s="278"/>
      <c r="DM92" s="221"/>
      <c r="DN92" s="221"/>
      <c r="DO92" s="221"/>
      <c r="DP92" s="221"/>
      <c r="DQ92" s="221"/>
      <c r="DR92" s="221"/>
      <c r="DS92" s="221"/>
      <c r="DT92" s="221"/>
      <c r="DU92" s="221"/>
      <c r="DV92" s="221"/>
      <c r="DW92" s="221"/>
      <c r="DX92" s="221"/>
      <c r="DY92" s="221"/>
      <c r="DZ92" s="221"/>
      <c r="EA92" s="221"/>
      <c r="EB92" s="221"/>
      <c r="EC92" s="221"/>
      <c r="ED92" s="221"/>
    </row>
    <row r="93" spans="1:134" ht="15.75" customHeight="1" x14ac:dyDescent="0.25">
      <c r="A93" s="751"/>
      <c r="B93" s="751"/>
      <c r="C93" s="347" t="s">
        <v>350</v>
      </c>
      <c r="D93" s="349" t="s">
        <v>239</v>
      </c>
      <c r="E93" s="293"/>
      <c r="F93" s="349"/>
      <c r="G93" s="444">
        <f>'Unit Costs and Indicators'!D19</f>
        <v>4.7348484848484848E-5</v>
      </c>
      <c r="H93" s="372">
        <f>H89*(H90+H91+H92)*G93</f>
        <v>0.48157047909848488</v>
      </c>
      <c r="I93" s="373">
        <f t="shared" ref="I93:DE93" si="71">I89*(I90+I91+I92)*$G$93</f>
        <v>9.2609707518939413</v>
      </c>
      <c r="J93" s="373">
        <f t="shared" si="71"/>
        <v>9.2609707518939413</v>
      </c>
      <c r="K93" s="373">
        <f t="shared" si="71"/>
        <v>9.2609707518939391E-2</v>
      </c>
      <c r="L93" s="373">
        <f t="shared" si="71"/>
        <v>9.2609707518939391E-2</v>
      </c>
      <c r="M93" s="373">
        <f t="shared" si="71"/>
        <v>9.2609707518939391E-2</v>
      </c>
      <c r="N93" s="373">
        <f t="shared" si="71"/>
        <v>9.2609707518939391E-2</v>
      </c>
      <c r="O93" s="373">
        <f t="shared" si="71"/>
        <v>9.2609707518939391E-2</v>
      </c>
      <c r="P93" s="373">
        <f t="shared" si="71"/>
        <v>9.2609707518939391E-2</v>
      </c>
      <c r="Q93" s="373">
        <f t="shared" si="71"/>
        <v>9.2609707518939391E-2</v>
      </c>
      <c r="R93" s="373">
        <f t="shared" si="71"/>
        <v>9.2609707518939391E-2</v>
      </c>
      <c r="S93" s="373">
        <f t="shared" si="71"/>
        <v>9.2609707518939391E-2</v>
      </c>
      <c r="T93" s="373">
        <f t="shared" si="71"/>
        <v>9.2609707518939391E-2</v>
      </c>
      <c r="U93" s="373">
        <f t="shared" si="71"/>
        <v>9.2609707518939391E-2</v>
      </c>
      <c r="V93" s="373">
        <f t="shared" si="71"/>
        <v>9.2609707518939391E-2</v>
      </c>
      <c r="W93" s="373">
        <f t="shared" si="71"/>
        <v>9.2609707518939391E-2</v>
      </c>
      <c r="X93" s="373">
        <f t="shared" si="71"/>
        <v>9.2609707518939391E-2</v>
      </c>
      <c r="Y93" s="373">
        <f t="shared" si="71"/>
        <v>9.2609707518939391E-2</v>
      </c>
      <c r="Z93" s="373">
        <f t="shared" si="71"/>
        <v>9.2609707518939391E-2</v>
      </c>
      <c r="AA93" s="373">
        <f t="shared" si="71"/>
        <v>9.2609707518939391E-2</v>
      </c>
      <c r="AB93" s="373">
        <f t="shared" si="71"/>
        <v>9.2609707518939391E-2</v>
      </c>
      <c r="AC93" s="373">
        <f t="shared" si="71"/>
        <v>9.2609707518939391E-2</v>
      </c>
      <c r="AD93" s="373">
        <f t="shared" si="71"/>
        <v>9.2609707518939391E-2</v>
      </c>
      <c r="AE93" s="373">
        <f t="shared" si="71"/>
        <v>9.2609707518939391E-2</v>
      </c>
      <c r="AF93" s="373">
        <f t="shared" si="71"/>
        <v>9.2609707518939391E-2</v>
      </c>
      <c r="AG93" s="373">
        <f t="shared" si="71"/>
        <v>9.2609707518939391E-2</v>
      </c>
      <c r="AH93" s="373">
        <f t="shared" si="71"/>
        <v>9.2609707518939391E-2</v>
      </c>
      <c r="AI93" s="373">
        <f t="shared" si="71"/>
        <v>9.2609707518939391E-2</v>
      </c>
      <c r="AJ93" s="373">
        <f t="shared" si="71"/>
        <v>9.2609707518939391E-2</v>
      </c>
      <c r="AK93" s="373">
        <f t="shared" si="71"/>
        <v>9.2609707518939391E-2</v>
      </c>
      <c r="AL93" s="373">
        <f t="shared" si="71"/>
        <v>9.2609707518939391E-2</v>
      </c>
      <c r="AM93" s="373">
        <f t="shared" si="71"/>
        <v>9.2609707518939391E-2</v>
      </c>
      <c r="AN93" s="373">
        <f t="shared" si="71"/>
        <v>9.2609707518939391E-2</v>
      </c>
      <c r="AO93" s="373">
        <f t="shared" si="71"/>
        <v>9.2609707518939391E-2</v>
      </c>
      <c r="AP93" s="373">
        <f t="shared" si="71"/>
        <v>9.2609707518939391E-2</v>
      </c>
      <c r="AQ93" s="373">
        <f t="shared" si="71"/>
        <v>9.2609707518939391E-2</v>
      </c>
      <c r="AR93" s="373">
        <f t="shared" si="71"/>
        <v>9.2609707518939391E-2</v>
      </c>
      <c r="AS93" s="373">
        <f t="shared" si="71"/>
        <v>9.2609707518939391E-2</v>
      </c>
      <c r="AT93" s="373">
        <f t="shared" si="71"/>
        <v>9.2609707518939391E-2</v>
      </c>
      <c r="AU93" s="373">
        <f t="shared" si="71"/>
        <v>9.2609707518939391E-2</v>
      </c>
      <c r="AV93" s="373">
        <f t="shared" si="71"/>
        <v>9.2609707518939391E-2</v>
      </c>
      <c r="AW93" s="373">
        <f t="shared" si="71"/>
        <v>9.2609707518939391E-2</v>
      </c>
      <c r="AX93" s="373">
        <f t="shared" si="71"/>
        <v>9.2609707518939391E-2</v>
      </c>
      <c r="AY93" s="373">
        <f t="shared" si="71"/>
        <v>9.2609707518939391E-2</v>
      </c>
      <c r="AZ93" s="373">
        <f t="shared" si="71"/>
        <v>9.2609707518939391E-2</v>
      </c>
      <c r="BA93" s="373">
        <f t="shared" si="71"/>
        <v>9.2609707518939391E-2</v>
      </c>
      <c r="BB93" s="373">
        <f t="shared" si="71"/>
        <v>9.2609707518939391E-2</v>
      </c>
      <c r="BC93" s="373">
        <f t="shared" si="71"/>
        <v>9.2609707518939391E-2</v>
      </c>
      <c r="BD93" s="373">
        <f t="shared" si="71"/>
        <v>9.2609707518939391E-2</v>
      </c>
      <c r="BE93" s="373">
        <f t="shared" si="71"/>
        <v>9.2609707518939391E-2</v>
      </c>
      <c r="BF93" s="373">
        <f t="shared" si="71"/>
        <v>9.2609707518939391E-2</v>
      </c>
      <c r="BG93" s="373">
        <f t="shared" si="71"/>
        <v>9.2609707518939391E-2</v>
      </c>
      <c r="BH93" s="373">
        <f t="shared" si="71"/>
        <v>9.2609707518939391E-2</v>
      </c>
      <c r="BI93" s="373">
        <f t="shared" si="71"/>
        <v>9.2609707518939391E-2</v>
      </c>
      <c r="BJ93" s="373">
        <f t="shared" si="71"/>
        <v>9.2609707518939391E-2</v>
      </c>
      <c r="BK93" s="373">
        <f t="shared" si="71"/>
        <v>9.2609707518939391E-2</v>
      </c>
      <c r="BL93" s="373">
        <f t="shared" si="71"/>
        <v>9.2609707518939391E-2</v>
      </c>
      <c r="BM93" s="373">
        <f t="shared" si="71"/>
        <v>9.2609707518939391E-2</v>
      </c>
      <c r="BN93" s="373">
        <f t="shared" si="71"/>
        <v>9.2609707518939391E-2</v>
      </c>
      <c r="BO93" s="373">
        <f t="shared" si="71"/>
        <v>9.2609707518939391E-2</v>
      </c>
      <c r="BP93" s="373">
        <f t="shared" si="71"/>
        <v>9.2609707518939391E-2</v>
      </c>
      <c r="BQ93" s="373">
        <f t="shared" si="71"/>
        <v>9.2609707518939391E-2</v>
      </c>
      <c r="BR93" s="373">
        <f t="shared" si="71"/>
        <v>9.2609707518939391E-2</v>
      </c>
      <c r="BS93" s="373">
        <f t="shared" si="71"/>
        <v>9.2609707518939391E-2</v>
      </c>
      <c r="BT93" s="373">
        <f t="shared" si="71"/>
        <v>9.2609707518939391E-2</v>
      </c>
      <c r="BU93" s="373">
        <f t="shared" si="71"/>
        <v>9.2609707518939391E-2</v>
      </c>
      <c r="BV93" s="373">
        <f t="shared" si="71"/>
        <v>9.2609707518939391E-2</v>
      </c>
      <c r="BW93" s="373">
        <f t="shared" si="71"/>
        <v>9.2609707518939391E-2</v>
      </c>
      <c r="BX93" s="373">
        <f t="shared" si="71"/>
        <v>9.2609707518939391E-2</v>
      </c>
      <c r="BY93" s="373">
        <f t="shared" si="71"/>
        <v>9.2609707518939391E-2</v>
      </c>
      <c r="BZ93" s="373">
        <f t="shared" si="71"/>
        <v>9.2609707518939391E-2</v>
      </c>
      <c r="CA93" s="373">
        <f t="shared" si="71"/>
        <v>9.2609707518939391E-2</v>
      </c>
      <c r="CB93" s="373">
        <f t="shared" si="71"/>
        <v>9.2609707518939391E-2</v>
      </c>
      <c r="CC93" s="373">
        <f t="shared" si="71"/>
        <v>9.2609707518939391E-2</v>
      </c>
      <c r="CD93" s="373">
        <f t="shared" si="71"/>
        <v>9.2609707518939391E-2</v>
      </c>
      <c r="CE93" s="373">
        <f t="shared" si="71"/>
        <v>9.2609707518939391E-2</v>
      </c>
      <c r="CF93" s="373">
        <f t="shared" si="71"/>
        <v>9.2609707518939391E-2</v>
      </c>
      <c r="CG93" s="373">
        <f t="shared" si="71"/>
        <v>9.2609707518939391E-2</v>
      </c>
      <c r="CH93" s="373">
        <f t="shared" si="71"/>
        <v>9.2609707518939391E-2</v>
      </c>
      <c r="CI93" s="373">
        <f t="shared" si="71"/>
        <v>9.2609707518939391E-2</v>
      </c>
      <c r="CJ93" s="373">
        <f t="shared" si="71"/>
        <v>9.2609707518939391E-2</v>
      </c>
      <c r="CK93" s="373">
        <f t="shared" si="71"/>
        <v>9.2609707518939391E-2</v>
      </c>
      <c r="CL93" s="373">
        <f t="shared" si="71"/>
        <v>9.2609707518939391E-2</v>
      </c>
      <c r="CM93" s="373">
        <f t="shared" si="71"/>
        <v>9.2609707518939391E-2</v>
      </c>
      <c r="CN93" s="373">
        <f t="shared" si="71"/>
        <v>9.2609707518939391E-2</v>
      </c>
      <c r="CO93" s="373">
        <f t="shared" si="71"/>
        <v>9.2609707518939391E-2</v>
      </c>
      <c r="CP93" s="373">
        <f t="shared" si="71"/>
        <v>9.2609707518939391E-2</v>
      </c>
      <c r="CQ93" s="373">
        <f t="shared" si="71"/>
        <v>9.2609707518939391E-2</v>
      </c>
      <c r="CR93" s="373">
        <f t="shared" si="71"/>
        <v>9.2609707518939391E-2</v>
      </c>
      <c r="CS93" s="373">
        <f t="shared" si="71"/>
        <v>9.2609707518939391E-2</v>
      </c>
      <c r="CT93" s="373">
        <f t="shared" si="71"/>
        <v>9.2609707518939391E-2</v>
      </c>
      <c r="CU93" s="373">
        <f t="shared" si="71"/>
        <v>9.2609707518939391E-2</v>
      </c>
      <c r="CV93" s="373">
        <f t="shared" si="71"/>
        <v>9.2609707518939391E-2</v>
      </c>
      <c r="CW93" s="373">
        <f t="shared" si="71"/>
        <v>9.2609707518939391E-2</v>
      </c>
      <c r="CX93" s="373">
        <f t="shared" si="71"/>
        <v>9.2609707518939391E-2</v>
      </c>
      <c r="CY93" s="373">
        <f t="shared" si="71"/>
        <v>9.2609707518939391E-2</v>
      </c>
      <c r="CZ93" s="373">
        <f t="shared" si="71"/>
        <v>9.2609707518939391E-2</v>
      </c>
      <c r="DA93" s="373">
        <f t="shared" si="71"/>
        <v>9.2609707518939391E-2</v>
      </c>
      <c r="DB93" s="373">
        <f t="shared" si="71"/>
        <v>9.2609707518939391E-2</v>
      </c>
      <c r="DC93" s="373">
        <f t="shared" si="71"/>
        <v>9.2609707518939391E-2</v>
      </c>
      <c r="DD93" s="373">
        <f t="shared" si="71"/>
        <v>9.2609707518939391E-2</v>
      </c>
      <c r="DE93" s="373">
        <f t="shared" si="71"/>
        <v>9.2609707518939391E-2</v>
      </c>
      <c r="DF93" s="278"/>
      <c r="DG93" s="278"/>
      <c r="DH93" s="278"/>
      <c r="DI93" s="278"/>
      <c r="DJ93" s="278"/>
      <c r="DK93" s="278"/>
      <c r="DL93" s="278"/>
      <c r="DM93" s="221"/>
      <c r="DN93" s="221"/>
      <c r="DO93" s="221"/>
      <c r="DP93" s="221"/>
      <c r="DQ93" s="221"/>
      <c r="DR93" s="221"/>
      <c r="DS93" s="221"/>
      <c r="DT93" s="221"/>
      <c r="DU93" s="221"/>
      <c r="DV93" s="221"/>
      <c r="DW93" s="221"/>
      <c r="DX93" s="221"/>
      <c r="DY93" s="221"/>
      <c r="DZ93" s="221"/>
      <c r="EA93" s="221"/>
      <c r="EB93" s="221"/>
      <c r="EC93" s="221"/>
      <c r="ED93" s="221"/>
    </row>
    <row r="94" spans="1:134" ht="15.75" customHeight="1" x14ac:dyDescent="0.25">
      <c r="A94" s="751"/>
      <c r="B94" s="354"/>
      <c r="C94" s="355" t="s">
        <v>244</v>
      </c>
      <c r="D94" s="356" t="s">
        <v>247</v>
      </c>
      <c r="E94" s="357"/>
      <c r="F94" s="316" t="s">
        <v>14</v>
      </c>
      <c r="G94" s="317">
        <f t="array" ref="G94">NPV($C$4, J94:DE94)+I94</f>
        <v>22.298611252923134</v>
      </c>
      <c r="H94" s="445">
        <f t="shared" ref="H94:I94" si="72">H93</f>
        <v>0.48157047909848488</v>
      </c>
      <c r="I94" s="446">
        <f t="shared" si="72"/>
        <v>9.2609707518939413</v>
      </c>
      <c r="J94" s="446">
        <f t="shared" ref="J94:DE94" si="73">J93*(1 + $C$3)^(J5 - $I$5)</f>
        <v>9.4461901669318209</v>
      </c>
      <c r="K94" s="446">
        <f t="shared" si="73"/>
        <v>9.6351139702704536E-2</v>
      </c>
      <c r="L94" s="446">
        <f t="shared" si="73"/>
        <v>9.8278162496758623E-2</v>
      </c>
      <c r="M94" s="446">
        <f t="shared" si="73"/>
        <v>0.10024372574669381</v>
      </c>
      <c r="N94" s="446">
        <f t="shared" si="73"/>
        <v>0.10224860026162769</v>
      </c>
      <c r="O94" s="446">
        <f t="shared" si="73"/>
        <v>0.10429357226686024</v>
      </c>
      <c r="P94" s="446">
        <f t="shared" si="73"/>
        <v>0.10637944371219743</v>
      </c>
      <c r="Q94" s="446">
        <f t="shared" si="73"/>
        <v>0.10850703258644138</v>
      </c>
      <c r="R94" s="446">
        <f t="shared" si="73"/>
        <v>0.11067717323817021</v>
      </c>
      <c r="S94" s="446">
        <f t="shared" si="73"/>
        <v>0.11289071670293362</v>
      </c>
      <c r="T94" s="446">
        <f t="shared" si="73"/>
        <v>0.11514853103699227</v>
      </c>
      <c r="U94" s="446">
        <f t="shared" si="73"/>
        <v>0.11745150165773213</v>
      </c>
      <c r="V94" s="446">
        <f t="shared" si="73"/>
        <v>0.11980053169088677</v>
      </c>
      <c r="W94" s="446">
        <f t="shared" si="73"/>
        <v>0.12219654232470452</v>
      </c>
      <c r="X94" s="446">
        <f t="shared" si="73"/>
        <v>0.12464047317119857</v>
      </c>
      <c r="Y94" s="446">
        <f t="shared" si="73"/>
        <v>0.12713328263462256</v>
      </c>
      <c r="Z94" s="446">
        <f t="shared" si="73"/>
        <v>0.12967594828731502</v>
      </c>
      <c r="AA94" s="446">
        <f t="shared" si="73"/>
        <v>0.13226946725306132</v>
      </c>
      <c r="AB94" s="446">
        <f t="shared" si="73"/>
        <v>0.13491485659812252</v>
      </c>
      <c r="AC94" s="446">
        <f t="shared" si="73"/>
        <v>0.13761315373008501</v>
      </c>
      <c r="AD94" s="446">
        <f t="shared" si="73"/>
        <v>0.1403654168046867</v>
      </c>
      <c r="AE94" s="446">
        <f t="shared" si="73"/>
        <v>0.14317272514078044</v>
      </c>
      <c r="AF94" s="446">
        <f t="shared" si="73"/>
        <v>0.14603617964359603</v>
      </c>
      <c r="AG94" s="446">
        <f t="shared" si="73"/>
        <v>0.14895690323646793</v>
      </c>
      <c r="AH94" s="446">
        <f t="shared" si="73"/>
        <v>0.15193604130119731</v>
      </c>
      <c r="AI94" s="446">
        <f t="shared" si="73"/>
        <v>0.15497476212722128</v>
      </c>
      <c r="AJ94" s="446">
        <f t="shared" si="73"/>
        <v>0.15807425736976566</v>
      </c>
      <c r="AK94" s="446">
        <f t="shared" si="73"/>
        <v>0.161235742517161</v>
      </c>
      <c r="AL94" s="446">
        <f t="shared" si="73"/>
        <v>0.1644604573675042</v>
      </c>
      <c r="AM94" s="446">
        <f t="shared" si="73"/>
        <v>0.16774966651485429</v>
      </c>
      <c r="AN94" s="446">
        <f t="shared" si="73"/>
        <v>0.17110465984515136</v>
      </c>
      <c r="AO94" s="446">
        <f t="shared" si="73"/>
        <v>0.17452675304205442</v>
      </c>
      <c r="AP94" s="446">
        <f t="shared" si="73"/>
        <v>0.17801728810289552</v>
      </c>
      <c r="AQ94" s="446">
        <f t="shared" si="73"/>
        <v>0.1815776338649534</v>
      </c>
      <c r="AR94" s="446">
        <f t="shared" si="73"/>
        <v>0.18520918654225246</v>
      </c>
      <c r="AS94" s="446">
        <f t="shared" si="73"/>
        <v>0.18891337027309751</v>
      </c>
      <c r="AT94" s="446">
        <f t="shared" si="73"/>
        <v>0.19269163767855949</v>
      </c>
      <c r="AU94" s="446">
        <f t="shared" si="73"/>
        <v>0.19654547043213069</v>
      </c>
      <c r="AV94" s="446">
        <f t="shared" si="73"/>
        <v>0.20047637984077324</v>
      </c>
      <c r="AW94" s="446">
        <f t="shared" si="73"/>
        <v>0.20448590743758874</v>
      </c>
      <c r="AX94" s="446">
        <f t="shared" si="73"/>
        <v>0.20857562558634052</v>
      </c>
      <c r="AY94" s="446">
        <f t="shared" si="73"/>
        <v>0.21274713809806731</v>
      </c>
      <c r="AZ94" s="446">
        <f t="shared" si="73"/>
        <v>0.21700208086002865</v>
      </c>
      <c r="BA94" s="446">
        <f t="shared" si="73"/>
        <v>0.22134212247722926</v>
      </c>
      <c r="BB94" s="446">
        <f t="shared" si="73"/>
        <v>0.22576896492677381</v>
      </c>
      <c r="BC94" s="446">
        <f t="shared" si="73"/>
        <v>0.23028434422530933</v>
      </c>
      <c r="BD94" s="446">
        <f t="shared" si="73"/>
        <v>0.23489003110981543</v>
      </c>
      <c r="BE94" s="446">
        <f t="shared" si="73"/>
        <v>0.23958783173201179</v>
      </c>
      <c r="BF94" s="446">
        <f t="shared" si="73"/>
        <v>0.24437958836665202</v>
      </c>
      <c r="BG94" s="446">
        <f t="shared" si="73"/>
        <v>0.24926718013398508</v>
      </c>
      <c r="BH94" s="446">
        <f t="shared" si="73"/>
        <v>0.25425252373666474</v>
      </c>
      <c r="BI94" s="446">
        <f t="shared" si="73"/>
        <v>0.25933757421139808</v>
      </c>
      <c r="BJ94" s="446">
        <f t="shared" si="73"/>
        <v>0.26452432569562601</v>
      </c>
      <c r="BK94" s="446">
        <f t="shared" si="73"/>
        <v>0.26981481220953857</v>
      </c>
      <c r="BL94" s="446">
        <f t="shared" si="73"/>
        <v>0.27521110845372926</v>
      </c>
      <c r="BM94" s="446">
        <f t="shared" si="73"/>
        <v>0.28071533062280385</v>
      </c>
      <c r="BN94" s="446">
        <f t="shared" si="73"/>
        <v>0.28632963723525995</v>
      </c>
      <c r="BO94" s="446">
        <f t="shared" si="73"/>
        <v>0.29205622997996517</v>
      </c>
      <c r="BP94" s="446">
        <f t="shared" si="73"/>
        <v>0.2978973545795644</v>
      </c>
      <c r="BQ94" s="446">
        <f t="shared" si="73"/>
        <v>0.30385530167115576</v>
      </c>
      <c r="BR94" s="446">
        <f t="shared" si="73"/>
        <v>0.30993240770457886</v>
      </c>
      <c r="BS94" s="446">
        <f t="shared" si="73"/>
        <v>0.31613105585867046</v>
      </c>
      <c r="BT94" s="446">
        <f t="shared" si="73"/>
        <v>0.32245367697584376</v>
      </c>
      <c r="BU94" s="446">
        <f t="shared" si="73"/>
        <v>0.32890275051536072</v>
      </c>
      <c r="BV94" s="446">
        <f t="shared" si="73"/>
        <v>0.33548080552566795</v>
      </c>
      <c r="BW94" s="446">
        <f t="shared" si="73"/>
        <v>0.3421904216361813</v>
      </c>
      <c r="BX94" s="446">
        <f t="shared" si="73"/>
        <v>0.34903423006890488</v>
      </c>
      <c r="BY94" s="446">
        <f t="shared" si="73"/>
        <v>0.35601491467028301</v>
      </c>
      <c r="BZ94" s="446">
        <f t="shared" si="73"/>
        <v>0.36313521296368867</v>
      </c>
      <c r="CA94" s="446">
        <f t="shared" si="73"/>
        <v>0.37039791722296245</v>
      </c>
      <c r="CB94" s="446">
        <f t="shared" si="73"/>
        <v>0.37780587556742168</v>
      </c>
      <c r="CC94" s="446">
        <f t="shared" si="73"/>
        <v>0.38536199307877012</v>
      </c>
      <c r="CD94" s="446">
        <f t="shared" si="73"/>
        <v>0.39306923294034551</v>
      </c>
      <c r="CE94" s="446">
        <f t="shared" si="73"/>
        <v>0.40093061759915244</v>
      </c>
      <c r="CF94" s="446">
        <f t="shared" si="73"/>
        <v>0.40894922995113542</v>
      </c>
      <c r="CG94" s="446">
        <f t="shared" si="73"/>
        <v>0.41712821455015819</v>
      </c>
      <c r="CH94" s="446">
        <f t="shared" si="73"/>
        <v>0.42547077884116136</v>
      </c>
      <c r="CI94" s="446">
        <f t="shared" si="73"/>
        <v>0.43398019441798463</v>
      </c>
      <c r="CJ94" s="446">
        <f t="shared" si="73"/>
        <v>0.44265979830634417</v>
      </c>
      <c r="CK94" s="446">
        <f t="shared" si="73"/>
        <v>0.45151299427247116</v>
      </c>
      <c r="CL94" s="446">
        <f t="shared" si="73"/>
        <v>0.46054325415792052</v>
      </c>
      <c r="CM94" s="446">
        <f t="shared" si="73"/>
        <v>0.4697541192410789</v>
      </c>
      <c r="CN94" s="446">
        <f t="shared" si="73"/>
        <v>0.47914920162590052</v>
      </c>
      <c r="CO94" s="446">
        <f t="shared" si="73"/>
        <v>0.48873218565841853</v>
      </c>
      <c r="CP94" s="446">
        <f t="shared" si="73"/>
        <v>0.49850682937158691</v>
      </c>
      <c r="CQ94" s="446">
        <f t="shared" si="73"/>
        <v>0.5084769659590187</v>
      </c>
      <c r="CR94" s="446">
        <f t="shared" si="73"/>
        <v>0.51864650527819889</v>
      </c>
      <c r="CS94" s="446">
        <f t="shared" si="73"/>
        <v>0.52901943538376295</v>
      </c>
      <c r="CT94" s="446">
        <f t="shared" si="73"/>
        <v>0.53959982409143825</v>
      </c>
      <c r="CU94" s="446">
        <f t="shared" si="73"/>
        <v>0.55039182057326708</v>
      </c>
      <c r="CV94" s="446">
        <f t="shared" si="73"/>
        <v>0.56139965698473226</v>
      </c>
      <c r="CW94" s="446">
        <f t="shared" si="73"/>
        <v>0.57262765012442707</v>
      </c>
      <c r="CX94" s="446">
        <f t="shared" si="73"/>
        <v>0.58408020312691555</v>
      </c>
      <c r="CY94" s="446">
        <f t="shared" si="73"/>
        <v>0.59576180718945382</v>
      </c>
      <c r="CZ94" s="446">
        <f t="shared" si="73"/>
        <v>0.60767704333324279</v>
      </c>
      <c r="DA94" s="446">
        <f t="shared" si="73"/>
        <v>0.61983058419990777</v>
      </c>
      <c r="DB94" s="446">
        <f t="shared" si="73"/>
        <v>0.63222719588390597</v>
      </c>
      <c r="DC94" s="446">
        <f t="shared" si="73"/>
        <v>0.64487173980158397</v>
      </c>
      <c r="DD94" s="446">
        <f t="shared" si="73"/>
        <v>0.65776917459761575</v>
      </c>
      <c r="DE94" s="446">
        <f t="shared" si="73"/>
        <v>0.67092455808956797</v>
      </c>
      <c r="DF94" s="447"/>
      <c r="DG94" s="447"/>
      <c r="DH94" s="447"/>
      <c r="DI94" s="447"/>
      <c r="DJ94" s="447"/>
      <c r="DK94" s="447"/>
      <c r="DL94" s="447"/>
      <c r="DM94" s="221"/>
      <c r="DN94" s="221"/>
      <c r="DO94" s="221"/>
      <c r="DP94" s="221"/>
      <c r="DQ94" s="221"/>
      <c r="DR94" s="221"/>
      <c r="DS94" s="221"/>
      <c r="DT94" s="221"/>
      <c r="DU94" s="221"/>
      <c r="DV94" s="221"/>
      <c r="DW94" s="221"/>
      <c r="DX94" s="221"/>
      <c r="DY94" s="221"/>
      <c r="DZ94" s="221"/>
      <c r="EA94" s="221"/>
      <c r="EB94" s="221"/>
      <c r="EC94" s="221"/>
      <c r="ED94" s="221"/>
    </row>
    <row r="95" spans="1:134" ht="15.75" customHeight="1" x14ac:dyDescent="0.25">
      <c r="A95" s="448"/>
      <c r="B95" s="449"/>
      <c r="C95" s="450" t="s">
        <v>361</v>
      </c>
      <c r="D95" s="314" t="s">
        <v>247</v>
      </c>
      <c r="E95" s="451"/>
      <c r="F95" s="316" t="s">
        <v>14</v>
      </c>
      <c r="G95" s="317">
        <f t="array" ref="G95">NPV($C$4, J95:DE95)+I95</f>
        <v>12726125.757882133</v>
      </c>
      <c r="H95" s="452">
        <f t="shared" ref="H95:DL95" si="74">H75+H80+H82+H88+H94</f>
        <v>85694.578790416024</v>
      </c>
      <c r="I95" s="452">
        <f t="shared" si="74"/>
        <v>4566228.6683567008</v>
      </c>
      <c r="J95" s="452">
        <f t="shared" si="74"/>
        <v>4680403.9708221341</v>
      </c>
      <c r="K95" s="452">
        <f t="shared" si="74"/>
        <v>89157.712127478851</v>
      </c>
      <c r="L95" s="452">
        <f t="shared" si="74"/>
        <v>90940.866370028423</v>
      </c>
      <c r="M95" s="452">
        <f t="shared" si="74"/>
        <v>92759.683697428991</v>
      </c>
      <c r="N95" s="452">
        <f t="shared" si="74"/>
        <v>94614.877371377574</v>
      </c>
      <c r="O95" s="452">
        <f t="shared" si="74"/>
        <v>96507.174918805133</v>
      </c>
      <c r="P95" s="452">
        <f t="shared" si="74"/>
        <v>98437.318417181203</v>
      </c>
      <c r="Q95" s="452">
        <f t="shared" si="74"/>
        <v>100406.06478552487</v>
      </c>
      <c r="R95" s="452">
        <f t="shared" si="74"/>
        <v>102414.18608123534</v>
      </c>
      <c r="S95" s="452">
        <f t="shared" si="74"/>
        <v>104462.46980286005</v>
      </c>
      <c r="T95" s="452">
        <f t="shared" si="74"/>
        <v>106551.71919891724</v>
      </c>
      <c r="U95" s="452">
        <f t="shared" si="74"/>
        <v>108682.7535828956</v>
      </c>
      <c r="V95" s="452">
        <f t="shared" si="74"/>
        <v>110856.4086545535</v>
      </c>
      <c r="W95" s="452">
        <f t="shared" si="74"/>
        <v>113073.5368276446</v>
      </c>
      <c r="X95" s="452">
        <f t="shared" si="74"/>
        <v>115335.00756419744</v>
      </c>
      <c r="Y95" s="452">
        <f t="shared" si="74"/>
        <v>117641.7077154814</v>
      </c>
      <c r="Z95" s="452">
        <f t="shared" si="74"/>
        <v>119994.54186979106</v>
      </c>
      <c r="AA95" s="452">
        <f t="shared" si="74"/>
        <v>122394.43270718686</v>
      </c>
      <c r="AB95" s="452">
        <f t="shared" si="74"/>
        <v>124842.32136133059</v>
      </c>
      <c r="AC95" s="452">
        <f t="shared" si="74"/>
        <v>127339.16778855723</v>
      </c>
      <c r="AD95" s="452">
        <f t="shared" si="74"/>
        <v>129885.95114432837</v>
      </c>
      <c r="AE95" s="452">
        <f t="shared" si="74"/>
        <v>132483.67016721491</v>
      </c>
      <c r="AF95" s="452">
        <f t="shared" si="74"/>
        <v>135133.3435705592</v>
      </c>
      <c r="AG95" s="452">
        <f t="shared" si="74"/>
        <v>137836.01044197037</v>
      </c>
      <c r="AH95" s="452">
        <f t="shared" si="74"/>
        <v>140592.7306508098</v>
      </c>
      <c r="AI95" s="452">
        <f t="shared" si="74"/>
        <v>143404.58526382601</v>
      </c>
      <c r="AJ95" s="452">
        <f t="shared" si="74"/>
        <v>146272.6769691025</v>
      </c>
      <c r="AK95" s="452">
        <f t="shared" si="74"/>
        <v>149198.13050848458</v>
      </c>
      <c r="AL95" s="452">
        <f t="shared" si="74"/>
        <v>152182.09311865427</v>
      </c>
      <c r="AM95" s="452">
        <f t="shared" si="74"/>
        <v>155225.73498102734</v>
      </c>
      <c r="AN95" s="452">
        <f t="shared" si="74"/>
        <v>158330.24968064789</v>
      </c>
      <c r="AO95" s="452">
        <f t="shared" si="74"/>
        <v>161496.85467426086</v>
      </c>
      <c r="AP95" s="452">
        <f t="shared" si="74"/>
        <v>164726.79176774606</v>
      </c>
      <c r="AQ95" s="452">
        <f t="shared" si="74"/>
        <v>168021.32760310097</v>
      </c>
      <c r="AR95" s="452">
        <f t="shared" si="74"/>
        <v>171381.75415516301</v>
      </c>
      <c r="AS95" s="452">
        <f t="shared" si="74"/>
        <v>174809.38923826625</v>
      </c>
      <c r="AT95" s="452">
        <f t="shared" si="74"/>
        <v>178305.57702303157</v>
      </c>
      <c r="AU95" s="452">
        <f t="shared" si="74"/>
        <v>181871.68856349224</v>
      </c>
      <c r="AV95" s="452">
        <f t="shared" si="74"/>
        <v>185509.12233476201</v>
      </c>
      <c r="AW95" s="452">
        <f t="shared" si="74"/>
        <v>189219.30478145729</v>
      </c>
      <c r="AX95" s="452">
        <f t="shared" si="74"/>
        <v>193003.69087708645</v>
      </c>
      <c r="AY95" s="452">
        <f t="shared" si="74"/>
        <v>196863.76469462819</v>
      </c>
      <c r="AZ95" s="452">
        <f t="shared" si="74"/>
        <v>200801.03998852073</v>
      </c>
      <c r="BA95" s="452">
        <f t="shared" si="74"/>
        <v>204817.06078829119</v>
      </c>
      <c r="BB95" s="452">
        <f t="shared" si="74"/>
        <v>208913.40200405696</v>
      </c>
      <c r="BC95" s="452">
        <f t="shared" si="74"/>
        <v>213091.67004413815</v>
      </c>
      <c r="BD95" s="452">
        <f t="shared" si="74"/>
        <v>217353.50344502085</v>
      </c>
      <c r="BE95" s="452">
        <f t="shared" si="74"/>
        <v>221700.57351392129</v>
      </c>
      <c r="BF95" s="452">
        <f t="shared" si="74"/>
        <v>226134.58498419973</v>
      </c>
      <c r="BG95" s="452">
        <f t="shared" si="74"/>
        <v>230657.27668388374</v>
      </c>
      <c r="BH95" s="452">
        <f t="shared" si="74"/>
        <v>235270.42221756137</v>
      </c>
      <c r="BI95" s="452">
        <f t="shared" si="74"/>
        <v>239975.83066191265</v>
      </c>
      <c r="BJ95" s="452">
        <f t="shared" si="74"/>
        <v>244775.34727515085</v>
      </c>
      <c r="BK95" s="452">
        <f t="shared" si="74"/>
        <v>249670.85422065388</v>
      </c>
      <c r="BL95" s="452">
        <f t="shared" si="74"/>
        <v>254664.27130506691</v>
      </c>
      <c r="BM95" s="452">
        <f t="shared" si="74"/>
        <v>259757.55673116827</v>
      </c>
      <c r="BN95" s="452">
        <f t="shared" si="74"/>
        <v>264952.70786579157</v>
      </c>
      <c r="BO95" s="452">
        <f t="shared" si="74"/>
        <v>270251.7620231075</v>
      </c>
      <c r="BP95" s="452">
        <f t="shared" si="74"/>
        <v>275656.79726356961</v>
      </c>
      <c r="BQ95" s="452">
        <f t="shared" si="74"/>
        <v>281169.93320884113</v>
      </c>
      <c r="BR95" s="452">
        <f t="shared" si="74"/>
        <v>286793.33187301783</v>
      </c>
      <c r="BS95" s="452">
        <f t="shared" si="74"/>
        <v>292529.19851047825</v>
      </c>
      <c r="BT95" s="452">
        <f t="shared" si="74"/>
        <v>298379.78248068766</v>
      </c>
      <c r="BU95" s="452">
        <f t="shared" si="74"/>
        <v>304347.37813030154</v>
      </c>
      <c r="BV95" s="452">
        <f t="shared" si="74"/>
        <v>310434.32569290762</v>
      </c>
      <c r="BW95" s="452">
        <f t="shared" si="74"/>
        <v>316643.01220676571</v>
      </c>
      <c r="BX95" s="452">
        <f t="shared" si="74"/>
        <v>322975.87245090096</v>
      </c>
      <c r="BY95" s="452">
        <f t="shared" si="74"/>
        <v>329435.3898999191</v>
      </c>
      <c r="BZ95" s="452">
        <f t="shared" si="74"/>
        <v>336024.09769791743</v>
      </c>
      <c r="CA95" s="452">
        <f t="shared" si="74"/>
        <v>342744.57965187577</v>
      </c>
      <c r="CB95" s="452">
        <f t="shared" si="74"/>
        <v>349599.47124491323</v>
      </c>
      <c r="CC95" s="452">
        <f t="shared" si="74"/>
        <v>356591.46066981158</v>
      </c>
      <c r="CD95" s="452">
        <f t="shared" si="74"/>
        <v>363723.2898832077</v>
      </c>
      <c r="CE95" s="452">
        <f t="shared" si="74"/>
        <v>370997.75568087195</v>
      </c>
      <c r="CF95" s="452">
        <f t="shared" si="74"/>
        <v>378417.71079448931</v>
      </c>
      <c r="CG95" s="452">
        <f t="shared" si="74"/>
        <v>385986.06501037913</v>
      </c>
      <c r="CH95" s="452">
        <f t="shared" si="74"/>
        <v>393705.78631058673</v>
      </c>
      <c r="CI95" s="452">
        <f t="shared" si="74"/>
        <v>401579.90203679854</v>
      </c>
      <c r="CJ95" s="452">
        <f t="shared" si="74"/>
        <v>409611.50007753435</v>
      </c>
      <c r="CK95" s="452">
        <f t="shared" si="74"/>
        <v>417803.7300790851</v>
      </c>
      <c r="CL95" s="452">
        <f t="shared" si="74"/>
        <v>426159.80468066683</v>
      </c>
      <c r="CM95" s="452">
        <f t="shared" si="74"/>
        <v>434683.00077428005</v>
      </c>
      <c r="CN95" s="452">
        <f t="shared" si="74"/>
        <v>443376.66078976577</v>
      </c>
      <c r="CO95" s="452">
        <f t="shared" si="74"/>
        <v>452244.194005561</v>
      </c>
      <c r="CP95" s="452">
        <f t="shared" si="74"/>
        <v>461289.07788567228</v>
      </c>
      <c r="CQ95" s="452">
        <f t="shared" si="74"/>
        <v>470514.85944338574</v>
      </c>
      <c r="CR95" s="452">
        <f t="shared" si="74"/>
        <v>479925.15663225332</v>
      </c>
      <c r="CS95" s="452">
        <f t="shared" si="74"/>
        <v>489523.65976489842</v>
      </c>
      <c r="CT95" s="452">
        <f t="shared" si="74"/>
        <v>499314.13296019641</v>
      </c>
      <c r="CU95" s="452">
        <f t="shared" si="74"/>
        <v>509300.41561940033</v>
      </c>
      <c r="CV95" s="452">
        <f t="shared" si="74"/>
        <v>519486.4239317883</v>
      </c>
      <c r="CW95" s="452">
        <f t="shared" si="74"/>
        <v>529876.1524104242</v>
      </c>
      <c r="CX95" s="452">
        <f t="shared" si="74"/>
        <v>540473.67545863264</v>
      </c>
      <c r="CY95" s="452">
        <f t="shared" si="74"/>
        <v>551283.14896780532</v>
      </c>
      <c r="CZ95" s="452">
        <f t="shared" si="74"/>
        <v>562308.81194716122</v>
      </c>
      <c r="DA95" s="452">
        <f t="shared" si="74"/>
        <v>573554.98818610446</v>
      </c>
      <c r="DB95" s="452">
        <f t="shared" si="74"/>
        <v>585026.08794982673</v>
      </c>
      <c r="DC95" s="452">
        <f t="shared" si="74"/>
        <v>596726.60970882315</v>
      </c>
      <c r="DD95" s="452">
        <f t="shared" si="74"/>
        <v>608661.1419029996</v>
      </c>
      <c r="DE95" s="452">
        <f t="shared" si="74"/>
        <v>620834.3647410596</v>
      </c>
      <c r="DF95" s="452">
        <f t="shared" si="74"/>
        <v>0</v>
      </c>
      <c r="DG95" s="452">
        <f t="shared" si="74"/>
        <v>0</v>
      </c>
      <c r="DH95" s="452">
        <f t="shared" si="74"/>
        <v>0</v>
      </c>
      <c r="DI95" s="452">
        <f t="shared" si="74"/>
        <v>0</v>
      </c>
      <c r="DJ95" s="452">
        <f t="shared" si="74"/>
        <v>0</v>
      </c>
      <c r="DK95" s="452">
        <f t="shared" si="74"/>
        <v>0</v>
      </c>
      <c r="DL95" s="559">
        <f t="shared" si="74"/>
        <v>0</v>
      </c>
      <c r="DM95" s="560"/>
      <c r="DN95" s="560"/>
      <c r="DO95" s="560"/>
      <c r="DP95" s="560"/>
      <c r="DQ95" s="560"/>
      <c r="DR95" s="560"/>
      <c r="DS95" s="560"/>
      <c r="DT95" s="560"/>
      <c r="DU95" s="560"/>
      <c r="DV95" s="560"/>
      <c r="DW95" s="560"/>
      <c r="DX95" s="560"/>
      <c r="DY95" s="560"/>
      <c r="DZ95" s="560"/>
      <c r="EA95" s="560"/>
      <c r="EB95" s="560"/>
      <c r="EC95" s="560"/>
      <c r="ED95" s="560"/>
    </row>
    <row r="96" spans="1:134" ht="15.75" customHeight="1" x14ac:dyDescent="0.25">
      <c r="A96" s="766" t="s">
        <v>56</v>
      </c>
      <c r="B96" s="758" t="s">
        <v>408</v>
      </c>
      <c r="C96" s="321" t="s">
        <v>362</v>
      </c>
      <c r="D96" s="280" t="s">
        <v>239</v>
      </c>
      <c r="E96" s="280" t="s">
        <v>122</v>
      </c>
      <c r="F96" s="280"/>
      <c r="G96" s="280" t="s">
        <v>409</v>
      </c>
      <c r="H96" s="300">
        <f>(1.9*10^9)*0.1</f>
        <v>190000000</v>
      </c>
      <c r="I96" s="301">
        <f t="shared" ref="I96:DE96" si="75">H96</f>
        <v>190000000</v>
      </c>
      <c r="J96" s="301">
        <f t="shared" si="75"/>
        <v>190000000</v>
      </c>
      <c r="K96" s="301">
        <f t="shared" si="75"/>
        <v>190000000</v>
      </c>
      <c r="L96" s="301">
        <f t="shared" si="75"/>
        <v>190000000</v>
      </c>
      <c r="M96" s="301">
        <f t="shared" si="75"/>
        <v>190000000</v>
      </c>
      <c r="N96" s="301">
        <f t="shared" si="75"/>
        <v>190000000</v>
      </c>
      <c r="O96" s="301">
        <f t="shared" si="75"/>
        <v>190000000</v>
      </c>
      <c r="P96" s="301">
        <f t="shared" si="75"/>
        <v>190000000</v>
      </c>
      <c r="Q96" s="301">
        <f t="shared" si="75"/>
        <v>190000000</v>
      </c>
      <c r="R96" s="301">
        <f t="shared" si="75"/>
        <v>190000000</v>
      </c>
      <c r="S96" s="301">
        <f t="shared" si="75"/>
        <v>190000000</v>
      </c>
      <c r="T96" s="301">
        <f t="shared" si="75"/>
        <v>190000000</v>
      </c>
      <c r="U96" s="301">
        <f t="shared" si="75"/>
        <v>190000000</v>
      </c>
      <c r="V96" s="301">
        <f t="shared" si="75"/>
        <v>190000000</v>
      </c>
      <c r="W96" s="301">
        <f t="shared" si="75"/>
        <v>190000000</v>
      </c>
      <c r="X96" s="301">
        <f t="shared" si="75"/>
        <v>190000000</v>
      </c>
      <c r="Y96" s="301">
        <f t="shared" si="75"/>
        <v>190000000</v>
      </c>
      <c r="Z96" s="301">
        <f t="shared" si="75"/>
        <v>190000000</v>
      </c>
      <c r="AA96" s="301">
        <f t="shared" si="75"/>
        <v>190000000</v>
      </c>
      <c r="AB96" s="301">
        <f t="shared" si="75"/>
        <v>190000000</v>
      </c>
      <c r="AC96" s="301">
        <f t="shared" si="75"/>
        <v>190000000</v>
      </c>
      <c r="AD96" s="301">
        <f t="shared" si="75"/>
        <v>190000000</v>
      </c>
      <c r="AE96" s="301">
        <f t="shared" si="75"/>
        <v>190000000</v>
      </c>
      <c r="AF96" s="301">
        <f t="shared" si="75"/>
        <v>190000000</v>
      </c>
      <c r="AG96" s="301">
        <f t="shared" si="75"/>
        <v>190000000</v>
      </c>
      <c r="AH96" s="301">
        <f t="shared" si="75"/>
        <v>190000000</v>
      </c>
      <c r="AI96" s="301">
        <f t="shared" si="75"/>
        <v>190000000</v>
      </c>
      <c r="AJ96" s="301">
        <f t="shared" si="75"/>
        <v>190000000</v>
      </c>
      <c r="AK96" s="301">
        <f t="shared" si="75"/>
        <v>190000000</v>
      </c>
      <c r="AL96" s="301">
        <f t="shared" si="75"/>
        <v>190000000</v>
      </c>
      <c r="AM96" s="301">
        <f t="shared" si="75"/>
        <v>190000000</v>
      </c>
      <c r="AN96" s="301">
        <f t="shared" si="75"/>
        <v>190000000</v>
      </c>
      <c r="AO96" s="301">
        <f t="shared" si="75"/>
        <v>190000000</v>
      </c>
      <c r="AP96" s="301">
        <f t="shared" si="75"/>
        <v>190000000</v>
      </c>
      <c r="AQ96" s="301">
        <f t="shared" si="75"/>
        <v>190000000</v>
      </c>
      <c r="AR96" s="301">
        <f t="shared" si="75"/>
        <v>190000000</v>
      </c>
      <c r="AS96" s="301">
        <f t="shared" si="75"/>
        <v>190000000</v>
      </c>
      <c r="AT96" s="301">
        <f t="shared" si="75"/>
        <v>190000000</v>
      </c>
      <c r="AU96" s="301">
        <f t="shared" si="75"/>
        <v>190000000</v>
      </c>
      <c r="AV96" s="301">
        <f t="shared" si="75"/>
        <v>190000000</v>
      </c>
      <c r="AW96" s="301">
        <f t="shared" si="75"/>
        <v>190000000</v>
      </c>
      <c r="AX96" s="301">
        <f t="shared" si="75"/>
        <v>190000000</v>
      </c>
      <c r="AY96" s="301">
        <f t="shared" si="75"/>
        <v>190000000</v>
      </c>
      <c r="AZ96" s="301">
        <f t="shared" si="75"/>
        <v>190000000</v>
      </c>
      <c r="BA96" s="301">
        <f t="shared" si="75"/>
        <v>190000000</v>
      </c>
      <c r="BB96" s="301">
        <f t="shared" si="75"/>
        <v>190000000</v>
      </c>
      <c r="BC96" s="301">
        <f t="shared" si="75"/>
        <v>190000000</v>
      </c>
      <c r="BD96" s="301">
        <f t="shared" si="75"/>
        <v>190000000</v>
      </c>
      <c r="BE96" s="301">
        <f t="shared" si="75"/>
        <v>190000000</v>
      </c>
      <c r="BF96" s="301">
        <f t="shared" si="75"/>
        <v>190000000</v>
      </c>
      <c r="BG96" s="301">
        <f t="shared" si="75"/>
        <v>190000000</v>
      </c>
      <c r="BH96" s="301">
        <f t="shared" si="75"/>
        <v>190000000</v>
      </c>
      <c r="BI96" s="301">
        <f t="shared" si="75"/>
        <v>190000000</v>
      </c>
      <c r="BJ96" s="301">
        <f t="shared" si="75"/>
        <v>190000000</v>
      </c>
      <c r="BK96" s="301">
        <f t="shared" si="75"/>
        <v>190000000</v>
      </c>
      <c r="BL96" s="301">
        <f t="shared" si="75"/>
        <v>190000000</v>
      </c>
      <c r="BM96" s="301">
        <f t="shared" si="75"/>
        <v>190000000</v>
      </c>
      <c r="BN96" s="301">
        <f t="shared" si="75"/>
        <v>190000000</v>
      </c>
      <c r="BO96" s="301">
        <f t="shared" si="75"/>
        <v>190000000</v>
      </c>
      <c r="BP96" s="301">
        <f t="shared" si="75"/>
        <v>190000000</v>
      </c>
      <c r="BQ96" s="301">
        <f t="shared" si="75"/>
        <v>190000000</v>
      </c>
      <c r="BR96" s="301">
        <f t="shared" si="75"/>
        <v>190000000</v>
      </c>
      <c r="BS96" s="301">
        <f t="shared" si="75"/>
        <v>190000000</v>
      </c>
      <c r="BT96" s="301">
        <f t="shared" si="75"/>
        <v>190000000</v>
      </c>
      <c r="BU96" s="301">
        <f t="shared" si="75"/>
        <v>190000000</v>
      </c>
      <c r="BV96" s="301">
        <f t="shared" si="75"/>
        <v>190000000</v>
      </c>
      <c r="BW96" s="301">
        <f t="shared" si="75"/>
        <v>190000000</v>
      </c>
      <c r="BX96" s="301">
        <f t="shared" si="75"/>
        <v>190000000</v>
      </c>
      <c r="BY96" s="301">
        <f t="shared" si="75"/>
        <v>190000000</v>
      </c>
      <c r="BZ96" s="301">
        <f t="shared" si="75"/>
        <v>190000000</v>
      </c>
      <c r="CA96" s="301">
        <f t="shared" si="75"/>
        <v>190000000</v>
      </c>
      <c r="CB96" s="301">
        <f t="shared" si="75"/>
        <v>190000000</v>
      </c>
      <c r="CC96" s="301">
        <f t="shared" si="75"/>
        <v>190000000</v>
      </c>
      <c r="CD96" s="301">
        <f t="shared" si="75"/>
        <v>190000000</v>
      </c>
      <c r="CE96" s="301">
        <f t="shared" si="75"/>
        <v>190000000</v>
      </c>
      <c r="CF96" s="301">
        <f t="shared" si="75"/>
        <v>190000000</v>
      </c>
      <c r="CG96" s="301">
        <f t="shared" si="75"/>
        <v>190000000</v>
      </c>
      <c r="CH96" s="301">
        <f t="shared" si="75"/>
        <v>190000000</v>
      </c>
      <c r="CI96" s="301">
        <f t="shared" si="75"/>
        <v>190000000</v>
      </c>
      <c r="CJ96" s="301">
        <f t="shared" si="75"/>
        <v>190000000</v>
      </c>
      <c r="CK96" s="301">
        <f t="shared" si="75"/>
        <v>190000000</v>
      </c>
      <c r="CL96" s="301">
        <f t="shared" si="75"/>
        <v>190000000</v>
      </c>
      <c r="CM96" s="301">
        <f t="shared" si="75"/>
        <v>190000000</v>
      </c>
      <c r="CN96" s="301">
        <f t="shared" si="75"/>
        <v>190000000</v>
      </c>
      <c r="CO96" s="301">
        <f t="shared" si="75"/>
        <v>190000000</v>
      </c>
      <c r="CP96" s="301">
        <f t="shared" si="75"/>
        <v>190000000</v>
      </c>
      <c r="CQ96" s="301">
        <f t="shared" si="75"/>
        <v>190000000</v>
      </c>
      <c r="CR96" s="301">
        <f t="shared" si="75"/>
        <v>190000000</v>
      </c>
      <c r="CS96" s="301">
        <f t="shared" si="75"/>
        <v>190000000</v>
      </c>
      <c r="CT96" s="301">
        <f t="shared" si="75"/>
        <v>190000000</v>
      </c>
      <c r="CU96" s="301">
        <f t="shared" si="75"/>
        <v>190000000</v>
      </c>
      <c r="CV96" s="301">
        <f t="shared" si="75"/>
        <v>190000000</v>
      </c>
      <c r="CW96" s="301">
        <f t="shared" si="75"/>
        <v>190000000</v>
      </c>
      <c r="CX96" s="301">
        <f t="shared" si="75"/>
        <v>190000000</v>
      </c>
      <c r="CY96" s="301">
        <f t="shared" si="75"/>
        <v>190000000</v>
      </c>
      <c r="CZ96" s="301">
        <f t="shared" si="75"/>
        <v>190000000</v>
      </c>
      <c r="DA96" s="301">
        <f t="shared" si="75"/>
        <v>190000000</v>
      </c>
      <c r="DB96" s="301">
        <f t="shared" si="75"/>
        <v>190000000</v>
      </c>
      <c r="DC96" s="301">
        <f t="shared" si="75"/>
        <v>190000000</v>
      </c>
      <c r="DD96" s="301">
        <f t="shared" si="75"/>
        <v>190000000</v>
      </c>
      <c r="DE96" s="301">
        <f t="shared" si="75"/>
        <v>190000000</v>
      </c>
      <c r="DF96" s="282"/>
      <c r="DG96" s="282"/>
      <c r="DH96" s="282"/>
      <c r="DI96" s="282"/>
      <c r="DJ96" s="282"/>
      <c r="DK96" s="282"/>
      <c r="DL96" s="282"/>
      <c r="DM96" s="221"/>
      <c r="DN96" s="221"/>
      <c r="DO96" s="221"/>
      <c r="DP96" s="221"/>
      <c r="DQ96" s="221"/>
      <c r="DR96" s="221"/>
      <c r="DS96" s="221"/>
      <c r="DT96" s="221"/>
      <c r="DU96" s="221"/>
      <c r="DV96" s="221"/>
      <c r="DW96" s="221"/>
      <c r="DX96" s="221"/>
      <c r="DY96" s="221"/>
      <c r="DZ96" s="221"/>
      <c r="EA96" s="221"/>
      <c r="EB96" s="221"/>
      <c r="EC96" s="221"/>
      <c r="ED96" s="221"/>
    </row>
    <row r="97" spans="1:134" ht="15.75" customHeight="1" x14ac:dyDescent="0.25">
      <c r="A97" s="735"/>
      <c r="B97" s="751"/>
      <c r="C97" s="321" t="s">
        <v>323</v>
      </c>
      <c r="D97" s="280" t="s">
        <v>221</v>
      </c>
      <c r="E97" s="299" t="s">
        <v>324</v>
      </c>
      <c r="F97" s="280"/>
      <c r="G97" s="280"/>
      <c r="H97" s="281">
        <v>6300</v>
      </c>
      <c r="I97" s="284">
        <v>6300</v>
      </c>
      <c r="J97" s="284">
        <v>6300</v>
      </c>
      <c r="K97" s="284">
        <v>6300</v>
      </c>
      <c r="L97" s="284">
        <v>6300</v>
      </c>
      <c r="M97" s="284">
        <v>6300</v>
      </c>
      <c r="N97" s="284">
        <v>6300</v>
      </c>
      <c r="O97" s="284">
        <v>6300</v>
      </c>
      <c r="P97" s="284">
        <v>6300</v>
      </c>
      <c r="Q97" s="284">
        <v>6300</v>
      </c>
      <c r="R97" s="284">
        <v>6300</v>
      </c>
      <c r="S97" s="284">
        <v>6300</v>
      </c>
      <c r="T97" s="284">
        <v>6300</v>
      </c>
      <c r="U97" s="284">
        <v>6300</v>
      </c>
      <c r="V97" s="284">
        <v>6300</v>
      </c>
      <c r="W97" s="284">
        <v>6300</v>
      </c>
      <c r="X97" s="284">
        <v>6300</v>
      </c>
      <c r="Y97" s="284">
        <v>6300</v>
      </c>
      <c r="Z97" s="284">
        <v>6300</v>
      </c>
      <c r="AA97" s="284">
        <v>6300</v>
      </c>
      <c r="AB97" s="284">
        <v>6300</v>
      </c>
      <c r="AC97" s="284">
        <v>6300</v>
      </c>
      <c r="AD97" s="284">
        <v>6300</v>
      </c>
      <c r="AE97" s="284">
        <v>6300</v>
      </c>
      <c r="AF97" s="284">
        <v>6300</v>
      </c>
      <c r="AG97" s="284">
        <v>6300</v>
      </c>
      <c r="AH97" s="284">
        <v>6300</v>
      </c>
      <c r="AI97" s="284">
        <v>6300</v>
      </c>
      <c r="AJ97" s="284">
        <v>6300</v>
      </c>
      <c r="AK97" s="284">
        <v>6300</v>
      </c>
      <c r="AL97" s="284">
        <v>6300</v>
      </c>
      <c r="AM97" s="284">
        <v>6300</v>
      </c>
      <c r="AN97" s="284">
        <v>6300</v>
      </c>
      <c r="AO97" s="284">
        <v>6300</v>
      </c>
      <c r="AP97" s="284">
        <v>6300</v>
      </c>
      <c r="AQ97" s="284">
        <v>6300</v>
      </c>
      <c r="AR97" s="284">
        <v>6300</v>
      </c>
      <c r="AS97" s="284">
        <v>6300</v>
      </c>
      <c r="AT97" s="284">
        <v>6300</v>
      </c>
      <c r="AU97" s="284">
        <v>6300</v>
      </c>
      <c r="AV97" s="284">
        <v>6300</v>
      </c>
      <c r="AW97" s="284">
        <v>6300</v>
      </c>
      <c r="AX97" s="284">
        <v>6300</v>
      </c>
      <c r="AY97" s="284">
        <v>6300</v>
      </c>
      <c r="AZ97" s="284">
        <v>6300</v>
      </c>
      <c r="BA97" s="284">
        <v>6300</v>
      </c>
      <c r="BB97" s="284">
        <v>6300</v>
      </c>
      <c r="BC97" s="284">
        <v>6300</v>
      </c>
      <c r="BD97" s="284">
        <v>6300</v>
      </c>
      <c r="BE97" s="284">
        <v>6300</v>
      </c>
      <c r="BF97" s="284">
        <v>6300</v>
      </c>
      <c r="BG97" s="284">
        <v>6300</v>
      </c>
      <c r="BH97" s="284">
        <v>6300</v>
      </c>
      <c r="BI97" s="284">
        <v>6300</v>
      </c>
      <c r="BJ97" s="284">
        <v>6300</v>
      </c>
      <c r="BK97" s="284">
        <v>6300</v>
      </c>
      <c r="BL97" s="284">
        <v>6300</v>
      </c>
      <c r="BM97" s="284">
        <v>6300</v>
      </c>
      <c r="BN97" s="284">
        <v>6300</v>
      </c>
      <c r="BO97" s="284">
        <v>6300</v>
      </c>
      <c r="BP97" s="284">
        <v>6300</v>
      </c>
      <c r="BQ97" s="284">
        <v>6300</v>
      </c>
      <c r="BR97" s="284">
        <v>6300</v>
      </c>
      <c r="BS97" s="284">
        <v>6300</v>
      </c>
      <c r="BT97" s="284">
        <v>6300</v>
      </c>
      <c r="BU97" s="284">
        <v>6300</v>
      </c>
      <c r="BV97" s="284">
        <v>6300</v>
      </c>
      <c r="BW97" s="284">
        <v>6300</v>
      </c>
      <c r="BX97" s="284">
        <v>6300</v>
      </c>
      <c r="BY97" s="284">
        <v>6300</v>
      </c>
      <c r="BZ97" s="284">
        <v>6300</v>
      </c>
      <c r="CA97" s="284">
        <v>6300</v>
      </c>
      <c r="CB97" s="284">
        <v>6300</v>
      </c>
      <c r="CC97" s="284">
        <v>6300</v>
      </c>
      <c r="CD97" s="284">
        <v>6300</v>
      </c>
      <c r="CE97" s="284">
        <v>6300</v>
      </c>
      <c r="CF97" s="284">
        <v>6300</v>
      </c>
      <c r="CG97" s="284">
        <v>6300</v>
      </c>
      <c r="CH97" s="284">
        <v>6300</v>
      </c>
      <c r="CI97" s="284">
        <v>6300</v>
      </c>
      <c r="CJ97" s="284">
        <v>6300</v>
      </c>
      <c r="CK97" s="284">
        <v>6300</v>
      </c>
      <c r="CL97" s="284">
        <v>6300</v>
      </c>
      <c r="CM97" s="284">
        <v>6300</v>
      </c>
      <c r="CN97" s="284">
        <v>6300</v>
      </c>
      <c r="CO97" s="284">
        <v>6300</v>
      </c>
      <c r="CP97" s="284">
        <v>6300</v>
      </c>
      <c r="CQ97" s="284">
        <v>6300</v>
      </c>
      <c r="CR97" s="284">
        <v>6300</v>
      </c>
      <c r="CS97" s="284">
        <v>6300</v>
      </c>
      <c r="CT97" s="284">
        <v>6300</v>
      </c>
      <c r="CU97" s="284">
        <v>6300</v>
      </c>
      <c r="CV97" s="284">
        <v>6300</v>
      </c>
      <c r="CW97" s="284">
        <v>6300</v>
      </c>
      <c r="CX97" s="284">
        <v>6300</v>
      </c>
      <c r="CY97" s="284">
        <v>6300</v>
      </c>
      <c r="CZ97" s="284">
        <v>6300</v>
      </c>
      <c r="DA97" s="284">
        <v>6300</v>
      </c>
      <c r="DB97" s="284">
        <v>6300</v>
      </c>
      <c r="DC97" s="284">
        <v>6300</v>
      </c>
      <c r="DD97" s="284">
        <v>6300</v>
      </c>
      <c r="DE97" s="284">
        <v>6300</v>
      </c>
      <c r="DF97" s="284"/>
      <c r="DG97" s="284"/>
      <c r="DH97" s="284"/>
      <c r="DI97" s="284"/>
      <c r="DJ97" s="284"/>
      <c r="DK97" s="284"/>
      <c r="DL97" s="284"/>
      <c r="DM97" s="221"/>
      <c r="DN97" s="221"/>
      <c r="DO97" s="221"/>
      <c r="DP97" s="221"/>
      <c r="DQ97" s="221"/>
      <c r="DR97" s="221"/>
      <c r="DS97" s="221"/>
      <c r="DT97" s="221"/>
      <c r="DU97" s="221"/>
      <c r="DV97" s="221"/>
      <c r="DW97" s="221"/>
      <c r="DX97" s="221"/>
      <c r="DY97" s="221"/>
      <c r="DZ97" s="221"/>
      <c r="EA97" s="221"/>
      <c r="EB97" s="221"/>
      <c r="EC97" s="221"/>
      <c r="ED97" s="221"/>
    </row>
    <row r="98" spans="1:134" ht="15.75" customHeight="1" x14ac:dyDescent="0.25">
      <c r="A98" s="735"/>
      <c r="B98" s="751"/>
      <c r="C98" s="347" t="s">
        <v>325</v>
      </c>
      <c r="D98" s="293" t="s">
        <v>326</v>
      </c>
      <c r="E98" s="293"/>
      <c r="F98" s="349"/>
      <c r="G98" s="349"/>
      <c r="H98" s="372">
        <f t="shared" ref="H98:DE98" si="76">H96/H97</f>
        <v>30158.730158730159</v>
      </c>
      <c r="I98" s="373">
        <f t="shared" si="76"/>
        <v>30158.730158730159</v>
      </c>
      <c r="J98" s="373">
        <f t="shared" si="76"/>
        <v>30158.730158730159</v>
      </c>
      <c r="K98" s="373">
        <f t="shared" si="76"/>
        <v>30158.730158730159</v>
      </c>
      <c r="L98" s="373">
        <f t="shared" si="76"/>
        <v>30158.730158730159</v>
      </c>
      <c r="M98" s="373">
        <f t="shared" si="76"/>
        <v>30158.730158730159</v>
      </c>
      <c r="N98" s="373">
        <f t="shared" si="76"/>
        <v>30158.730158730159</v>
      </c>
      <c r="O98" s="373">
        <f t="shared" si="76"/>
        <v>30158.730158730159</v>
      </c>
      <c r="P98" s="373">
        <f t="shared" si="76"/>
        <v>30158.730158730159</v>
      </c>
      <c r="Q98" s="373">
        <f t="shared" si="76"/>
        <v>30158.730158730159</v>
      </c>
      <c r="R98" s="373">
        <f t="shared" si="76"/>
        <v>30158.730158730159</v>
      </c>
      <c r="S98" s="373">
        <f t="shared" si="76"/>
        <v>30158.730158730159</v>
      </c>
      <c r="T98" s="373">
        <f t="shared" si="76"/>
        <v>30158.730158730159</v>
      </c>
      <c r="U98" s="373">
        <f t="shared" si="76"/>
        <v>30158.730158730159</v>
      </c>
      <c r="V98" s="373">
        <f t="shared" si="76"/>
        <v>30158.730158730159</v>
      </c>
      <c r="W98" s="373">
        <f t="shared" si="76"/>
        <v>30158.730158730159</v>
      </c>
      <c r="X98" s="373">
        <f t="shared" si="76"/>
        <v>30158.730158730159</v>
      </c>
      <c r="Y98" s="373">
        <f t="shared" si="76"/>
        <v>30158.730158730159</v>
      </c>
      <c r="Z98" s="373">
        <f t="shared" si="76"/>
        <v>30158.730158730159</v>
      </c>
      <c r="AA98" s="373">
        <f t="shared" si="76"/>
        <v>30158.730158730159</v>
      </c>
      <c r="AB98" s="373">
        <f t="shared" si="76"/>
        <v>30158.730158730159</v>
      </c>
      <c r="AC98" s="373">
        <f t="shared" si="76"/>
        <v>30158.730158730159</v>
      </c>
      <c r="AD98" s="373">
        <f t="shared" si="76"/>
        <v>30158.730158730159</v>
      </c>
      <c r="AE98" s="373">
        <f t="shared" si="76"/>
        <v>30158.730158730159</v>
      </c>
      <c r="AF98" s="373">
        <f t="shared" si="76"/>
        <v>30158.730158730159</v>
      </c>
      <c r="AG98" s="373">
        <f t="shared" si="76"/>
        <v>30158.730158730159</v>
      </c>
      <c r="AH98" s="373">
        <f t="shared" si="76"/>
        <v>30158.730158730159</v>
      </c>
      <c r="AI98" s="373">
        <f t="shared" si="76"/>
        <v>30158.730158730159</v>
      </c>
      <c r="AJ98" s="373">
        <f t="shared" si="76"/>
        <v>30158.730158730159</v>
      </c>
      <c r="AK98" s="373">
        <f t="shared" si="76"/>
        <v>30158.730158730159</v>
      </c>
      <c r="AL98" s="373">
        <f t="shared" si="76"/>
        <v>30158.730158730159</v>
      </c>
      <c r="AM98" s="373">
        <f t="shared" si="76"/>
        <v>30158.730158730159</v>
      </c>
      <c r="AN98" s="373">
        <f t="shared" si="76"/>
        <v>30158.730158730159</v>
      </c>
      <c r="AO98" s="373">
        <f t="shared" si="76"/>
        <v>30158.730158730159</v>
      </c>
      <c r="AP98" s="373">
        <f t="shared" si="76"/>
        <v>30158.730158730159</v>
      </c>
      <c r="AQ98" s="373">
        <f t="shared" si="76"/>
        <v>30158.730158730159</v>
      </c>
      <c r="AR98" s="373">
        <f t="shared" si="76"/>
        <v>30158.730158730159</v>
      </c>
      <c r="AS98" s="373">
        <f t="shared" si="76"/>
        <v>30158.730158730159</v>
      </c>
      <c r="AT98" s="373">
        <f t="shared" si="76"/>
        <v>30158.730158730159</v>
      </c>
      <c r="AU98" s="373">
        <f t="shared" si="76"/>
        <v>30158.730158730159</v>
      </c>
      <c r="AV98" s="373">
        <f t="shared" si="76"/>
        <v>30158.730158730159</v>
      </c>
      <c r="AW98" s="373">
        <f t="shared" si="76"/>
        <v>30158.730158730159</v>
      </c>
      <c r="AX98" s="373">
        <f t="shared" si="76"/>
        <v>30158.730158730159</v>
      </c>
      <c r="AY98" s="373">
        <f t="shared" si="76"/>
        <v>30158.730158730159</v>
      </c>
      <c r="AZ98" s="373">
        <f t="shared" si="76"/>
        <v>30158.730158730159</v>
      </c>
      <c r="BA98" s="373">
        <f t="shared" si="76"/>
        <v>30158.730158730159</v>
      </c>
      <c r="BB98" s="373">
        <f t="shared" si="76"/>
        <v>30158.730158730159</v>
      </c>
      <c r="BC98" s="373">
        <f t="shared" si="76"/>
        <v>30158.730158730159</v>
      </c>
      <c r="BD98" s="373">
        <f t="shared" si="76"/>
        <v>30158.730158730159</v>
      </c>
      <c r="BE98" s="373">
        <f t="shared" si="76"/>
        <v>30158.730158730159</v>
      </c>
      <c r="BF98" s="373">
        <f t="shared" si="76"/>
        <v>30158.730158730159</v>
      </c>
      <c r="BG98" s="373">
        <f t="shared" si="76"/>
        <v>30158.730158730159</v>
      </c>
      <c r="BH98" s="373">
        <f t="shared" si="76"/>
        <v>30158.730158730159</v>
      </c>
      <c r="BI98" s="373">
        <f t="shared" si="76"/>
        <v>30158.730158730159</v>
      </c>
      <c r="BJ98" s="373">
        <f t="shared" si="76"/>
        <v>30158.730158730159</v>
      </c>
      <c r="BK98" s="373">
        <f t="shared" si="76"/>
        <v>30158.730158730159</v>
      </c>
      <c r="BL98" s="373">
        <f t="shared" si="76"/>
        <v>30158.730158730159</v>
      </c>
      <c r="BM98" s="373">
        <f t="shared" si="76"/>
        <v>30158.730158730159</v>
      </c>
      <c r="BN98" s="373">
        <f t="shared" si="76"/>
        <v>30158.730158730159</v>
      </c>
      <c r="BO98" s="373">
        <f t="shared" si="76"/>
        <v>30158.730158730159</v>
      </c>
      <c r="BP98" s="373">
        <f t="shared" si="76"/>
        <v>30158.730158730159</v>
      </c>
      <c r="BQ98" s="373">
        <f t="shared" si="76"/>
        <v>30158.730158730159</v>
      </c>
      <c r="BR98" s="373">
        <f t="shared" si="76"/>
        <v>30158.730158730159</v>
      </c>
      <c r="BS98" s="373">
        <f t="shared" si="76"/>
        <v>30158.730158730159</v>
      </c>
      <c r="BT98" s="373">
        <f t="shared" si="76"/>
        <v>30158.730158730159</v>
      </c>
      <c r="BU98" s="373">
        <f t="shared" si="76"/>
        <v>30158.730158730159</v>
      </c>
      <c r="BV98" s="373">
        <f t="shared" si="76"/>
        <v>30158.730158730159</v>
      </c>
      <c r="BW98" s="373">
        <f t="shared" si="76"/>
        <v>30158.730158730159</v>
      </c>
      <c r="BX98" s="373">
        <f t="shared" si="76"/>
        <v>30158.730158730159</v>
      </c>
      <c r="BY98" s="373">
        <f t="shared" si="76"/>
        <v>30158.730158730159</v>
      </c>
      <c r="BZ98" s="373">
        <f t="shared" si="76"/>
        <v>30158.730158730159</v>
      </c>
      <c r="CA98" s="373">
        <f t="shared" si="76"/>
        <v>30158.730158730159</v>
      </c>
      <c r="CB98" s="373">
        <f t="shared" si="76"/>
        <v>30158.730158730159</v>
      </c>
      <c r="CC98" s="373">
        <f t="shared" si="76"/>
        <v>30158.730158730159</v>
      </c>
      <c r="CD98" s="373">
        <f t="shared" si="76"/>
        <v>30158.730158730159</v>
      </c>
      <c r="CE98" s="373">
        <f t="shared" si="76"/>
        <v>30158.730158730159</v>
      </c>
      <c r="CF98" s="373">
        <f t="shared" si="76"/>
        <v>30158.730158730159</v>
      </c>
      <c r="CG98" s="373">
        <f t="shared" si="76"/>
        <v>30158.730158730159</v>
      </c>
      <c r="CH98" s="373">
        <f t="shared" si="76"/>
        <v>30158.730158730159</v>
      </c>
      <c r="CI98" s="373">
        <f t="shared" si="76"/>
        <v>30158.730158730159</v>
      </c>
      <c r="CJ98" s="373">
        <f t="shared" si="76"/>
        <v>30158.730158730159</v>
      </c>
      <c r="CK98" s="373">
        <f t="shared" si="76"/>
        <v>30158.730158730159</v>
      </c>
      <c r="CL98" s="373">
        <f t="shared" si="76"/>
        <v>30158.730158730159</v>
      </c>
      <c r="CM98" s="373">
        <f t="shared" si="76"/>
        <v>30158.730158730159</v>
      </c>
      <c r="CN98" s="373">
        <f t="shared" si="76"/>
        <v>30158.730158730159</v>
      </c>
      <c r="CO98" s="373">
        <f t="shared" si="76"/>
        <v>30158.730158730159</v>
      </c>
      <c r="CP98" s="373">
        <f t="shared" si="76"/>
        <v>30158.730158730159</v>
      </c>
      <c r="CQ98" s="373">
        <f t="shared" si="76"/>
        <v>30158.730158730159</v>
      </c>
      <c r="CR98" s="373">
        <f t="shared" si="76"/>
        <v>30158.730158730159</v>
      </c>
      <c r="CS98" s="373">
        <f t="shared" si="76"/>
        <v>30158.730158730159</v>
      </c>
      <c r="CT98" s="373">
        <f t="shared" si="76"/>
        <v>30158.730158730159</v>
      </c>
      <c r="CU98" s="373">
        <f t="shared" si="76"/>
        <v>30158.730158730159</v>
      </c>
      <c r="CV98" s="373">
        <f t="shared" si="76"/>
        <v>30158.730158730159</v>
      </c>
      <c r="CW98" s="373">
        <f t="shared" si="76"/>
        <v>30158.730158730159</v>
      </c>
      <c r="CX98" s="373">
        <f t="shared" si="76"/>
        <v>30158.730158730159</v>
      </c>
      <c r="CY98" s="373">
        <f t="shared" si="76"/>
        <v>30158.730158730159</v>
      </c>
      <c r="CZ98" s="373">
        <f t="shared" si="76"/>
        <v>30158.730158730159</v>
      </c>
      <c r="DA98" s="373">
        <f t="shared" si="76"/>
        <v>30158.730158730159</v>
      </c>
      <c r="DB98" s="373">
        <f t="shared" si="76"/>
        <v>30158.730158730159</v>
      </c>
      <c r="DC98" s="373">
        <f t="shared" si="76"/>
        <v>30158.730158730159</v>
      </c>
      <c r="DD98" s="373">
        <f t="shared" si="76"/>
        <v>30158.730158730159</v>
      </c>
      <c r="DE98" s="373">
        <f t="shared" si="76"/>
        <v>30158.730158730159</v>
      </c>
      <c r="DF98" s="427"/>
      <c r="DG98" s="427"/>
      <c r="DH98" s="427"/>
      <c r="DI98" s="427"/>
      <c r="DJ98" s="427"/>
      <c r="DK98" s="427"/>
      <c r="DL98" s="427"/>
      <c r="DM98" s="221"/>
      <c r="DN98" s="221"/>
      <c r="DO98" s="221"/>
      <c r="DP98" s="221"/>
      <c r="DQ98" s="221"/>
      <c r="DR98" s="221"/>
      <c r="DS98" s="221"/>
      <c r="DT98" s="221"/>
      <c r="DU98" s="221"/>
      <c r="DV98" s="221"/>
      <c r="DW98" s="221"/>
      <c r="DX98" s="221"/>
      <c r="DY98" s="221"/>
      <c r="DZ98" s="221"/>
      <c r="EA98" s="221"/>
      <c r="EB98" s="221"/>
      <c r="EC98" s="221"/>
      <c r="ED98" s="221"/>
    </row>
    <row r="99" spans="1:134" ht="15.75" customHeight="1" x14ac:dyDescent="0.25">
      <c r="A99" s="735"/>
      <c r="B99" s="751"/>
      <c r="C99" s="321" t="s">
        <v>327</v>
      </c>
      <c r="D99" s="280" t="s">
        <v>221</v>
      </c>
      <c r="E99" s="280" t="s">
        <v>328</v>
      </c>
      <c r="F99" s="280"/>
      <c r="G99" s="280"/>
      <c r="H99" s="297">
        <f>'Unit Costs and Indicators'!D18</f>
        <v>0.28409090909090912</v>
      </c>
      <c r="I99" s="298">
        <f t="shared" ref="I99:DE99" si="77">H99</f>
        <v>0.28409090909090912</v>
      </c>
      <c r="J99" s="298">
        <f t="shared" si="77"/>
        <v>0.28409090909090912</v>
      </c>
      <c r="K99" s="298">
        <f t="shared" si="77"/>
        <v>0.28409090909090912</v>
      </c>
      <c r="L99" s="298">
        <f t="shared" si="77"/>
        <v>0.28409090909090912</v>
      </c>
      <c r="M99" s="298">
        <f t="shared" si="77"/>
        <v>0.28409090909090912</v>
      </c>
      <c r="N99" s="298">
        <f t="shared" si="77"/>
        <v>0.28409090909090912</v>
      </c>
      <c r="O99" s="298">
        <f t="shared" si="77"/>
        <v>0.28409090909090912</v>
      </c>
      <c r="P99" s="298">
        <f t="shared" si="77"/>
        <v>0.28409090909090912</v>
      </c>
      <c r="Q99" s="298">
        <f t="shared" si="77"/>
        <v>0.28409090909090912</v>
      </c>
      <c r="R99" s="298">
        <f t="shared" si="77"/>
        <v>0.28409090909090912</v>
      </c>
      <c r="S99" s="298">
        <f t="shared" si="77"/>
        <v>0.28409090909090912</v>
      </c>
      <c r="T99" s="298">
        <f t="shared" si="77"/>
        <v>0.28409090909090912</v>
      </c>
      <c r="U99" s="298">
        <f t="shared" si="77"/>
        <v>0.28409090909090912</v>
      </c>
      <c r="V99" s="298">
        <f t="shared" si="77"/>
        <v>0.28409090909090912</v>
      </c>
      <c r="W99" s="298">
        <f t="shared" si="77"/>
        <v>0.28409090909090912</v>
      </c>
      <c r="X99" s="298">
        <f t="shared" si="77"/>
        <v>0.28409090909090912</v>
      </c>
      <c r="Y99" s="298">
        <f t="shared" si="77"/>
        <v>0.28409090909090912</v>
      </c>
      <c r="Z99" s="298">
        <f t="shared" si="77"/>
        <v>0.28409090909090912</v>
      </c>
      <c r="AA99" s="298">
        <f t="shared" si="77"/>
        <v>0.28409090909090912</v>
      </c>
      <c r="AB99" s="298">
        <f t="shared" si="77"/>
        <v>0.28409090909090912</v>
      </c>
      <c r="AC99" s="298">
        <f t="shared" si="77"/>
        <v>0.28409090909090912</v>
      </c>
      <c r="AD99" s="298">
        <f t="shared" si="77"/>
        <v>0.28409090909090912</v>
      </c>
      <c r="AE99" s="298">
        <f t="shared" si="77"/>
        <v>0.28409090909090912</v>
      </c>
      <c r="AF99" s="298">
        <f t="shared" si="77"/>
        <v>0.28409090909090912</v>
      </c>
      <c r="AG99" s="298">
        <f t="shared" si="77"/>
        <v>0.28409090909090912</v>
      </c>
      <c r="AH99" s="298">
        <f t="shared" si="77"/>
        <v>0.28409090909090912</v>
      </c>
      <c r="AI99" s="298">
        <f t="shared" si="77"/>
        <v>0.28409090909090912</v>
      </c>
      <c r="AJ99" s="298">
        <f t="shared" si="77"/>
        <v>0.28409090909090912</v>
      </c>
      <c r="AK99" s="298">
        <f t="shared" si="77"/>
        <v>0.28409090909090912</v>
      </c>
      <c r="AL99" s="298">
        <f t="shared" si="77"/>
        <v>0.28409090909090912</v>
      </c>
      <c r="AM99" s="298">
        <f t="shared" si="77"/>
        <v>0.28409090909090912</v>
      </c>
      <c r="AN99" s="298">
        <f t="shared" si="77"/>
        <v>0.28409090909090912</v>
      </c>
      <c r="AO99" s="298">
        <f t="shared" si="77"/>
        <v>0.28409090909090912</v>
      </c>
      <c r="AP99" s="298">
        <f t="shared" si="77"/>
        <v>0.28409090909090912</v>
      </c>
      <c r="AQ99" s="298">
        <f t="shared" si="77"/>
        <v>0.28409090909090912</v>
      </c>
      <c r="AR99" s="298">
        <f t="shared" si="77"/>
        <v>0.28409090909090912</v>
      </c>
      <c r="AS99" s="298">
        <f t="shared" si="77"/>
        <v>0.28409090909090912</v>
      </c>
      <c r="AT99" s="298">
        <f t="shared" si="77"/>
        <v>0.28409090909090912</v>
      </c>
      <c r="AU99" s="298">
        <f t="shared" si="77"/>
        <v>0.28409090909090912</v>
      </c>
      <c r="AV99" s="298">
        <f t="shared" si="77"/>
        <v>0.28409090909090912</v>
      </c>
      <c r="AW99" s="298">
        <f t="shared" si="77"/>
        <v>0.28409090909090912</v>
      </c>
      <c r="AX99" s="298">
        <f t="shared" si="77"/>
        <v>0.28409090909090912</v>
      </c>
      <c r="AY99" s="298">
        <f t="shared" si="77"/>
        <v>0.28409090909090912</v>
      </c>
      <c r="AZ99" s="298">
        <f t="shared" si="77"/>
        <v>0.28409090909090912</v>
      </c>
      <c r="BA99" s="298">
        <f t="shared" si="77"/>
        <v>0.28409090909090912</v>
      </c>
      <c r="BB99" s="298">
        <f t="shared" si="77"/>
        <v>0.28409090909090912</v>
      </c>
      <c r="BC99" s="298">
        <f t="shared" si="77"/>
        <v>0.28409090909090912</v>
      </c>
      <c r="BD99" s="298">
        <f t="shared" si="77"/>
        <v>0.28409090909090912</v>
      </c>
      <c r="BE99" s="298">
        <f t="shared" si="77"/>
        <v>0.28409090909090912</v>
      </c>
      <c r="BF99" s="298">
        <f t="shared" si="77"/>
        <v>0.28409090909090912</v>
      </c>
      <c r="BG99" s="298">
        <f t="shared" si="77"/>
        <v>0.28409090909090912</v>
      </c>
      <c r="BH99" s="298">
        <f t="shared" si="77"/>
        <v>0.28409090909090912</v>
      </c>
      <c r="BI99" s="298">
        <f t="shared" si="77"/>
        <v>0.28409090909090912</v>
      </c>
      <c r="BJ99" s="298">
        <f t="shared" si="77"/>
        <v>0.28409090909090912</v>
      </c>
      <c r="BK99" s="298">
        <f t="shared" si="77"/>
        <v>0.28409090909090912</v>
      </c>
      <c r="BL99" s="298">
        <f t="shared" si="77"/>
        <v>0.28409090909090912</v>
      </c>
      <c r="BM99" s="298">
        <f t="shared" si="77"/>
        <v>0.28409090909090912</v>
      </c>
      <c r="BN99" s="298">
        <f t="shared" si="77"/>
        <v>0.28409090909090912</v>
      </c>
      <c r="BO99" s="298">
        <f t="shared" si="77"/>
        <v>0.28409090909090912</v>
      </c>
      <c r="BP99" s="298">
        <f t="shared" si="77"/>
        <v>0.28409090909090912</v>
      </c>
      <c r="BQ99" s="298">
        <f t="shared" si="77"/>
        <v>0.28409090909090912</v>
      </c>
      <c r="BR99" s="298">
        <f t="shared" si="77"/>
        <v>0.28409090909090912</v>
      </c>
      <c r="BS99" s="298">
        <f t="shared" si="77"/>
        <v>0.28409090909090912</v>
      </c>
      <c r="BT99" s="298">
        <f t="shared" si="77"/>
        <v>0.28409090909090912</v>
      </c>
      <c r="BU99" s="298">
        <f t="shared" si="77"/>
        <v>0.28409090909090912</v>
      </c>
      <c r="BV99" s="298">
        <f t="shared" si="77"/>
        <v>0.28409090909090912</v>
      </c>
      <c r="BW99" s="298">
        <f t="shared" si="77"/>
        <v>0.28409090909090912</v>
      </c>
      <c r="BX99" s="298">
        <f t="shared" si="77"/>
        <v>0.28409090909090912</v>
      </c>
      <c r="BY99" s="298">
        <f t="shared" si="77"/>
        <v>0.28409090909090912</v>
      </c>
      <c r="BZ99" s="298">
        <f t="shared" si="77"/>
        <v>0.28409090909090912</v>
      </c>
      <c r="CA99" s="298">
        <f t="shared" si="77"/>
        <v>0.28409090909090912</v>
      </c>
      <c r="CB99" s="298">
        <f t="shared" si="77"/>
        <v>0.28409090909090912</v>
      </c>
      <c r="CC99" s="298">
        <f t="shared" si="77"/>
        <v>0.28409090909090912</v>
      </c>
      <c r="CD99" s="298">
        <f t="shared" si="77"/>
        <v>0.28409090909090912</v>
      </c>
      <c r="CE99" s="298">
        <f t="shared" si="77"/>
        <v>0.28409090909090912</v>
      </c>
      <c r="CF99" s="298">
        <f t="shared" si="77"/>
        <v>0.28409090909090912</v>
      </c>
      <c r="CG99" s="298">
        <f t="shared" si="77"/>
        <v>0.28409090909090912</v>
      </c>
      <c r="CH99" s="298">
        <f t="shared" si="77"/>
        <v>0.28409090909090912</v>
      </c>
      <c r="CI99" s="298">
        <f t="shared" si="77"/>
        <v>0.28409090909090912</v>
      </c>
      <c r="CJ99" s="298">
        <f t="shared" si="77"/>
        <v>0.28409090909090912</v>
      </c>
      <c r="CK99" s="298">
        <f t="shared" si="77"/>
        <v>0.28409090909090912</v>
      </c>
      <c r="CL99" s="298">
        <f t="shared" si="77"/>
        <v>0.28409090909090912</v>
      </c>
      <c r="CM99" s="298">
        <f t="shared" si="77"/>
        <v>0.28409090909090912</v>
      </c>
      <c r="CN99" s="298">
        <f t="shared" si="77"/>
        <v>0.28409090909090912</v>
      </c>
      <c r="CO99" s="298">
        <f t="shared" si="77"/>
        <v>0.28409090909090912</v>
      </c>
      <c r="CP99" s="298">
        <f t="shared" si="77"/>
        <v>0.28409090909090912</v>
      </c>
      <c r="CQ99" s="298">
        <f t="shared" si="77"/>
        <v>0.28409090909090912</v>
      </c>
      <c r="CR99" s="298">
        <f t="shared" si="77"/>
        <v>0.28409090909090912</v>
      </c>
      <c r="CS99" s="298">
        <f t="shared" si="77"/>
        <v>0.28409090909090912</v>
      </c>
      <c r="CT99" s="298">
        <f t="shared" si="77"/>
        <v>0.28409090909090912</v>
      </c>
      <c r="CU99" s="298">
        <f t="shared" si="77"/>
        <v>0.28409090909090912</v>
      </c>
      <c r="CV99" s="298">
        <f t="shared" si="77"/>
        <v>0.28409090909090912</v>
      </c>
      <c r="CW99" s="298">
        <f t="shared" si="77"/>
        <v>0.28409090909090912</v>
      </c>
      <c r="CX99" s="298">
        <f t="shared" si="77"/>
        <v>0.28409090909090912</v>
      </c>
      <c r="CY99" s="298">
        <f t="shared" si="77"/>
        <v>0.28409090909090912</v>
      </c>
      <c r="CZ99" s="298">
        <f t="shared" si="77"/>
        <v>0.28409090909090912</v>
      </c>
      <c r="DA99" s="298">
        <f t="shared" si="77"/>
        <v>0.28409090909090912</v>
      </c>
      <c r="DB99" s="298">
        <f t="shared" si="77"/>
        <v>0.28409090909090912</v>
      </c>
      <c r="DC99" s="298">
        <f t="shared" si="77"/>
        <v>0.28409090909090912</v>
      </c>
      <c r="DD99" s="298">
        <f t="shared" si="77"/>
        <v>0.28409090909090912</v>
      </c>
      <c r="DE99" s="298">
        <f t="shared" si="77"/>
        <v>0.28409090909090912</v>
      </c>
      <c r="DF99" s="298"/>
      <c r="DG99" s="298"/>
      <c r="DH99" s="298"/>
      <c r="DI99" s="298"/>
      <c r="DJ99" s="298"/>
      <c r="DK99" s="298"/>
      <c r="DL99" s="298"/>
      <c r="DM99" s="221"/>
      <c r="DN99" s="221"/>
      <c r="DO99" s="221"/>
      <c r="DP99" s="221"/>
      <c r="DQ99" s="221"/>
      <c r="DR99" s="221"/>
      <c r="DS99" s="221"/>
      <c r="DT99" s="221"/>
      <c r="DU99" s="221"/>
      <c r="DV99" s="221"/>
      <c r="DW99" s="221"/>
      <c r="DX99" s="221"/>
      <c r="DY99" s="221"/>
      <c r="DZ99" s="221"/>
      <c r="EA99" s="221"/>
      <c r="EB99" s="221"/>
      <c r="EC99" s="221"/>
      <c r="ED99" s="221"/>
    </row>
    <row r="100" spans="1:134" ht="15.75" customHeight="1" x14ac:dyDescent="0.25">
      <c r="A100" s="735"/>
      <c r="B100" s="354"/>
      <c r="C100" s="355" t="s">
        <v>244</v>
      </c>
      <c r="D100" s="356" t="s">
        <v>247</v>
      </c>
      <c r="E100" s="357"/>
      <c r="F100" s="316" t="s">
        <v>14</v>
      </c>
      <c r="G100" s="317">
        <f t="array" ref="G100">NPV($C$4, J100:DE100)+I100</f>
        <v>218522.2677425539</v>
      </c>
      <c r="H100" s="359">
        <f t="shared" ref="H100:DE100" si="78">H98*H99</f>
        <v>8567.8210678210689</v>
      </c>
      <c r="I100" s="360">
        <f t="shared" si="78"/>
        <v>8567.8210678210689</v>
      </c>
      <c r="J100" s="360">
        <f t="shared" si="78"/>
        <v>8567.8210678210689</v>
      </c>
      <c r="K100" s="360">
        <f t="shared" si="78"/>
        <v>8567.8210678210689</v>
      </c>
      <c r="L100" s="360">
        <f t="shared" si="78"/>
        <v>8567.8210678210689</v>
      </c>
      <c r="M100" s="360">
        <f t="shared" si="78"/>
        <v>8567.8210678210689</v>
      </c>
      <c r="N100" s="360">
        <f t="shared" si="78"/>
        <v>8567.8210678210689</v>
      </c>
      <c r="O100" s="360">
        <f t="shared" si="78"/>
        <v>8567.8210678210689</v>
      </c>
      <c r="P100" s="360">
        <f t="shared" si="78"/>
        <v>8567.8210678210689</v>
      </c>
      <c r="Q100" s="360">
        <f t="shared" si="78"/>
        <v>8567.8210678210689</v>
      </c>
      <c r="R100" s="360">
        <f t="shared" si="78"/>
        <v>8567.8210678210689</v>
      </c>
      <c r="S100" s="360">
        <f t="shared" si="78"/>
        <v>8567.8210678210689</v>
      </c>
      <c r="T100" s="360">
        <f t="shared" si="78"/>
        <v>8567.8210678210689</v>
      </c>
      <c r="U100" s="360">
        <f t="shared" si="78"/>
        <v>8567.8210678210689</v>
      </c>
      <c r="V100" s="360">
        <f t="shared" si="78"/>
        <v>8567.8210678210689</v>
      </c>
      <c r="W100" s="360">
        <f t="shared" si="78"/>
        <v>8567.8210678210689</v>
      </c>
      <c r="X100" s="360">
        <f t="shared" si="78"/>
        <v>8567.8210678210689</v>
      </c>
      <c r="Y100" s="360">
        <f t="shared" si="78"/>
        <v>8567.8210678210689</v>
      </c>
      <c r="Z100" s="360">
        <f t="shared" si="78"/>
        <v>8567.8210678210689</v>
      </c>
      <c r="AA100" s="360">
        <f t="shared" si="78"/>
        <v>8567.8210678210689</v>
      </c>
      <c r="AB100" s="360">
        <f t="shared" si="78"/>
        <v>8567.8210678210689</v>
      </c>
      <c r="AC100" s="360">
        <f t="shared" si="78"/>
        <v>8567.8210678210689</v>
      </c>
      <c r="AD100" s="360">
        <f t="shared" si="78"/>
        <v>8567.8210678210689</v>
      </c>
      <c r="AE100" s="360">
        <f t="shared" si="78"/>
        <v>8567.8210678210689</v>
      </c>
      <c r="AF100" s="360">
        <f t="shared" si="78"/>
        <v>8567.8210678210689</v>
      </c>
      <c r="AG100" s="360">
        <f t="shared" si="78"/>
        <v>8567.8210678210689</v>
      </c>
      <c r="AH100" s="360">
        <f t="shared" si="78"/>
        <v>8567.8210678210689</v>
      </c>
      <c r="AI100" s="360">
        <f t="shared" si="78"/>
        <v>8567.8210678210689</v>
      </c>
      <c r="AJ100" s="360">
        <f t="shared" si="78"/>
        <v>8567.8210678210689</v>
      </c>
      <c r="AK100" s="360">
        <f t="shared" si="78"/>
        <v>8567.8210678210689</v>
      </c>
      <c r="AL100" s="360">
        <f t="shared" si="78"/>
        <v>8567.8210678210689</v>
      </c>
      <c r="AM100" s="360">
        <f t="shared" si="78"/>
        <v>8567.8210678210689</v>
      </c>
      <c r="AN100" s="360">
        <f t="shared" si="78"/>
        <v>8567.8210678210689</v>
      </c>
      <c r="AO100" s="360">
        <f t="shared" si="78"/>
        <v>8567.8210678210689</v>
      </c>
      <c r="AP100" s="360">
        <f t="shared" si="78"/>
        <v>8567.8210678210689</v>
      </c>
      <c r="AQ100" s="360">
        <f t="shared" si="78"/>
        <v>8567.8210678210689</v>
      </c>
      <c r="AR100" s="360">
        <f t="shared" si="78"/>
        <v>8567.8210678210689</v>
      </c>
      <c r="AS100" s="360">
        <f t="shared" si="78"/>
        <v>8567.8210678210689</v>
      </c>
      <c r="AT100" s="360">
        <f t="shared" si="78"/>
        <v>8567.8210678210689</v>
      </c>
      <c r="AU100" s="360">
        <f t="shared" si="78"/>
        <v>8567.8210678210689</v>
      </c>
      <c r="AV100" s="360">
        <f t="shared" si="78"/>
        <v>8567.8210678210689</v>
      </c>
      <c r="AW100" s="360">
        <f t="shared" si="78"/>
        <v>8567.8210678210689</v>
      </c>
      <c r="AX100" s="360">
        <f t="shared" si="78"/>
        <v>8567.8210678210689</v>
      </c>
      <c r="AY100" s="360">
        <f t="shared" si="78"/>
        <v>8567.8210678210689</v>
      </c>
      <c r="AZ100" s="360">
        <f t="shared" si="78"/>
        <v>8567.8210678210689</v>
      </c>
      <c r="BA100" s="360">
        <f t="shared" si="78"/>
        <v>8567.8210678210689</v>
      </c>
      <c r="BB100" s="360">
        <f t="shared" si="78"/>
        <v>8567.8210678210689</v>
      </c>
      <c r="BC100" s="360">
        <f t="shared" si="78"/>
        <v>8567.8210678210689</v>
      </c>
      <c r="BD100" s="360">
        <f t="shared" si="78"/>
        <v>8567.8210678210689</v>
      </c>
      <c r="BE100" s="360">
        <f t="shared" si="78"/>
        <v>8567.8210678210689</v>
      </c>
      <c r="BF100" s="360">
        <f t="shared" si="78"/>
        <v>8567.8210678210689</v>
      </c>
      <c r="BG100" s="360">
        <f t="shared" si="78"/>
        <v>8567.8210678210689</v>
      </c>
      <c r="BH100" s="360">
        <f t="shared" si="78"/>
        <v>8567.8210678210689</v>
      </c>
      <c r="BI100" s="360">
        <f t="shared" si="78"/>
        <v>8567.8210678210689</v>
      </c>
      <c r="BJ100" s="360">
        <f t="shared" si="78"/>
        <v>8567.8210678210689</v>
      </c>
      <c r="BK100" s="360">
        <f t="shared" si="78"/>
        <v>8567.8210678210689</v>
      </c>
      <c r="BL100" s="360">
        <f t="shared" si="78"/>
        <v>8567.8210678210689</v>
      </c>
      <c r="BM100" s="360">
        <f t="shared" si="78"/>
        <v>8567.8210678210689</v>
      </c>
      <c r="BN100" s="360">
        <f t="shared" si="78"/>
        <v>8567.8210678210689</v>
      </c>
      <c r="BO100" s="360">
        <f t="shared" si="78"/>
        <v>8567.8210678210689</v>
      </c>
      <c r="BP100" s="360">
        <f t="shared" si="78"/>
        <v>8567.8210678210689</v>
      </c>
      <c r="BQ100" s="360">
        <f t="shared" si="78"/>
        <v>8567.8210678210689</v>
      </c>
      <c r="BR100" s="360">
        <f t="shared" si="78"/>
        <v>8567.8210678210689</v>
      </c>
      <c r="BS100" s="360">
        <f t="shared" si="78"/>
        <v>8567.8210678210689</v>
      </c>
      <c r="BT100" s="360">
        <f t="shared" si="78"/>
        <v>8567.8210678210689</v>
      </c>
      <c r="BU100" s="360">
        <f t="shared" si="78"/>
        <v>8567.8210678210689</v>
      </c>
      <c r="BV100" s="360">
        <f t="shared" si="78"/>
        <v>8567.8210678210689</v>
      </c>
      <c r="BW100" s="360">
        <f t="shared" si="78"/>
        <v>8567.8210678210689</v>
      </c>
      <c r="BX100" s="360">
        <f t="shared" si="78"/>
        <v>8567.8210678210689</v>
      </c>
      <c r="BY100" s="360">
        <f t="shared" si="78"/>
        <v>8567.8210678210689</v>
      </c>
      <c r="BZ100" s="360">
        <f t="shared" si="78"/>
        <v>8567.8210678210689</v>
      </c>
      <c r="CA100" s="360">
        <f t="shared" si="78"/>
        <v>8567.8210678210689</v>
      </c>
      <c r="CB100" s="360">
        <f t="shared" si="78"/>
        <v>8567.8210678210689</v>
      </c>
      <c r="CC100" s="360">
        <f t="shared" si="78"/>
        <v>8567.8210678210689</v>
      </c>
      <c r="CD100" s="360">
        <f t="shared" si="78"/>
        <v>8567.8210678210689</v>
      </c>
      <c r="CE100" s="360">
        <f t="shared" si="78"/>
        <v>8567.8210678210689</v>
      </c>
      <c r="CF100" s="360">
        <f t="shared" si="78"/>
        <v>8567.8210678210689</v>
      </c>
      <c r="CG100" s="360">
        <f t="shared" si="78"/>
        <v>8567.8210678210689</v>
      </c>
      <c r="CH100" s="360">
        <f t="shared" si="78"/>
        <v>8567.8210678210689</v>
      </c>
      <c r="CI100" s="360">
        <f t="shared" si="78"/>
        <v>8567.8210678210689</v>
      </c>
      <c r="CJ100" s="360">
        <f t="shared" si="78"/>
        <v>8567.8210678210689</v>
      </c>
      <c r="CK100" s="360">
        <f t="shared" si="78"/>
        <v>8567.8210678210689</v>
      </c>
      <c r="CL100" s="360">
        <f t="shared" si="78"/>
        <v>8567.8210678210689</v>
      </c>
      <c r="CM100" s="360">
        <f t="shared" si="78"/>
        <v>8567.8210678210689</v>
      </c>
      <c r="CN100" s="360">
        <f t="shared" si="78"/>
        <v>8567.8210678210689</v>
      </c>
      <c r="CO100" s="360">
        <f t="shared" si="78"/>
        <v>8567.8210678210689</v>
      </c>
      <c r="CP100" s="360">
        <f t="shared" si="78"/>
        <v>8567.8210678210689</v>
      </c>
      <c r="CQ100" s="360">
        <f t="shared" si="78"/>
        <v>8567.8210678210689</v>
      </c>
      <c r="CR100" s="360">
        <f t="shared" si="78"/>
        <v>8567.8210678210689</v>
      </c>
      <c r="CS100" s="360">
        <f t="shared" si="78"/>
        <v>8567.8210678210689</v>
      </c>
      <c r="CT100" s="360">
        <f t="shared" si="78"/>
        <v>8567.8210678210689</v>
      </c>
      <c r="CU100" s="360">
        <f t="shared" si="78"/>
        <v>8567.8210678210689</v>
      </c>
      <c r="CV100" s="360">
        <f t="shared" si="78"/>
        <v>8567.8210678210689</v>
      </c>
      <c r="CW100" s="360">
        <f t="shared" si="78"/>
        <v>8567.8210678210689</v>
      </c>
      <c r="CX100" s="360">
        <f t="shared" si="78"/>
        <v>8567.8210678210689</v>
      </c>
      <c r="CY100" s="360">
        <f t="shared" si="78"/>
        <v>8567.8210678210689</v>
      </c>
      <c r="CZ100" s="360">
        <f t="shared" si="78"/>
        <v>8567.8210678210689</v>
      </c>
      <c r="DA100" s="360">
        <f t="shared" si="78"/>
        <v>8567.8210678210689</v>
      </c>
      <c r="DB100" s="360">
        <f t="shared" si="78"/>
        <v>8567.8210678210689</v>
      </c>
      <c r="DC100" s="360">
        <f t="shared" si="78"/>
        <v>8567.8210678210689</v>
      </c>
      <c r="DD100" s="360">
        <f t="shared" si="78"/>
        <v>8567.8210678210689</v>
      </c>
      <c r="DE100" s="360">
        <f t="shared" si="78"/>
        <v>8567.8210678210689</v>
      </c>
      <c r="DF100" s="428"/>
      <c r="DG100" s="428"/>
      <c r="DH100" s="428"/>
      <c r="DI100" s="428"/>
      <c r="DJ100" s="428"/>
      <c r="DK100" s="428"/>
      <c r="DL100" s="428"/>
      <c r="DM100" s="221"/>
      <c r="DN100" s="221"/>
      <c r="DO100" s="221"/>
      <c r="DP100" s="221"/>
      <c r="DQ100" s="221"/>
      <c r="DR100" s="221"/>
      <c r="DS100" s="221"/>
      <c r="DT100" s="221"/>
      <c r="DU100" s="221"/>
      <c r="DV100" s="221"/>
      <c r="DW100" s="221"/>
      <c r="DX100" s="221"/>
      <c r="DY100" s="221"/>
      <c r="DZ100" s="221"/>
      <c r="EA100" s="221"/>
      <c r="EB100" s="221"/>
      <c r="EC100" s="221"/>
      <c r="ED100" s="221"/>
    </row>
    <row r="101" spans="1:134" ht="15.75" customHeight="1" x14ac:dyDescent="0.25">
      <c r="A101" s="735"/>
      <c r="B101" s="758" t="s">
        <v>79</v>
      </c>
      <c r="C101" s="278" t="str">
        <f t="shared" ref="C101:H101" si="79">C9</f>
        <v>Actual number of Street Cuts</v>
      </c>
      <c r="D101" s="403" t="str">
        <f t="shared" si="79"/>
        <v>#</v>
      </c>
      <c r="E101" s="280" t="str">
        <f t="shared" si="79"/>
        <v>Mar/11/2020 Utilidor Working Group Meeting: DOT</v>
      </c>
      <c r="F101" s="403">
        <f t="shared" si="79"/>
        <v>0</v>
      </c>
      <c r="G101" s="403">
        <f t="shared" si="79"/>
        <v>0</v>
      </c>
      <c r="H101" s="430">
        <f t="shared" si="79"/>
        <v>0</v>
      </c>
      <c r="I101" s="403">
        <f>'Cost (Counterfactual)'!I110</f>
        <v>24.210449999999998</v>
      </c>
      <c r="J101" s="403">
        <f>'Cost (Counterfactual)'!J110</f>
        <v>24.331502249999996</v>
      </c>
      <c r="K101" s="403">
        <f t="shared" ref="K101:DE101" si="80">K9</f>
        <v>0</v>
      </c>
      <c r="L101" s="403">
        <f t="shared" si="80"/>
        <v>0</v>
      </c>
      <c r="M101" s="403">
        <f t="shared" si="80"/>
        <v>0</v>
      </c>
      <c r="N101" s="403">
        <f t="shared" si="80"/>
        <v>0</v>
      </c>
      <c r="O101" s="403">
        <f t="shared" si="80"/>
        <v>0</v>
      </c>
      <c r="P101" s="403">
        <f t="shared" si="80"/>
        <v>0</v>
      </c>
      <c r="Q101" s="403">
        <f t="shared" si="80"/>
        <v>0</v>
      </c>
      <c r="R101" s="403">
        <f t="shared" si="80"/>
        <v>0</v>
      </c>
      <c r="S101" s="403">
        <f t="shared" si="80"/>
        <v>0</v>
      </c>
      <c r="T101" s="403">
        <f t="shared" si="80"/>
        <v>0</v>
      </c>
      <c r="U101" s="403">
        <f t="shared" si="80"/>
        <v>0</v>
      </c>
      <c r="V101" s="403">
        <f t="shared" si="80"/>
        <v>0</v>
      </c>
      <c r="W101" s="403">
        <f t="shared" si="80"/>
        <v>0</v>
      </c>
      <c r="X101" s="403">
        <f t="shared" si="80"/>
        <v>0</v>
      </c>
      <c r="Y101" s="403">
        <f t="shared" si="80"/>
        <v>0</v>
      </c>
      <c r="Z101" s="403">
        <f t="shared" si="80"/>
        <v>0</v>
      </c>
      <c r="AA101" s="403">
        <f t="shared" si="80"/>
        <v>0</v>
      </c>
      <c r="AB101" s="403">
        <f t="shared" si="80"/>
        <v>0</v>
      </c>
      <c r="AC101" s="403">
        <f t="shared" si="80"/>
        <v>0</v>
      </c>
      <c r="AD101" s="403">
        <f t="shared" si="80"/>
        <v>0</v>
      </c>
      <c r="AE101" s="403">
        <f t="shared" si="80"/>
        <v>0</v>
      </c>
      <c r="AF101" s="403">
        <f t="shared" si="80"/>
        <v>0</v>
      </c>
      <c r="AG101" s="403">
        <f t="shared" si="80"/>
        <v>0</v>
      </c>
      <c r="AH101" s="403">
        <f t="shared" si="80"/>
        <v>0</v>
      </c>
      <c r="AI101" s="403">
        <f t="shared" si="80"/>
        <v>0</v>
      </c>
      <c r="AJ101" s="403">
        <f t="shared" si="80"/>
        <v>0</v>
      </c>
      <c r="AK101" s="403">
        <f t="shared" si="80"/>
        <v>0</v>
      </c>
      <c r="AL101" s="403">
        <f t="shared" si="80"/>
        <v>0</v>
      </c>
      <c r="AM101" s="403">
        <f t="shared" si="80"/>
        <v>0</v>
      </c>
      <c r="AN101" s="403">
        <f t="shared" si="80"/>
        <v>0</v>
      </c>
      <c r="AO101" s="403">
        <f t="shared" si="80"/>
        <v>0</v>
      </c>
      <c r="AP101" s="403">
        <f t="shared" si="80"/>
        <v>0</v>
      </c>
      <c r="AQ101" s="403">
        <f t="shared" si="80"/>
        <v>0</v>
      </c>
      <c r="AR101" s="403">
        <f t="shared" si="80"/>
        <v>0</v>
      </c>
      <c r="AS101" s="403">
        <f t="shared" si="80"/>
        <v>0</v>
      </c>
      <c r="AT101" s="403">
        <f t="shared" si="80"/>
        <v>0</v>
      </c>
      <c r="AU101" s="403">
        <f t="shared" si="80"/>
        <v>0</v>
      </c>
      <c r="AV101" s="403">
        <f t="shared" si="80"/>
        <v>0</v>
      </c>
      <c r="AW101" s="403">
        <f t="shared" si="80"/>
        <v>0</v>
      </c>
      <c r="AX101" s="403">
        <f t="shared" si="80"/>
        <v>0</v>
      </c>
      <c r="AY101" s="403">
        <f t="shared" si="80"/>
        <v>0</v>
      </c>
      <c r="AZ101" s="403">
        <f t="shared" si="80"/>
        <v>0</v>
      </c>
      <c r="BA101" s="403">
        <f t="shared" si="80"/>
        <v>0</v>
      </c>
      <c r="BB101" s="403">
        <f t="shared" si="80"/>
        <v>0</v>
      </c>
      <c r="BC101" s="403">
        <f t="shared" si="80"/>
        <v>0</v>
      </c>
      <c r="BD101" s="403">
        <f t="shared" si="80"/>
        <v>0</v>
      </c>
      <c r="BE101" s="403">
        <f t="shared" si="80"/>
        <v>0</v>
      </c>
      <c r="BF101" s="403">
        <f t="shared" si="80"/>
        <v>0</v>
      </c>
      <c r="BG101" s="403">
        <f t="shared" si="80"/>
        <v>0</v>
      </c>
      <c r="BH101" s="403">
        <f t="shared" si="80"/>
        <v>0</v>
      </c>
      <c r="BI101" s="403">
        <f t="shared" si="80"/>
        <v>0</v>
      </c>
      <c r="BJ101" s="403">
        <f t="shared" si="80"/>
        <v>0</v>
      </c>
      <c r="BK101" s="403">
        <f t="shared" si="80"/>
        <v>0</v>
      </c>
      <c r="BL101" s="403">
        <f t="shared" si="80"/>
        <v>0</v>
      </c>
      <c r="BM101" s="403">
        <f t="shared" si="80"/>
        <v>0</v>
      </c>
      <c r="BN101" s="403">
        <f t="shared" si="80"/>
        <v>0</v>
      </c>
      <c r="BO101" s="403">
        <f t="shared" si="80"/>
        <v>0</v>
      </c>
      <c r="BP101" s="403">
        <f t="shared" si="80"/>
        <v>0</v>
      </c>
      <c r="BQ101" s="403">
        <f t="shared" si="80"/>
        <v>0</v>
      </c>
      <c r="BR101" s="403">
        <f t="shared" si="80"/>
        <v>0</v>
      </c>
      <c r="BS101" s="403">
        <f t="shared" si="80"/>
        <v>0</v>
      </c>
      <c r="BT101" s="403">
        <f t="shared" si="80"/>
        <v>0</v>
      </c>
      <c r="BU101" s="403">
        <f t="shared" si="80"/>
        <v>0</v>
      </c>
      <c r="BV101" s="403">
        <f t="shared" si="80"/>
        <v>0</v>
      </c>
      <c r="BW101" s="403">
        <f t="shared" si="80"/>
        <v>0</v>
      </c>
      <c r="BX101" s="403">
        <f t="shared" si="80"/>
        <v>0</v>
      </c>
      <c r="BY101" s="403">
        <f t="shared" si="80"/>
        <v>0</v>
      </c>
      <c r="BZ101" s="403">
        <f t="shared" si="80"/>
        <v>0</v>
      </c>
      <c r="CA101" s="403">
        <f t="shared" si="80"/>
        <v>0</v>
      </c>
      <c r="CB101" s="403">
        <f t="shared" si="80"/>
        <v>0</v>
      </c>
      <c r="CC101" s="403">
        <f t="shared" si="80"/>
        <v>0</v>
      </c>
      <c r="CD101" s="403">
        <f t="shared" si="80"/>
        <v>0</v>
      </c>
      <c r="CE101" s="403">
        <f t="shared" si="80"/>
        <v>0</v>
      </c>
      <c r="CF101" s="403">
        <f t="shared" si="80"/>
        <v>0</v>
      </c>
      <c r="CG101" s="403">
        <f t="shared" si="80"/>
        <v>0</v>
      </c>
      <c r="CH101" s="403">
        <f t="shared" si="80"/>
        <v>0</v>
      </c>
      <c r="CI101" s="403">
        <f t="shared" si="80"/>
        <v>0</v>
      </c>
      <c r="CJ101" s="403">
        <f t="shared" si="80"/>
        <v>0</v>
      </c>
      <c r="CK101" s="403">
        <f t="shared" si="80"/>
        <v>0</v>
      </c>
      <c r="CL101" s="403">
        <f t="shared" si="80"/>
        <v>0</v>
      </c>
      <c r="CM101" s="403">
        <f t="shared" si="80"/>
        <v>0</v>
      </c>
      <c r="CN101" s="403">
        <f t="shared" si="80"/>
        <v>0</v>
      </c>
      <c r="CO101" s="403">
        <f t="shared" si="80"/>
        <v>0</v>
      </c>
      <c r="CP101" s="403">
        <f t="shared" si="80"/>
        <v>0</v>
      </c>
      <c r="CQ101" s="403">
        <f t="shared" si="80"/>
        <v>0</v>
      </c>
      <c r="CR101" s="403">
        <f t="shared" si="80"/>
        <v>0</v>
      </c>
      <c r="CS101" s="403">
        <f t="shared" si="80"/>
        <v>0</v>
      </c>
      <c r="CT101" s="403">
        <f t="shared" si="80"/>
        <v>0</v>
      </c>
      <c r="CU101" s="403">
        <f t="shared" si="80"/>
        <v>0</v>
      </c>
      <c r="CV101" s="403">
        <f t="shared" si="80"/>
        <v>0</v>
      </c>
      <c r="CW101" s="403">
        <f t="shared" si="80"/>
        <v>0</v>
      </c>
      <c r="CX101" s="403">
        <f t="shared" si="80"/>
        <v>0</v>
      </c>
      <c r="CY101" s="403">
        <f t="shared" si="80"/>
        <v>0</v>
      </c>
      <c r="CZ101" s="403">
        <f t="shared" si="80"/>
        <v>0</v>
      </c>
      <c r="DA101" s="403">
        <f t="shared" si="80"/>
        <v>0</v>
      </c>
      <c r="DB101" s="403">
        <f t="shared" si="80"/>
        <v>0</v>
      </c>
      <c r="DC101" s="403">
        <f t="shared" si="80"/>
        <v>0</v>
      </c>
      <c r="DD101" s="403">
        <f t="shared" si="80"/>
        <v>0</v>
      </c>
      <c r="DE101" s="403">
        <f t="shared" si="80"/>
        <v>0</v>
      </c>
      <c r="DF101" s="284"/>
      <c r="DG101" s="284"/>
      <c r="DH101" s="284"/>
      <c r="DI101" s="284"/>
      <c r="DJ101" s="284"/>
      <c r="DK101" s="284"/>
      <c r="DL101" s="284"/>
      <c r="DM101" s="221"/>
      <c r="DN101" s="221"/>
      <c r="DO101" s="221"/>
      <c r="DP101" s="221"/>
      <c r="DQ101" s="221"/>
      <c r="DR101" s="221"/>
      <c r="DS101" s="221"/>
      <c r="DT101" s="221"/>
      <c r="DU101" s="221"/>
      <c r="DV101" s="221"/>
      <c r="DW101" s="221"/>
      <c r="DX101" s="221"/>
      <c r="DY101" s="221"/>
      <c r="DZ101" s="221"/>
      <c r="EA101" s="221"/>
      <c r="EB101" s="221"/>
      <c r="EC101" s="221"/>
      <c r="ED101" s="221"/>
    </row>
    <row r="102" spans="1:134" ht="15.75" customHeight="1" x14ac:dyDescent="0.25">
      <c r="A102" s="735"/>
      <c r="B102" s="751"/>
      <c r="C102" s="278" t="s">
        <v>364</v>
      </c>
      <c r="D102" s="431" t="s">
        <v>204</v>
      </c>
      <c r="E102" s="280" t="s">
        <v>330</v>
      </c>
      <c r="F102" s="432"/>
      <c r="G102" s="433">
        <f>'Unit Costs and Indicators'!F170</f>
        <v>0</v>
      </c>
      <c r="H102" s="281">
        <f>H101*$G$102</f>
        <v>0</v>
      </c>
      <c r="I102" s="284">
        <f>'Cost (Counterfactual)'!I111</f>
        <v>11.185227899999999</v>
      </c>
      <c r="J102" s="284">
        <f>'Cost (Counterfactual)'!J111</f>
        <v>11.2411540395</v>
      </c>
      <c r="K102" s="284">
        <v>0</v>
      </c>
      <c r="L102" s="284">
        <v>0</v>
      </c>
      <c r="M102" s="284">
        <v>0</v>
      </c>
      <c r="N102" s="284">
        <v>0</v>
      </c>
      <c r="O102" s="284">
        <v>0</v>
      </c>
      <c r="P102" s="284">
        <v>0</v>
      </c>
      <c r="Q102" s="284">
        <v>0</v>
      </c>
      <c r="R102" s="284">
        <v>0</v>
      </c>
      <c r="S102" s="284">
        <v>0</v>
      </c>
      <c r="T102" s="284">
        <v>0</v>
      </c>
      <c r="U102" s="284">
        <v>0</v>
      </c>
      <c r="V102" s="284">
        <v>0</v>
      </c>
      <c r="W102" s="284">
        <v>0</v>
      </c>
      <c r="X102" s="284">
        <v>0</v>
      </c>
      <c r="Y102" s="284">
        <v>0</v>
      </c>
      <c r="Z102" s="284">
        <v>0</v>
      </c>
      <c r="AA102" s="284">
        <v>0</v>
      </c>
      <c r="AB102" s="284">
        <v>0</v>
      </c>
      <c r="AC102" s="284">
        <v>0</v>
      </c>
      <c r="AD102" s="284">
        <v>0</v>
      </c>
      <c r="AE102" s="284">
        <v>0</v>
      </c>
      <c r="AF102" s="284">
        <v>0</v>
      </c>
      <c r="AG102" s="284">
        <v>0</v>
      </c>
      <c r="AH102" s="284">
        <v>0</v>
      </c>
      <c r="AI102" s="284">
        <v>0</v>
      </c>
      <c r="AJ102" s="284">
        <v>0</v>
      </c>
      <c r="AK102" s="284">
        <v>0</v>
      </c>
      <c r="AL102" s="284">
        <v>0</v>
      </c>
      <c r="AM102" s="284">
        <v>0</v>
      </c>
      <c r="AN102" s="284">
        <v>0</v>
      </c>
      <c r="AO102" s="284">
        <v>0</v>
      </c>
      <c r="AP102" s="284">
        <v>0</v>
      </c>
      <c r="AQ102" s="284">
        <v>0</v>
      </c>
      <c r="AR102" s="284">
        <v>0</v>
      </c>
      <c r="AS102" s="284">
        <v>0</v>
      </c>
      <c r="AT102" s="284">
        <v>0</v>
      </c>
      <c r="AU102" s="284">
        <v>0</v>
      </c>
      <c r="AV102" s="284">
        <v>0</v>
      </c>
      <c r="AW102" s="284">
        <v>0</v>
      </c>
      <c r="AX102" s="284">
        <v>0</v>
      </c>
      <c r="AY102" s="284">
        <v>0</v>
      </c>
      <c r="AZ102" s="284">
        <v>0</v>
      </c>
      <c r="BA102" s="284">
        <v>0</v>
      </c>
      <c r="BB102" s="284">
        <v>0</v>
      </c>
      <c r="BC102" s="284">
        <v>0</v>
      </c>
      <c r="BD102" s="284">
        <v>0</v>
      </c>
      <c r="BE102" s="284">
        <v>0</v>
      </c>
      <c r="BF102" s="284">
        <v>0</v>
      </c>
      <c r="BG102" s="284">
        <v>0</v>
      </c>
      <c r="BH102" s="284">
        <v>0</v>
      </c>
      <c r="BI102" s="284">
        <v>0</v>
      </c>
      <c r="BJ102" s="284">
        <v>0</v>
      </c>
      <c r="BK102" s="284">
        <v>0</v>
      </c>
      <c r="BL102" s="284">
        <v>0</v>
      </c>
      <c r="BM102" s="284">
        <v>0</v>
      </c>
      <c r="BN102" s="284">
        <v>0</v>
      </c>
      <c r="BO102" s="284">
        <v>0</v>
      </c>
      <c r="BP102" s="284">
        <v>0</v>
      </c>
      <c r="BQ102" s="284">
        <v>0</v>
      </c>
      <c r="BR102" s="284">
        <v>0</v>
      </c>
      <c r="BS102" s="284">
        <v>0</v>
      </c>
      <c r="BT102" s="284">
        <v>0</v>
      </c>
      <c r="BU102" s="284">
        <v>0</v>
      </c>
      <c r="BV102" s="284">
        <v>0</v>
      </c>
      <c r="BW102" s="284">
        <v>0</v>
      </c>
      <c r="BX102" s="284">
        <v>0</v>
      </c>
      <c r="BY102" s="284">
        <v>0</v>
      </c>
      <c r="BZ102" s="284">
        <v>0</v>
      </c>
      <c r="CA102" s="284">
        <v>0</v>
      </c>
      <c r="CB102" s="284">
        <v>0</v>
      </c>
      <c r="CC102" s="284">
        <v>0</v>
      </c>
      <c r="CD102" s="284">
        <v>0</v>
      </c>
      <c r="CE102" s="284">
        <v>0</v>
      </c>
      <c r="CF102" s="284">
        <v>0</v>
      </c>
      <c r="CG102" s="284">
        <v>0</v>
      </c>
      <c r="CH102" s="284">
        <v>0</v>
      </c>
      <c r="CI102" s="284">
        <v>0</v>
      </c>
      <c r="CJ102" s="284">
        <v>0</v>
      </c>
      <c r="CK102" s="284">
        <v>0</v>
      </c>
      <c r="CL102" s="284">
        <v>0</v>
      </c>
      <c r="CM102" s="284">
        <v>0</v>
      </c>
      <c r="CN102" s="284">
        <v>0</v>
      </c>
      <c r="CO102" s="284">
        <v>0</v>
      </c>
      <c r="CP102" s="284">
        <v>0</v>
      </c>
      <c r="CQ102" s="284">
        <v>0</v>
      </c>
      <c r="CR102" s="284">
        <v>0</v>
      </c>
      <c r="CS102" s="284">
        <v>0</v>
      </c>
      <c r="CT102" s="284">
        <v>0</v>
      </c>
      <c r="CU102" s="284">
        <v>0</v>
      </c>
      <c r="CV102" s="284">
        <v>0</v>
      </c>
      <c r="CW102" s="284">
        <v>0</v>
      </c>
      <c r="CX102" s="284">
        <v>0</v>
      </c>
      <c r="CY102" s="284">
        <v>0</v>
      </c>
      <c r="CZ102" s="284">
        <v>0</v>
      </c>
      <c r="DA102" s="284">
        <v>0</v>
      </c>
      <c r="DB102" s="284">
        <v>0</v>
      </c>
      <c r="DC102" s="284">
        <v>0</v>
      </c>
      <c r="DD102" s="284">
        <v>0</v>
      </c>
      <c r="DE102" s="284">
        <v>0</v>
      </c>
      <c r="DF102" s="434"/>
      <c r="DG102" s="434"/>
      <c r="DH102" s="434"/>
      <c r="DI102" s="434"/>
      <c r="DJ102" s="434"/>
      <c r="DK102" s="434"/>
      <c r="DL102" s="434"/>
    </row>
    <row r="103" spans="1:134" ht="15.75" customHeight="1" x14ac:dyDescent="0.25">
      <c r="A103" s="735"/>
      <c r="B103" s="751"/>
      <c r="C103" s="321" t="str">
        <f t="shared" ref="C103:I103" si="81">C78</f>
        <v>Average feet for a Road work</v>
      </c>
      <c r="D103" s="280" t="str">
        <f t="shared" si="81"/>
        <v>sq ft</v>
      </c>
      <c r="E103" s="280" t="str">
        <f t="shared" si="81"/>
        <v>Assumption</v>
      </c>
      <c r="F103" s="321">
        <f t="shared" si="81"/>
        <v>0</v>
      </c>
      <c r="G103" s="280">
        <f t="shared" si="81"/>
        <v>500.00000000000006</v>
      </c>
      <c r="H103" s="453">
        <f t="shared" si="81"/>
        <v>500.00000000000006</v>
      </c>
      <c r="I103" s="454">
        <f t="shared" si="81"/>
        <v>500.00000000000006</v>
      </c>
      <c r="J103" s="454">
        <f>'Cost (Counterfactual)'!J112</f>
        <v>500.00000000000006</v>
      </c>
      <c r="K103" s="454">
        <f t="shared" ref="K103:DE103" si="82">K78</f>
        <v>500.00000000000006</v>
      </c>
      <c r="L103" s="454">
        <f t="shared" si="82"/>
        <v>500.00000000000006</v>
      </c>
      <c r="M103" s="454">
        <f t="shared" si="82"/>
        <v>500.00000000000006</v>
      </c>
      <c r="N103" s="454">
        <f t="shared" si="82"/>
        <v>500.00000000000006</v>
      </c>
      <c r="O103" s="454">
        <f t="shared" si="82"/>
        <v>500.00000000000006</v>
      </c>
      <c r="P103" s="454">
        <f t="shared" si="82"/>
        <v>500.00000000000006</v>
      </c>
      <c r="Q103" s="454">
        <f t="shared" si="82"/>
        <v>500.00000000000006</v>
      </c>
      <c r="R103" s="454">
        <f t="shared" si="82"/>
        <v>500.00000000000006</v>
      </c>
      <c r="S103" s="454">
        <f t="shared" si="82"/>
        <v>500.00000000000006</v>
      </c>
      <c r="T103" s="454">
        <f t="shared" si="82"/>
        <v>500.00000000000006</v>
      </c>
      <c r="U103" s="454">
        <f t="shared" si="82"/>
        <v>500.00000000000006</v>
      </c>
      <c r="V103" s="454">
        <f t="shared" si="82"/>
        <v>500.00000000000006</v>
      </c>
      <c r="W103" s="454">
        <f t="shared" si="82"/>
        <v>500.00000000000006</v>
      </c>
      <c r="X103" s="454">
        <f t="shared" si="82"/>
        <v>500.00000000000006</v>
      </c>
      <c r="Y103" s="454">
        <f t="shared" si="82"/>
        <v>500.00000000000006</v>
      </c>
      <c r="Z103" s="454">
        <f t="shared" si="82"/>
        <v>500.00000000000006</v>
      </c>
      <c r="AA103" s="454">
        <f t="shared" si="82"/>
        <v>500.00000000000006</v>
      </c>
      <c r="AB103" s="454">
        <f t="shared" si="82"/>
        <v>500.00000000000006</v>
      </c>
      <c r="AC103" s="454">
        <f t="shared" si="82"/>
        <v>500.00000000000006</v>
      </c>
      <c r="AD103" s="454">
        <f t="shared" si="82"/>
        <v>500.00000000000006</v>
      </c>
      <c r="AE103" s="454">
        <f t="shared" si="82"/>
        <v>500.00000000000006</v>
      </c>
      <c r="AF103" s="454">
        <f t="shared" si="82"/>
        <v>500.00000000000006</v>
      </c>
      <c r="AG103" s="454">
        <f t="shared" si="82"/>
        <v>500.00000000000006</v>
      </c>
      <c r="AH103" s="454">
        <f t="shared" si="82"/>
        <v>500.00000000000006</v>
      </c>
      <c r="AI103" s="454">
        <f t="shared" si="82"/>
        <v>500.00000000000006</v>
      </c>
      <c r="AJ103" s="454">
        <f t="shared" si="82"/>
        <v>500.00000000000006</v>
      </c>
      <c r="AK103" s="454">
        <f t="shared" si="82"/>
        <v>500.00000000000006</v>
      </c>
      <c r="AL103" s="454">
        <f t="shared" si="82"/>
        <v>500.00000000000006</v>
      </c>
      <c r="AM103" s="454">
        <f t="shared" si="82"/>
        <v>500.00000000000006</v>
      </c>
      <c r="AN103" s="454">
        <f t="shared" si="82"/>
        <v>500.00000000000006</v>
      </c>
      <c r="AO103" s="454">
        <f t="shared" si="82"/>
        <v>500.00000000000006</v>
      </c>
      <c r="AP103" s="454">
        <f t="shared" si="82"/>
        <v>500.00000000000006</v>
      </c>
      <c r="AQ103" s="454">
        <f t="shared" si="82"/>
        <v>500.00000000000006</v>
      </c>
      <c r="AR103" s="454">
        <f t="shared" si="82"/>
        <v>500.00000000000006</v>
      </c>
      <c r="AS103" s="454">
        <f t="shared" si="82"/>
        <v>500.00000000000006</v>
      </c>
      <c r="AT103" s="454">
        <f t="shared" si="82"/>
        <v>500.00000000000006</v>
      </c>
      <c r="AU103" s="454">
        <f t="shared" si="82"/>
        <v>500.00000000000006</v>
      </c>
      <c r="AV103" s="454">
        <f t="shared" si="82"/>
        <v>500.00000000000006</v>
      </c>
      <c r="AW103" s="454">
        <f t="shared" si="82"/>
        <v>500.00000000000006</v>
      </c>
      <c r="AX103" s="454">
        <f t="shared" si="82"/>
        <v>500.00000000000006</v>
      </c>
      <c r="AY103" s="454">
        <f t="shared" si="82"/>
        <v>500.00000000000006</v>
      </c>
      <c r="AZ103" s="454">
        <f t="shared" si="82"/>
        <v>500.00000000000006</v>
      </c>
      <c r="BA103" s="454">
        <f t="shared" si="82"/>
        <v>500.00000000000006</v>
      </c>
      <c r="BB103" s="454">
        <f t="shared" si="82"/>
        <v>500.00000000000006</v>
      </c>
      <c r="BC103" s="454">
        <f t="shared" si="82"/>
        <v>500.00000000000006</v>
      </c>
      <c r="BD103" s="454">
        <f t="shared" si="82"/>
        <v>500.00000000000006</v>
      </c>
      <c r="BE103" s="454">
        <f t="shared" si="82"/>
        <v>500.00000000000006</v>
      </c>
      <c r="BF103" s="454">
        <f t="shared" si="82"/>
        <v>500.00000000000006</v>
      </c>
      <c r="BG103" s="454">
        <f t="shared" si="82"/>
        <v>500.00000000000006</v>
      </c>
      <c r="BH103" s="454">
        <f t="shared" si="82"/>
        <v>500.00000000000006</v>
      </c>
      <c r="BI103" s="454">
        <f t="shared" si="82"/>
        <v>500.00000000000006</v>
      </c>
      <c r="BJ103" s="454">
        <f t="shared" si="82"/>
        <v>500.00000000000006</v>
      </c>
      <c r="BK103" s="454">
        <f t="shared" si="82"/>
        <v>500.00000000000006</v>
      </c>
      <c r="BL103" s="454">
        <f t="shared" si="82"/>
        <v>500.00000000000006</v>
      </c>
      <c r="BM103" s="454">
        <f t="shared" si="82"/>
        <v>500.00000000000006</v>
      </c>
      <c r="BN103" s="454">
        <f t="shared" si="82"/>
        <v>500.00000000000006</v>
      </c>
      <c r="BO103" s="454">
        <f t="shared" si="82"/>
        <v>500.00000000000006</v>
      </c>
      <c r="BP103" s="454">
        <f t="shared" si="82"/>
        <v>500.00000000000006</v>
      </c>
      <c r="BQ103" s="454">
        <f t="shared" si="82"/>
        <v>500.00000000000006</v>
      </c>
      <c r="BR103" s="454">
        <f t="shared" si="82"/>
        <v>500.00000000000006</v>
      </c>
      <c r="BS103" s="454">
        <f t="shared" si="82"/>
        <v>500.00000000000006</v>
      </c>
      <c r="BT103" s="454">
        <f t="shared" si="82"/>
        <v>500.00000000000006</v>
      </c>
      <c r="BU103" s="454">
        <f t="shared" si="82"/>
        <v>500.00000000000006</v>
      </c>
      <c r="BV103" s="454">
        <f t="shared" si="82"/>
        <v>500.00000000000006</v>
      </c>
      <c r="BW103" s="454">
        <f t="shared" si="82"/>
        <v>500.00000000000006</v>
      </c>
      <c r="BX103" s="454">
        <f t="shared" si="82"/>
        <v>500.00000000000006</v>
      </c>
      <c r="BY103" s="454">
        <f t="shared" si="82"/>
        <v>500.00000000000006</v>
      </c>
      <c r="BZ103" s="454">
        <f t="shared" si="82"/>
        <v>500.00000000000006</v>
      </c>
      <c r="CA103" s="454">
        <f t="shared" si="82"/>
        <v>500.00000000000006</v>
      </c>
      <c r="CB103" s="454">
        <f t="shared" si="82"/>
        <v>500.00000000000006</v>
      </c>
      <c r="CC103" s="454">
        <f t="shared" si="82"/>
        <v>500.00000000000006</v>
      </c>
      <c r="CD103" s="454">
        <f t="shared" si="82"/>
        <v>500.00000000000006</v>
      </c>
      <c r="CE103" s="454">
        <f t="shared" si="82"/>
        <v>500.00000000000006</v>
      </c>
      <c r="CF103" s="454">
        <f t="shared" si="82"/>
        <v>500.00000000000006</v>
      </c>
      <c r="CG103" s="454">
        <f t="shared" si="82"/>
        <v>500.00000000000006</v>
      </c>
      <c r="CH103" s="454">
        <f t="shared" si="82"/>
        <v>500.00000000000006</v>
      </c>
      <c r="CI103" s="454">
        <f t="shared" si="82"/>
        <v>500.00000000000006</v>
      </c>
      <c r="CJ103" s="454">
        <f t="shared" si="82"/>
        <v>500.00000000000006</v>
      </c>
      <c r="CK103" s="454">
        <f t="shared" si="82"/>
        <v>500.00000000000006</v>
      </c>
      <c r="CL103" s="454">
        <f t="shared" si="82"/>
        <v>500.00000000000006</v>
      </c>
      <c r="CM103" s="454">
        <f t="shared" si="82"/>
        <v>500.00000000000006</v>
      </c>
      <c r="CN103" s="454">
        <f t="shared" si="82"/>
        <v>500.00000000000006</v>
      </c>
      <c r="CO103" s="454">
        <f t="shared" si="82"/>
        <v>500.00000000000006</v>
      </c>
      <c r="CP103" s="454">
        <f t="shared" si="82"/>
        <v>500.00000000000006</v>
      </c>
      <c r="CQ103" s="454">
        <f t="shared" si="82"/>
        <v>500.00000000000006</v>
      </c>
      <c r="CR103" s="454">
        <f t="shared" si="82"/>
        <v>500.00000000000006</v>
      </c>
      <c r="CS103" s="454">
        <f t="shared" si="82"/>
        <v>500.00000000000006</v>
      </c>
      <c r="CT103" s="454">
        <f t="shared" si="82"/>
        <v>500.00000000000006</v>
      </c>
      <c r="CU103" s="454">
        <f t="shared" si="82"/>
        <v>500.00000000000006</v>
      </c>
      <c r="CV103" s="454">
        <f t="shared" si="82"/>
        <v>500.00000000000006</v>
      </c>
      <c r="CW103" s="454">
        <f t="shared" si="82"/>
        <v>500.00000000000006</v>
      </c>
      <c r="CX103" s="454">
        <f t="shared" si="82"/>
        <v>500.00000000000006</v>
      </c>
      <c r="CY103" s="454">
        <f t="shared" si="82"/>
        <v>500.00000000000006</v>
      </c>
      <c r="CZ103" s="454">
        <f t="shared" si="82"/>
        <v>500.00000000000006</v>
      </c>
      <c r="DA103" s="454">
        <f t="shared" si="82"/>
        <v>500.00000000000006</v>
      </c>
      <c r="DB103" s="454">
        <f t="shared" si="82"/>
        <v>500.00000000000006</v>
      </c>
      <c r="DC103" s="454">
        <f t="shared" si="82"/>
        <v>500.00000000000006</v>
      </c>
      <c r="DD103" s="454">
        <f t="shared" si="82"/>
        <v>500.00000000000006</v>
      </c>
      <c r="DE103" s="454">
        <f t="shared" si="82"/>
        <v>500.00000000000006</v>
      </c>
      <c r="DF103" s="278"/>
      <c r="DG103" s="278"/>
      <c r="DH103" s="278"/>
      <c r="DI103" s="278"/>
      <c r="DJ103" s="278"/>
      <c r="DK103" s="278"/>
      <c r="DL103" s="278"/>
    </row>
    <row r="104" spans="1:134" ht="15.75" customHeight="1" x14ac:dyDescent="0.25">
      <c r="A104" s="735"/>
      <c r="B104" s="751"/>
      <c r="C104" s="321" t="str">
        <f t="shared" ref="C104:DE104" si="83">C79</f>
        <v>Demolish, Repair and Repayment Cost per square feet</v>
      </c>
      <c r="D104" s="280" t="str">
        <f t="shared" si="83"/>
        <v>$/sqft</v>
      </c>
      <c r="E104" s="280" t="str">
        <f t="shared" si="83"/>
        <v>Assumption</v>
      </c>
      <c r="F104" s="321">
        <f t="shared" si="83"/>
        <v>0</v>
      </c>
      <c r="G104" s="411">
        <f t="shared" si="83"/>
        <v>800</v>
      </c>
      <c r="H104" s="455">
        <f t="shared" si="83"/>
        <v>800</v>
      </c>
      <c r="I104" s="456">
        <f t="shared" si="83"/>
        <v>800</v>
      </c>
      <c r="J104" s="456">
        <f t="shared" si="83"/>
        <v>800</v>
      </c>
      <c r="K104" s="456">
        <f t="shared" si="83"/>
        <v>800</v>
      </c>
      <c r="L104" s="456">
        <f t="shared" si="83"/>
        <v>800</v>
      </c>
      <c r="M104" s="456">
        <f t="shared" si="83"/>
        <v>800</v>
      </c>
      <c r="N104" s="456">
        <f t="shared" si="83"/>
        <v>800</v>
      </c>
      <c r="O104" s="456">
        <f t="shared" si="83"/>
        <v>800</v>
      </c>
      <c r="P104" s="456">
        <f t="shared" si="83"/>
        <v>800</v>
      </c>
      <c r="Q104" s="456">
        <f t="shared" si="83"/>
        <v>800</v>
      </c>
      <c r="R104" s="456">
        <f t="shared" si="83"/>
        <v>800</v>
      </c>
      <c r="S104" s="456">
        <f t="shared" si="83"/>
        <v>800</v>
      </c>
      <c r="T104" s="456">
        <f t="shared" si="83"/>
        <v>800</v>
      </c>
      <c r="U104" s="456">
        <f t="shared" si="83"/>
        <v>800</v>
      </c>
      <c r="V104" s="456">
        <f t="shared" si="83"/>
        <v>800</v>
      </c>
      <c r="W104" s="456">
        <f t="shared" si="83"/>
        <v>800</v>
      </c>
      <c r="X104" s="456">
        <f t="shared" si="83"/>
        <v>800</v>
      </c>
      <c r="Y104" s="456">
        <f t="shared" si="83"/>
        <v>800</v>
      </c>
      <c r="Z104" s="456">
        <f t="shared" si="83"/>
        <v>800</v>
      </c>
      <c r="AA104" s="456">
        <f t="shared" si="83"/>
        <v>800</v>
      </c>
      <c r="AB104" s="456">
        <f t="shared" si="83"/>
        <v>800</v>
      </c>
      <c r="AC104" s="456">
        <f t="shared" si="83"/>
        <v>800</v>
      </c>
      <c r="AD104" s="456">
        <f t="shared" si="83"/>
        <v>800</v>
      </c>
      <c r="AE104" s="456">
        <f t="shared" si="83"/>
        <v>800</v>
      </c>
      <c r="AF104" s="456">
        <f t="shared" si="83"/>
        <v>800</v>
      </c>
      <c r="AG104" s="456">
        <f t="shared" si="83"/>
        <v>800</v>
      </c>
      <c r="AH104" s="456">
        <f t="shared" si="83"/>
        <v>800</v>
      </c>
      <c r="AI104" s="456">
        <f t="shared" si="83"/>
        <v>800</v>
      </c>
      <c r="AJ104" s="456">
        <f t="shared" si="83"/>
        <v>800</v>
      </c>
      <c r="AK104" s="456">
        <f t="shared" si="83"/>
        <v>800</v>
      </c>
      <c r="AL104" s="456">
        <f t="shared" si="83"/>
        <v>800</v>
      </c>
      <c r="AM104" s="456">
        <f t="shared" si="83"/>
        <v>800</v>
      </c>
      <c r="AN104" s="456">
        <f t="shared" si="83"/>
        <v>800</v>
      </c>
      <c r="AO104" s="456">
        <f t="shared" si="83"/>
        <v>800</v>
      </c>
      <c r="AP104" s="456">
        <f t="shared" si="83"/>
        <v>800</v>
      </c>
      <c r="AQ104" s="456">
        <f t="shared" si="83"/>
        <v>800</v>
      </c>
      <c r="AR104" s="456">
        <f t="shared" si="83"/>
        <v>800</v>
      </c>
      <c r="AS104" s="456">
        <f t="shared" si="83"/>
        <v>800</v>
      </c>
      <c r="AT104" s="456">
        <f t="shared" si="83"/>
        <v>800</v>
      </c>
      <c r="AU104" s="456">
        <f t="shared" si="83"/>
        <v>800</v>
      </c>
      <c r="AV104" s="456">
        <f t="shared" si="83"/>
        <v>800</v>
      </c>
      <c r="AW104" s="456">
        <f t="shared" si="83"/>
        <v>800</v>
      </c>
      <c r="AX104" s="456">
        <f t="shared" si="83"/>
        <v>800</v>
      </c>
      <c r="AY104" s="456">
        <f t="shared" si="83"/>
        <v>800</v>
      </c>
      <c r="AZ104" s="456">
        <f t="shared" si="83"/>
        <v>800</v>
      </c>
      <c r="BA104" s="456">
        <f t="shared" si="83"/>
        <v>800</v>
      </c>
      <c r="BB104" s="456">
        <f t="shared" si="83"/>
        <v>800</v>
      </c>
      <c r="BC104" s="456">
        <f t="shared" si="83"/>
        <v>800</v>
      </c>
      <c r="BD104" s="456">
        <f t="shared" si="83"/>
        <v>800</v>
      </c>
      <c r="BE104" s="456">
        <f t="shared" si="83"/>
        <v>800</v>
      </c>
      <c r="BF104" s="456">
        <f t="shared" si="83"/>
        <v>800</v>
      </c>
      <c r="BG104" s="456">
        <f t="shared" si="83"/>
        <v>800</v>
      </c>
      <c r="BH104" s="456">
        <f t="shared" si="83"/>
        <v>800</v>
      </c>
      <c r="BI104" s="456">
        <f t="shared" si="83"/>
        <v>800</v>
      </c>
      <c r="BJ104" s="456">
        <f t="shared" si="83"/>
        <v>800</v>
      </c>
      <c r="BK104" s="456">
        <f t="shared" si="83"/>
        <v>800</v>
      </c>
      <c r="BL104" s="456">
        <f t="shared" si="83"/>
        <v>800</v>
      </c>
      <c r="BM104" s="456">
        <f t="shared" si="83"/>
        <v>800</v>
      </c>
      <c r="BN104" s="456">
        <f t="shared" si="83"/>
        <v>800</v>
      </c>
      <c r="BO104" s="456">
        <f t="shared" si="83"/>
        <v>800</v>
      </c>
      <c r="BP104" s="456">
        <f t="shared" si="83"/>
        <v>800</v>
      </c>
      <c r="BQ104" s="456">
        <f t="shared" si="83"/>
        <v>800</v>
      </c>
      <c r="BR104" s="456">
        <f t="shared" si="83"/>
        <v>800</v>
      </c>
      <c r="BS104" s="456">
        <f t="shared" si="83"/>
        <v>800</v>
      </c>
      <c r="BT104" s="456">
        <f t="shared" si="83"/>
        <v>800</v>
      </c>
      <c r="BU104" s="456">
        <f t="shared" si="83"/>
        <v>800</v>
      </c>
      <c r="BV104" s="456">
        <f t="shared" si="83"/>
        <v>800</v>
      </c>
      <c r="BW104" s="456">
        <f t="shared" si="83"/>
        <v>800</v>
      </c>
      <c r="BX104" s="456">
        <f t="shared" si="83"/>
        <v>800</v>
      </c>
      <c r="BY104" s="456">
        <f t="shared" si="83"/>
        <v>800</v>
      </c>
      <c r="BZ104" s="456">
        <f t="shared" si="83"/>
        <v>800</v>
      </c>
      <c r="CA104" s="456">
        <f t="shared" si="83"/>
        <v>800</v>
      </c>
      <c r="CB104" s="456">
        <f t="shared" si="83"/>
        <v>800</v>
      </c>
      <c r="CC104" s="456">
        <f t="shared" si="83"/>
        <v>800</v>
      </c>
      <c r="CD104" s="456">
        <f t="shared" si="83"/>
        <v>800</v>
      </c>
      <c r="CE104" s="456">
        <f t="shared" si="83"/>
        <v>800</v>
      </c>
      <c r="CF104" s="456">
        <f t="shared" si="83"/>
        <v>800</v>
      </c>
      <c r="CG104" s="456">
        <f t="shared" si="83"/>
        <v>800</v>
      </c>
      <c r="CH104" s="456">
        <f t="shared" si="83"/>
        <v>800</v>
      </c>
      <c r="CI104" s="456">
        <f t="shared" si="83"/>
        <v>800</v>
      </c>
      <c r="CJ104" s="456">
        <f t="shared" si="83"/>
        <v>800</v>
      </c>
      <c r="CK104" s="456">
        <f t="shared" si="83"/>
        <v>800</v>
      </c>
      <c r="CL104" s="456">
        <f t="shared" si="83"/>
        <v>800</v>
      </c>
      <c r="CM104" s="456">
        <f t="shared" si="83"/>
        <v>800</v>
      </c>
      <c r="CN104" s="456">
        <f t="shared" si="83"/>
        <v>800</v>
      </c>
      <c r="CO104" s="456">
        <f t="shared" si="83"/>
        <v>800</v>
      </c>
      <c r="CP104" s="456">
        <f t="shared" si="83"/>
        <v>800</v>
      </c>
      <c r="CQ104" s="456">
        <f t="shared" si="83"/>
        <v>800</v>
      </c>
      <c r="CR104" s="456">
        <f t="shared" si="83"/>
        <v>800</v>
      </c>
      <c r="CS104" s="456">
        <f t="shared" si="83"/>
        <v>800</v>
      </c>
      <c r="CT104" s="456">
        <f t="shared" si="83"/>
        <v>800</v>
      </c>
      <c r="CU104" s="456">
        <f t="shared" si="83"/>
        <v>800</v>
      </c>
      <c r="CV104" s="456">
        <f t="shared" si="83"/>
        <v>800</v>
      </c>
      <c r="CW104" s="456">
        <f t="shared" si="83"/>
        <v>800</v>
      </c>
      <c r="CX104" s="456">
        <f t="shared" si="83"/>
        <v>800</v>
      </c>
      <c r="CY104" s="456">
        <f t="shared" si="83"/>
        <v>800</v>
      </c>
      <c r="CZ104" s="456">
        <f t="shared" si="83"/>
        <v>800</v>
      </c>
      <c r="DA104" s="456">
        <f t="shared" si="83"/>
        <v>800</v>
      </c>
      <c r="DB104" s="456">
        <f t="shared" si="83"/>
        <v>800</v>
      </c>
      <c r="DC104" s="456">
        <f t="shared" si="83"/>
        <v>800</v>
      </c>
      <c r="DD104" s="456">
        <f t="shared" si="83"/>
        <v>800</v>
      </c>
      <c r="DE104" s="456">
        <f t="shared" si="83"/>
        <v>800</v>
      </c>
      <c r="DF104" s="278"/>
      <c r="DG104" s="278"/>
      <c r="DH104" s="278"/>
      <c r="DI104" s="278"/>
      <c r="DJ104" s="278"/>
      <c r="DK104" s="278"/>
      <c r="DL104" s="278"/>
    </row>
    <row r="105" spans="1:134" ht="15.75" customHeight="1" x14ac:dyDescent="0.25">
      <c r="A105" s="735"/>
      <c r="B105" s="354"/>
      <c r="C105" s="355" t="s">
        <v>244</v>
      </c>
      <c r="D105" s="356" t="s">
        <v>247</v>
      </c>
      <c r="E105" s="357"/>
      <c r="F105" s="316" t="s">
        <v>14</v>
      </c>
      <c r="G105" s="317">
        <f t="array" ref="G105">NPV($C$4, J105:DE105)+I105</f>
        <v>8884082.3601115383</v>
      </c>
      <c r="H105" s="445">
        <f t="shared" ref="H105:I105" si="84">H102*H103*H104</f>
        <v>0</v>
      </c>
      <c r="I105" s="446">
        <f t="shared" si="84"/>
        <v>4474091.16</v>
      </c>
      <c r="J105" s="446">
        <f t="shared" ref="J105:DE105" si="85">J102*J103*J104*(1 + $C$3)^(J5 - $I$5)</f>
        <v>4586390.8481160011</v>
      </c>
      <c r="K105" s="446">
        <f t="shared" si="85"/>
        <v>0</v>
      </c>
      <c r="L105" s="446">
        <f t="shared" si="85"/>
        <v>0</v>
      </c>
      <c r="M105" s="446">
        <f t="shared" si="85"/>
        <v>0</v>
      </c>
      <c r="N105" s="446">
        <f t="shared" si="85"/>
        <v>0</v>
      </c>
      <c r="O105" s="446">
        <f t="shared" si="85"/>
        <v>0</v>
      </c>
      <c r="P105" s="446">
        <f t="shared" si="85"/>
        <v>0</v>
      </c>
      <c r="Q105" s="446">
        <f t="shared" si="85"/>
        <v>0</v>
      </c>
      <c r="R105" s="446">
        <f t="shared" si="85"/>
        <v>0</v>
      </c>
      <c r="S105" s="446">
        <f t="shared" si="85"/>
        <v>0</v>
      </c>
      <c r="T105" s="446">
        <f t="shared" si="85"/>
        <v>0</v>
      </c>
      <c r="U105" s="446">
        <f t="shared" si="85"/>
        <v>0</v>
      </c>
      <c r="V105" s="446">
        <f t="shared" si="85"/>
        <v>0</v>
      </c>
      <c r="W105" s="446">
        <f t="shared" si="85"/>
        <v>0</v>
      </c>
      <c r="X105" s="446">
        <f t="shared" si="85"/>
        <v>0</v>
      </c>
      <c r="Y105" s="446">
        <f t="shared" si="85"/>
        <v>0</v>
      </c>
      <c r="Z105" s="446">
        <f t="shared" si="85"/>
        <v>0</v>
      </c>
      <c r="AA105" s="446">
        <f t="shared" si="85"/>
        <v>0</v>
      </c>
      <c r="AB105" s="446">
        <f t="shared" si="85"/>
        <v>0</v>
      </c>
      <c r="AC105" s="446">
        <f t="shared" si="85"/>
        <v>0</v>
      </c>
      <c r="AD105" s="446">
        <f t="shared" si="85"/>
        <v>0</v>
      </c>
      <c r="AE105" s="446">
        <f t="shared" si="85"/>
        <v>0</v>
      </c>
      <c r="AF105" s="446">
        <f t="shared" si="85"/>
        <v>0</v>
      </c>
      <c r="AG105" s="446">
        <f t="shared" si="85"/>
        <v>0</v>
      </c>
      <c r="AH105" s="446">
        <f t="shared" si="85"/>
        <v>0</v>
      </c>
      <c r="AI105" s="446">
        <f t="shared" si="85"/>
        <v>0</v>
      </c>
      <c r="AJ105" s="446">
        <f t="shared" si="85"/>
        <v>0</v>
      </c>
      <c r="AK105" s="446">
        <f t="shared" si="85"/>
        <v>0</v>
      </c>
      <c r="AL105" s="446">
        <f t="shared" si="85"/>
        <v>0</v>
      </c>
      <c r="AM105" s="446">
        <f t="shared" si="85"/>
        <v>0</v>
      </c>
      <c r="AN105" s="446">
        <f t="shared" si="85"/>
        <v>0</v>
      </c>
      <c r="AO105" s="446">
        <f t="shared" si="85"/>
        <v>0</v>
      </c>
      <c r="AP105" s="446">
        <f t="shared" si="85"/>
        <v>0</v>
      </c>
      <c r="AQ105" s="446">
        <f t="shared" si="85"/>
        <v>0</v>
      </c>
      <c r="AR105" s="446">
        <f t="shared" si="85"/>
        <v>0</v>
      </c>
      <c r="AS105" s="446">
        <f t="shared" si="85"/>
        <v>0</v>
      </c>
      <c r="AT105" s="446">
        <f t="shared" si="85"/>
        <v>0</v>
      </c>
      <c r="AU105" s="446">
        <f t="shared" si="85"/>
        <v>0</v>
      </c>
      <c r="AV105" s="446">
        <f t="shared" si="85"/>
        <v>0</v>
      </c>
      <c r="AW105" s="446">
        <f t="shared" si="85"/>
        <v>0</v>
      </c>
      <c r="AX105" s="446">
        <f t="shared" si="85"/>
        <v>0</v>
      </c>
      <c r="AY105" s="446">
        <f t="shared" si="85"/>
        <v>0</v>
      </c>
      <c r="AZ105" s="446">
        <f t="shared" si="85"/>
        <v>0</v>
      </c>
      <c r="BA105" s="446">
        <f t="shared" si="85"/>
        <v>0</v>
      </c>
      <c r="BB105" s="446">
        <f t="shared" si="85"/>
        <v>0</v>
      </c>
      <c r="BC105" s="446">
        <f t="shared" si="85"/>
        <v>0</v>
      </c>
      <c r="BD105" s="446">
        <f t="shared" si="85"/>
        <v>0</v>
      </c>
      <c r="BE105" s="446">
        <f t="shared" si="85"/>
        <v>0</v>
      </c>
      <c r="BF105" s="446">
        <f t="shared" si="85"/>
        <v>0</v>
      </c>
      <c r="BG105" s="446">
        <f t="shared" si="85"/>
        <v>0</v>
      </c>
      <c r="BH105" s="446">
        <f t="shared" si="85"/>
        <v>0</v>
      </c>
      <c r="BI105" s="446">
        <f t="shared" si="85"/>
        <v>0</v>
      </c>
      <c r="BJ105" s="446">
        <f t="shared" si="85"/>
        <v>0</v>
      </c>
      <c r="BK105" s="446">
        <f t="shared" si="85"/>
        <v>0</v>
      </c>
      <c r="BL105" s="446">
        <f t="shared" si="85"/>
        <v>0</v>
      </c>
      <c r="BM105" s="446">
        <f t="shared" si="85"/>
        <v>0</v>
      </c>
      <c r="BN105" s="446">
        <f t="shared" si="85"/>
        <v>0</v>
      </c>
      <c r="BO105" s="446">
        <f t="shared" si="85"/>
        <v>0</v>
      </c>
      <c r="BP105" s="446">
        <f t="shared" si="85"/>
        <v>0</v>
      </c>
      <c r="BQ105" s="446">
        <f t="shared" si="85"/>
        <v>0</v>
      </c>
      <c r="BR105" s="446">
        <f t="shared" si="85"/>
        <v>0</v>
      </c>
      <c r="BS105" s="446">
        <f t="shared" si="85"/>
        <v>0</v>
      </c>
      <c r="BT105" s="446">
        <f t="shared" si="85"/>
        <v>0</v>
      </c>
      <c r="BU105" s="446">
        <f t="shared" si="85"/>
        <v>0</v>
      </c>
      <c r="BV105" s="446">
        <f t="shared" si="85"/>
        <v>0</v>
      </c>
      <c r="BW105" s="446">
        <f t="shared" si="85"/>
        <v>0</v>
      </c>
      <c r="BX105" s="446">
        <f t="shared" si="85"/>
        <v>0</v>
      </c>
      <c r="BY105" s="446">
        <f t="shared" si="85"/>
        <v>0</v>
      </c>
      <c r="BZ105" s="446">
        <f t="shared" si="85"/>
        <v>0</v>
      </c>
      <c r="CA105" s="446">
        <f t="shared" si="85"/>
        <v>0</v>
      </c>
      <c r="CB105" s="446">
        <f t="shared" si="85"/>
        <v>0</v>
      </c>
      <c r="CC105" s="446">
        <f t="shared" si="85"/>
        <v>0</v>
      </c>
      <c r="CD105" s="446">
        <f t="shared" si="85"/>
        <v>0</v>
      </c>
      <c r="CE105" s="446">
        <f t="shared" si="85"/>
        <v>0</v>
      </c>
      <c r="CF105" s="446">
        <f t="shared" si="85"/>
        <v>0</v>
      </c>
      <c r="CG105" s="446">
        <f t="shared" si="85"/>
        <v>0</v>
      </c>
      <c r="CH105" s="446">
        <f t="shared" si="85"/>
        <v>0</v>
      </c>
      <c r="CI105" s="446">
        <f t="shared" si="85"/>
        <v>0</v>
      </c>
      <c r="CJ105" s="446">
        <f t="shared" si="85"/>
        <v>0</v>
      </c>
      <c r="CK105" s="446">
        <f t="shared" si="85"/>
        <v>0</v>
      </c>
      <c r="CL105" s="446">
        <f t="shared" si="85"/>
        <v>0</v>
      </c>
      <c r="CM105" s="446">
        <f t="shared" si="85"/>
        <v>0</v>
      </c>
      <c r="CN105" s="446">
        <f t="shared" si="85"/>
        <v>0</v>
      </c>
      <c r="CO105" s="446">
        <f t="shared" si="85"/>
        <v>0</v>
      </c>
      <c r="CP105" s="446">
        <f t="shared" si="85"/>
        <v>0</v>
      </c>
      <c r="CQ105" s="446">
        <f t="shared" si="85"/>
        <v>0</v>
      </c>
      <c r="CR105" s="446">
        <f t="shared" si="85"/>
        <v>0</v>
      </c>
      <c r="CS105" s="446">
        <f t="shared" si="85"/>
        <v>0</v>
      </c>
      <c r="CT105" s="446">
        <f t="shared" si="85"/>
        <v>0</v>
      </c>
      <c r="CU105" s="446">
        <f t="shared" si="85"/>
        <v>0</v>
      </c>
      <c r="CV105" s="446">
        <f t="shared" si="85"/>
        <v>0</v>
      </c>
      <c r="CW105" s="446">
        <f t="shared" si="85"/>
        <v>0</v>
      </c>
      <c r="CX105" s="446">
        <f t="shared" si="85"/>
        <v>0</v>
      </c>
      <c r="CY105" s="446">
        <f t="shared" si="85"/>
        <v>0</v>
      </c>
      <c r="CZ105" s="446">
        <f t="shared" si="85"/>
        <v>0</v>
      </c>
      <c r="DA105" s="446">
        <f t="shared" si="85"/>
        <v>0</v>
      </c>
      <c r="DB105" s="446">
        <f t="shared" si="85"/>
        <v>0</v>
      </c>
      <c r="DC105" s="446">
        <f t="shared" si="85"/>
        <v>0</v>
      </c>
      <c r="DD105" s="446">
        <f t="shared" si="85"/>
        <v>0</v>
      </c>
      <c r="DE105" s="446">
        <f t="shared" si="85"/>
        <v>0</v>
      </c>
      <c r="DF105" s="447"/>
      <c r="DG105" s="447"/>
      <c r="DH105" s="447"/>
      <c r="DI105" s="447"/>
      <c r="DJ105" s="447"/>
      <c r="DK105" s="447"/>
      <c r="DL105" s="447"/>
    </row>
    <row r="106" spans="1:134" ht="15.75" customHeight="1" x14ac:dyDescent="0.25">
      <c r="A106" s="735"/>
      <c r="B106" s="424" t="s">
        <v>365</v>
      </c>
      <c r="C106" s="321" t="str">
        <f t="shared" ref="C106:DE106" si="86">C81</f>
        <v>Same as DEP measurement</v>
      </c>
      <c r="D106" s="280" t="str">
        <f t="shared" si="86"/>
        <v>$/Year</v>
      </c>
      <c r="E106" s="280">
        <f t="shared" si="86"/>
        <v>0</v>
      </c>
      <c r="F106" s="321">
        <f t="shared" si="86"/>
        <v>0</v>
      </c>
      <c r="G106" s="321">
        <f t="shared" si="86"/>
        <v>0</v>
      </c>
      <c r="H106" s="455">
        <f t="shared" si="86"/>
        <v>9.538186444413796</v>
      </c>
      <c r="I106" s="456">
        <f t="shared" si="86"/>
        <v>27.506210581776202</v>
      </c>
      <c r="J106" s="456">
        <f t="shared" si="86"/>
        <v>28.323567212334815</v>
      </c>
      <c r="K106" s="456">
        <f t="shared" si="86"/>
        <v>11.400557893546143</v>
      </c>
      <c r="L106" s="456">
        <f t="shared" si="86"/>
        <v>11.628569051417065</v>
      </c>
      <c r="M106" s="456">
        <f t="shared" si="86"/>
        <v>11.861140432445408</v>
      </c>
      <c r="N106" s="456">
        <f t="shared" si="86"/>
        <v>12.098363241094317</v>
      </c>
      <c r="O106" s="456">
        <f t="shared" si="86"/>
        <v>12.340330505916203</v>
      </c>
      <c r="P106" s="456">
        <f t="shared" si="86"/>
        <v>12.587137116034524</v>
      </c>
      <c r="Q106" s="456">
        <f t="shared" si="86"/>
        <v>12.838879858355217</v>
      </c>
      <c r="R106" s="456">
        <f t="shared" si="86"/>
        <v>13.09565745552232</v>
      </c>
      <c r="S106" s="456">
        <f t="shared" si="86"/>
        <v>13.357570604632768</v>
      </c>
      <c r="T106" s="456">
        <f t="shared" si="86"/>
        <v>13.624722016725419</v>
      </c>
      <c r="U106" s="456">
        <f t="shared" si="86"/>
        <v>13.897216457059931</v>
      </c>
      <c r="V106" s="456">
        <f t="shared" si="86"/>
        <v>14.175160786201129</v>
      </c>
      <c r="W106" s="456">
        <f t="shared" si="86"/>
        <v>14.458664001925152</v>
      </c>
      <c r="X106" s="456">
        <f t="shared" si="86"/>
        <v>14.747837281963651</v>
      </c>
      <c r="Y106" s="456">
        <f t="shared" si="86"/>
        <v>15.042794027602927</v>
      </c>
      <c r="Z106" s="456">
        <f t="shared" si="86"/>
        <v>15.343649908154987</v>
      </c>
      <c r="AA106" s="456">
        <f t="shared" si="86"/>
        <v>15.650522906318084</v>
      </c>
      <c r="AB106" s="456">
        <f t="shared" si="86"/>
        <v>15.963533364444446</v>
      </c>
      <c r="AC106" s="456">
        <f t="shared" si="86"/>
        <v>16.282804031733338</v>
      </c>
      <c r="AD106" s="456">
        <f t="shared" si="86"/>
        <v>16.608460112368004</v>
      </c>
      <c r="AE106" s="456">
        <f t="shared" si="86"/>
        <v>16.940629314615364</v>
      </c>
      <c r="AF106" s="456">
        <f t="shared" si="86"/>
        <v>17.279441900907667</v>
      </c>
      <c r="AG106" s="456">
        <f t="shared" si="86"/>
        <v>17.625030738925823</v>
      </c>
      <c r="AH106" s="456">
        <f t="shared" si="86"/>
        <v>17.97753135370434</v>
      </c>
      <c r="AI106" s="456">
        <f t="shared" si="86"/>
        <v>18.337081980778425</v>
      </c>
      <c r="AJ106" s="456">
        <f t="shared" si="86"/>
        <v>18.70382362039399</v>
      </c>
      <c r="AK106" s="456">
        <f t="shared" si="86"/>
        <v>19.077900092801876</v>
      </c>
      <c r="AL106" s="456">
        <f t="shared" si="86"/>
        <v>19.459458094657911</v>
      </c>
      <c r="AM106" s="456">
        <f t="shared" si="86"/>
        <v>19.848647256551072</v>
      </c>
      <c r="AN106" s="456">
        <f t="shared" si="86"/>
        <v>20.245620201682087</v>
      </c>
      <c r="AO106" s="456">
        <f t="shared" si="86"/>
        <v>20.650532605715732</v>
      </c>
      <c r="AP106" s="456">
        <f t="shared" si="86"/>
        <v>21.063543257830048</v>
      </c>
      <c r="AQ106" s="456">
        <f t="shared" si="86"/>
        <v>21.484814122986648</v>
      </c>
      <c r="AR106" s="456">
        <f t="shared" si="86"/>
        <v>21.914510405446379</v>
      </c>
      <c r="AS106" s="456">
        <f t="shared" si="86"/>
        <v>22.352800613555306</v>
      </c>
      <c r="AT106" s="456">
        <f t="shared" si="86"/>
        <v>22.799856625826415</v>
      </c>
      <c r="AU106" s="456">
        <f t="shared" si="86"/>
        <v>23.255853758342948</v>
      </c>
      <c r="AV106" s="456">
        <f t="shared" si="86"/>
        <v>23.720970833509796</v>
      </c>
      <c r="AW106" s="456">
        <f t="shared" si="86"/>
        <v>24.195390250179997</v>
      </c>
      <c r="AX106" s="456">
        <f t="shared" si="86"/>
        <v>24.679298055183597</v>
      </c>
      <c r="AY106" s="456">
        <f t="shared" si="86"/>
        <v>25.17288401628727</v>
      </c>
      <c r="AZ106" s="456">
        <f t="shared" si="86"/>
        <v>25.676341696613012</v>
      </c>
      <c r="BA106" s="456">
        <f t="shared" si="86"/>
        <v>26.189868530545276</v>
      </c>
      <c r="BB106" s="456">
        <f t="shared" si="86"/>
        <v>26.71366590115618</v>
      </c>
      <c r="BC106" s="456">
        <f t="shared" si="86"/>
        <v>27.247939219179308</v>
      </c>
      <c r="BD106" s="456">
        <f t="shared" si="86"/>
        <v>27.792898003562883</v>
      </c>
      <c r="BE106" s="456">
        <f t="shared" si="86"/>
        <v>28.348755963634147</v>
      </c>
      <c r="BF106" s="456">
        <f t="shared" si="86"/>
        <v>28.915731082906831</v>
      </c>
      <c r="BG106" s="456">
        <f t="shared" si="86"/>
        <v>29.494045704564968</v>
      </c>
      <c r="BH106" s="456">
        <f t="shared" si="86"/>
        <v>30.083926618656264</v>
      </c>
      <c r="BI106" s="456">
        <f t="shared" si="86"/>
        <v>30.685605151029392</v>
      </c>
      <c r="BJ106" s="456">
        <f t="shared" si="86"/>
        <v>31.299317254049974</v>
      </c>
      <c r="BK106" s="456">
        <f t="shared" si="86"/>
        <v>31.925303599130981</v>
      </c>
      <c r="BL106" s="456">
        <f t="shared" si="86"/>
        <v>32.563809671113589</v>
      </c>
      <c r="BM106" s="456">
        <f t="shared" si="86"/>
        <v>33.215085864535865</v>
      </c>
      <c r="BN106" s="456">
        <f t="shared" si="86"/>
        <v>33.879387581826578</v>
      </c>
      <c r="BO106" s="456">
        <f t="shared" si="86"/>
        <v>34.556975333463114</v>
      </c>
      <c r="BP106" s="456">
        <f t="shared" si="86"/>
        <v>35.248114840132374</v>
      </c>
      <c r="BQ106" s="456">
        <f t="shared" si="86"/>
        <v>35.953077136935029</v>
      </c>
      <c r="BR106" s="456">
        <f t="shared" si="86"/>
        <v>36.672138679673722</v>
      </c>
      <c r="BS106" s="456">
        <f t="shared" si="86"/>
        <v>37.405581453267203</v>
      </c>
      <c r="BT106" s="456">
        <f t="shared" si="86"/>
        <v>38.153693082332538</v>
      </c>
      <c r="BU106" s="456">
        <f t="shared" si="86"/>
        <v>38.916766943979198</v>
      </c>
      <c r="BV106" s="456">
        <f t="shared" si="86"/>
        <v>39.695102282858784</v>
      </c>
      <c r="BW106" s="456">
        <f t="shared" si="86"/>
        <v>40.489004328515954</v>
      </c>
      <c r="BX106" s="456">
        <f t="shared" si="86"/>
        <v>41.298784415086274</v>
      </c>
      <c r="BY106" s="456">
        <f t="shared" si="86"/>
        <v>42.124760103387999</v>
      </c>
      <c r="BZ106" s="456">
        <f t="shared" si="86"/>
        <v>42.967255305455758</v>
      </c>
      <c r="CA106" s="456">
        <f t="shared" si="86"/>
        <v>43.826600411564876</v>
      </c>
      <c r="CB106" s="456">
        <f t="shared" si="86"/>
        <v>44.703132419796169</v>
      </c>
      <c r="CC106" s="456">
        <f t="shared" si="86"/>
        <v>45.597195068192093</v>
      </c>
      <c r="CD106" s="456">
        <f t="shared" si="86"/>
        <v>46.509138969555934</v>
      </c>
      <c r="CE106" s="456">
        <f t="shared" si="86"/>
        <v>47.439321748947059</v>
      </c>
      <c r="CF106" s="456">
        <f t="shared" si="86"/>
        <v>48.388108183925986</v>
      </c>
      <c r="CG106" s="456">
        <f t="shared" si="86"/>
        <v>49.355870347604515</v>
      </c>
      <c r="CH106" s="456">
        <f t="shared" si="86"/>
        <v>50.34298775455661</v>
      </c>
      <c r="CI106" s="456">
        <f t="shared" si="86"/>
        <v>51.349847509647745</v>
      </c>
      <c r="CJ106" s="456">
        <f t="shared" si="86"/>
        <v>52.376844459840683</v>
      </c>
      <c r="CK106" s="456">
        <f t="shared" si="86"/>
        <v>53.424381349037503</v>
      </c>
      <c r="CL106" s="456">
        <f t="shared" si="86"/>
        <v>54.492868976018251</v>
      </c>
      <c r="CM106" s="456">
        <f t="shared" si="86"/>
        <v>55.582726355538611</v>
      </c>
      <c r="CN106" s="456">
        <f t="shared" si="86"/>
        <v>56.694380882649384</v>
      </c>
      <c r="CO106" s="456">
        <f t="shared" si="86"/>
        <v>57.828268500302379</v>
      </c>
      <c r="CP106" s="456">
        <f t="shared" si="86"/>
        <v>58.984833870308428</v>
      </c>
      <c r="CQ106" s="456">
        <f t="shared" si="86"/>
        <v>60.164530547714598</v>
      </c>
      <c r="CR106" s="456">
        <f t="shared" si="86"/>
        <v>61.367821158668875</v>
      </c>
      <c r="CS106" s="456">
        <f t="shared" si="86"/>
        <v>62.595177581842258</v>
      </c>
      <c r="CT106" s="456">
        <f t="shared" si="86"/>
        <v>63.847081133479108</v>
      </c>
      <c r="CU106" s="456">
        <f t="shared" si="86"/>
        <v>65.12402275614869</v>
      </c>
      <c r="CV106" s="456">
        <f t="shared" si="86"/>
        <v>66.426503211271651</v>
      </c>
      <c r="CW106" s="456">
        <f t="shared" si="86"/>
        <v>67.755033275497098</v>
      </c>
      <c r="CX106" s="456">
        <f t="shared" si="86"/>
        <v>69.110133941007035</v>
      </c>
      <c r="CY106" s="456">
        <f t="shared" si="86"/>
        <v>70.492336619827185</v>
      </c>
      <c r="CZ106" s="456">
        <f t="shared" si="86"/>
        <v>71.902183352223702</v>
      </c>
      <c r="DA106" s="456">
        <f t="shared" si="86"/>
        <v>73.340227019268198</v>
      </c>
      <c r="DB106" s="456">
        <f t="shared" si="86"/>
        <v>74.807031559653566</v>
      </c>
      <c r="DC106" s="456">
        <f t="shared" si="86"/>
        <v>76.303172190846624</v>
      </c>
      <c r="DD106" s="456">
        <f t="shared" si="86"/>
        <v>77.829235634663561</v>
      </c>
      <c r="DE106" s="456">
        <f t="shared" si="86"/>
        <v>79.385820347356827</v>
      </c>
      <c r="DF106" s="278"/>
      <c r="DG106" s="278"/>
      <c r="DH106" s="278"/>
      <c r="DI106" s="278"/>
      <c r="DJ106" s="278"/>
      <c r="DK106" s="278"/>
      <c r="DL106" s="278"/>
    </row>
    <row r="107" spans="1:134" ht="15.75" customHeight="1" x14ac:dyDescent="0.25">
      <c r="A107" s="740"/>
      <c r="B107" s="457"/>
      <c r="C107" s="355" t="s">
        <v>244</v>
      </c>
      <c r="D107" s="381" t="s">
        <v>247</v>
      </c>
      <c r="E107" s="357"/>
      <c r="F107" s="316" t="s">
        <v>14</v>
      </c>
      <c r="G107" s="317">
        <f t="shared" ref="G107:G108" si="87">NPV($C$4, J107:DE107)+I107</f>
        <v>522.68019091137046</v>
      </c>
      <c r="H107" s="359">
        <f t="shared" ref="H107:DE107" si="88">H106</f>
        <v>9.538186444413796</v>
      </c>
      <c r="I107" s="360">
        <f t="shared" si="88"/>
        <v>27.506210581776202</v>
      </c>
      <c r="J107" s="360">
        <f t="shared" si="88"/>
        <v>28.323567212334815</v>
      </c>
      <c r="K107" s="360">
        <f t="shared" si="88"/>
        <v>11.400557893546143</v>
      </c>
      <c r="L107" s="360">
        <f t="shared" si="88"/>
        <v>11.628569051417065</v>
      </c>
      <c r="M107" s="360">
        <f t="shared" si="88"/>
        <v>11.861140432445408</v>
      </c>
      <c r="N107" s="360">
        <f t="shared" si="88"/>
        <v>12.098363241094317</v>
      </c>
      <c r="O107" s="360">
        <f t="shared" si="88"/>
        <v>12.340330505916203</v>
      </c>
      <c r="P107" s="360">
        <f t="shared" si="88"/>
        <v>12.587137116034524</v>
      </c>
      <c r="Q107" s="360">
        <f t="shared" si="88"/>
        <v>12.838879858355217</v>
      </c>
      <c r="R107" s="360">
        <f t="shared" si="88"/>
        <v>13.09565745552232</v>
      </c>
      <c r="S107" s="360">
        <f t="shared" si="88"/>
        <v>13.357570604632768</v>
      </c>
      <c r="T107" s="360">
        <f t="shared" si="88"/>
        <v>13.624722016725419</v>
      </c>
      <c r="U107" s="360">
        <f t="shared" si="88"/>
        <v>13.897216457059931</v>
      </c>
      <c r="V107" s="360">
        <f t="shared" si="88"/>
        <v>14.175160786201129</v>
      </c>
      <c r="W107" s="360">
        <f t="shared" si="88"/>
        <v>14.458664001925152</v>
      </c>
      <c r="X107" s="360">
        <f t="shared" si="88"/>
        <v>14.747837281963651</v>
      </c>
      <c r="Y107" s="360">
        <f t="shared" si="88"/>
        <v>15.042794027602927</v>
      </c>
      <c r="Z107" s="360">
        <f t="shared" si="88"/>
        <v>15.343649908154987</v>
      </c>
      <c r="AA107" s="360">
        <f t="shared" si="88"/>
        <v>15.650522906318084</v>
      </c>
      <c r="AB107" s="360">
        <f t="shared" si="88"/>
        <v>15.963533364444446</v>
      </c>
      <c r="AC107" s="360">
        <f t="shared" si="88"/>
        <v>16.282804031733338</v>
      </c>
      <c r="AD107" s="360">
        <f t="shared" si="88"/>
        <v>16.608460112368004</v>
      </c>
      <c r="AE107" s="360">
        <f t="shared" si="88"/>
        <v>16.940629314615364</v>
      </c>
      <c r="AF107" s="360">
        <f t="shared" si="88"/>
        <v>17.279441900907667</v>
      </c>
      <c r="AG107" s="360">
        <f t="shared" si="88"/>
        <v>17.625030738925823</v>
      </c>
      <c r="AH107" s="360">
        <f t="shared" si="88"/>
        <v>17.97753135370434</v>
      </c>
      <c r="AI107" s="360">
        <f t="shared" si="88"/>
        <v>18.337081980778425</v>
      </c>
      <c r="AJ107" s="360">
        <f t="shared" si="88"/>
        <v>18.70382362039399</v>
      </c>
      <c r="AK107" s="360">
        <f t="shared" si="88"/>
        <v>19.077900092801876</v>
      </c>
      <c r="AL107" s="360">
        <f t="shared" si="88"/>
        <v>19.459458094657911</v>
      </c>
      <c r="AM107" s="360">
        <f t="shared" si="88"/>
        <v>19.848647256551072</v>
      </c>
      <c r="AN107" s="360">
        <f t="shared" si="88"/>
        <v>20.245620201682087</v>
      </c>
      <c r="AO107" s="360">
        <f t="shared" si="88"/>
        <v>20.650532605715732</v>
      </c>
      <c r="AP107" s="360">
        <f t="shared" si="88"/>
        <v>21.063543257830048</v>
      </c>
      <c r="AQ107" s="360">
        <f t="shared" si="88"/>
        <v>21.484814122986648</v>
      </c>
      <c r="AR107" s="360">
        <f t="shared" si="88"/>
        <v>21.914510405446379</v>
      </c>
      <c r="AS107" s="360">
        <f t="shared" si="88"/>
        <v>22.352800613555306</v>
      </c>
      <c r="AT107" s="360">
        <f t="shared" si="88"/>
        <v>22.799856625826415</v>
      </c>
      <c r="AU107" s="360">
        <f t="shared" si="88"/>
        <v>23.255853758342948</v>
      </c>
      <c r="AV107" s="360">
        <f t="shared" si="88"/>
        <v>23.720970833509796</v>
      </c>
      <c r="AW107" s="360">
        <f t="shared" si="88"/>
        <v>24.195390250179997</v>
      </c>
      <c r="AX107" s="360">
        <f t="shared" si="88"/>
        <v>24.679298055183597</v>
      </c>
      <c r="AY107" s="360">
        <f t="shared" si="88"/>
        <v>25.17288401628727</v>
      </c>
      <c r="AZ107" s="360">
        <f t="shared" si="88"/>
        <v>25.676341696613012</v>
      </c>
      <c r="BA107" s="360">
        <f t="shared" si="88"/>
        <v>26.189868530545276</v>
      </c>
      <c r="BB107" s="360">
        <f t="shared" si="88"/>
        <v>26.71366590115618</v>
      </c>
      <c r="BC107" s="360">
        <f t="shared" si="88"/>
        <v>27.247939219179308</v>
      </c>
      <c r="BD107" s="360">
        <f t="shared" si="88"/>
        <v>27.792898003562883</v>
      </c>
      <c r="BE107" s="360">
        <f t="shared" si="88"/>
        <v>28.348755963634147</v>
      </c>
      <c r="BF107" s="360">
        <f t="shared" si="88"/>
        <v>28.915731082906831</v>
      </c>
      <c r="BG107" s="360">
        <f t="shared" si="88"/>
        <v>29.494045704564968</v>
      </c>
      <c r="BH107" s="360">
        <f t="shared" si="88"/>
        <v>30.083926618656264</v>
      </c>
      <c r="BI107" s="360">
        <f t="shared" si="88"/>
        <v>30.685605151029392</v>
      </c>
      <c r="BJ107" s="360">
        <f t="shared" si="88"/>
        <v>31.299317254049974</v>
      </c>
      <c r="BK107" s="360">
        <f t="shared" si="88"/>
        <v>31.925303599130981</v>
      </c>
      <c r="BL107" s="360">
        <f t="shared" si="88"/>
        <v>32.563809671113589</v>
      </c>
      <c r="BM107" s="360">
        <f t="shared" si="88"/>
        <v>33.215085864535865</v>
      </c>
      <c r="BN107" s="360">
        <f t="shared" si="88"/>
        <v>33.879387581826578</v>
      </c>
      <c r="BO107" s="360">
        <f t="shared" si="88"/>
        <v>34.556975333463114</v>
      </c>
      <c r="BP107" s="360">
        <f t="shared" si="88"/>
        <v>35.248114840132374</v>
      </c>
      <c r="BQ107" s="360">
        <f t="shared" si="88"/>
        <v>35.953077136935029</v>
      </c>
      <c r="BR107" s="360">
        <f t="shared" si="88"/>
        <v>36.672138679673722</v>
      </c>
      <c r="BS107" s="360">
        <f t="shared" si="88"/>
        <v>37.405581453267203</v>
      </c>
      <c r="BT107" s="360">
        <f t="shared" si="88"/>
        <v>38.153693082332538</v>
      </c>
      <c r="BU107" s="360">
        <f t="shared" si="88"/>
        <v>38.916766943979198</v>
      </c>
      <c r="BV107" s="360">
        <f t="shared" si="88"/>
        <v>39.695102282858784</v>
      </c>
      <c r="BW107" s="360">
        <f t="shared" si="88"/>
        <v>40.489004328515954</v>
      </c>
      <c r="BX107" s="360">
        <f t="shared" si="88"/>
        <v>41.298784415086274</v>
      </c>
      <c r="BY107" s="360">
        <f t="shared" si="88"/>
        <v>42.124760103387999</v>
      </c>
      <c r="BZ107" s="360">
        <f t="shared" si="88"/>
        <v>42.967255305455758</v>
      </c>
      <c r="CA107" s="360">
        <f t="shared" si="88"/>
        <v>43.826600411564876</v>
      </c>
      <c r="CB107" s="360">
        <f t="shared" si="88"/>
        <v>44.703132419796169</v>
      </c>
      <c r="CC107" s="360">
        <f t="shared" si="88"/>
        <v>45.597195068192093</v>
      </c>
      <c r="CD107" s="360">
        <f t="shared" si="88"/>
        <v>46.509138969555934</v>
      </c>
      <c r="CE107" s="360">
        <f t="shared" si="88"/>
        <v>47.439321748947059</v>
      </c>
      <c r="CF107" s="360">
        <f t="shared" si="88"/>
        <v>48.388108183925986</v>
      </c>
      <c r="CG107" s="360">
        <f t="shared" si="88"/>
        <v>49.355870347604515</v>
      </c>
      <c r="CH107" s="360">
        <f t="shared" si="88"/>
        <v>50.34298775455661</v>
      </c>
      <c r="CI107" s="360">
        <f t="shared" si="88"/>
        <v>51.349847509647745</v>
      </c>
      <c r="CJ107" s="360">
        <f t="shared" si="88"/>
        <v>52.376844459840683</v>
      </c>
      <c r="CK107" s="360">
        <f t="shared" si="88"/>
        <v>53.424381349037503</v>
      </c>
      <c r="CL107" s="360">
        <f t="shared" si="88"/>
        <v>54.492868976018251</v>
      </c>
      <c r="CM107" s="360">
        <f t="shared" si="88"/>
        <v>55.582726355538611</v>
      </c>
      <c r="CN107" s="360">
        <f t="shared" si="88"/>
        <v>56.694380882649384</v>
      </c>
      <c r="CO107" s="360">
        <f t="shared" si="88"/>
        <v>57.828268500302379</v>
      </c>
      <c r="CP107" s="360">
        <f t="shared" si="88"/>
        <v>58.984833870308428</v>
      </c>
      <c r="CQ107" s="360">
        <f t="shared" si="88"/>
        <v>60.164530547714598</v>
      </c>
      <c r="CR107" s="360">
        <f t="shared" si="88"/>
        <v>61.367821158668875</v>
      </c>
      <c r="CS107" s="360">
        <f t="shared" si="88"/>
        <v>62.595177581842258</v>
      </c>
      <c r="CT107" s="360">
        <f t="shared" si="88"/>
        <v>63.847081133479108</v>
      </c>
      <c r="CU107" s="360">
        <f t="shared" si="88"/>
        <v>65.12402275614869</v>
      </c>
      <c r="CV107" s="360">
        <f t="shared" si="88"/>
        <v>66.426503211271651</v>
      </c>
      <c r="CW107" s="360">
        <f t="shared" si="88"/>
        <v>67.755033275497098</v>
      </c>
      <c r="CX107" s="360">
        <f t="shared" si="88"/>
        <v>69.110133941007035</v>
      </c>
      <c r="CY107" s="360">
        <f t="shared" si="88"/>
        <v>70.492336619827185</v>
      </c>
      <c r="CZ107" s="360">
        <f t="shared" si="88"/>
        <v>71.902183352223702</v>
      </c>
      <c r="DA107" s="360">
        <f t="shared" si="88"/>
        <v>73.340227019268198</v>
      </c>
      <c r="DB107" s="360">
        <f t="shared" si="88"/>
        <v>74.807031559653566</v>
      </c>
      <c r="DC107" s="360">
        <f t="shared" si="88"/>
        <v>76.303172190846624</v>
      </c>
      <c r="DD107" s="360">
        <f t="shared" si="88"/>
        <v>77.829235634663561</v>
      </c>
      <c r="DE107" s="360">
        <f t="shared" si="88"/>
        <v>79.385820347356827</v>
      </c>
      <c r="DF107" s="435"/>
      <c r="DG107" s="435"/>
      <c r="DH107" s="435"/>
      <c r="DI107" s="435"/>
      <c r="DJ107" s="435"/>
      <c r="DK107" s="435"/>
      <c r="DL107" s="435"/>
    </row>
    <row r="108" spans="1:134" ht="15.75" customHeight="1" x14ac:dyDescent="0.25">
      <c r="A108" s="448"/>
      <c r="B108" s="449"/>
      <c r="C108" s="450" t="s">
        <v>366</v>
      </c>
      <c r="D108" s="458" t="s">
        <v>247</v>
      </c>
      <c r="E108" s="451"/>
      <c r="F108" s="316" t="s">
        <v>14</v>
      </c>
      <c r="G108" s="317">
        <f t="shared" si="87"/>
        <v>9103127.3080450054</v>
      </c>
      <c r="H108" s="318">
        <f t="shared" ref="H108:DE108" si="89">H100+H105+H107</f>
        <v>8577.3592542654824</v>
      </c>
      <c r="I108" s="319">
        <f t="shared" si="89"/>
        <v>4482686.4872784028</v>
      </c>
      <c r="J108" s="319">
        <f t="shared" si="89"/>
        <v>4594986.9927510349</v>
      </c>
      <c r="K108" s="319">
        <f t="shared" si="89"/>
        <v>8579.2216257146156</v>
      </c>
      <c r="L108" s="319">
        <f t="shared" si="89"/>
        <v>8579.4496368724867</v>
      </c>
      <c r="M108" s="319">
        <f t="shared" si="89"/>
        <v>8579.6822082535145</v>
      </c>
      <c r="N108" s="319">
        <f t="shared" si="89"/>
        <v>8579.9194310621624</v>
      </c>
      <c r="O108" s="319">
        <f t="shared" si="89"/>
        <v>8580.1613983269854</v>
      </c>
      <c r="P108" s="319">
        <f t="shared" si="89"/>
        <v>8580.4082049371027</v>
      </c>
      <c r="Q108" s="319">
        <f t="shared" si="89"/>
        <v>8580.6599476794236</v>
      </c>
      <c r="R108" s="319">
        <f t="shared" si="89"/>
        <v>8580.916725276591</v>
      </c>
      <c r="S108" s="319">
        <f t="shared" si="89"/>
        <v>8581.1786384257011</v>
      </c>
      <c r="T108" s="319">
        <f t="shared" si="89"/>
        <v>8581.445789837795</v>
      </c>
      <c r="U108" s="319">
        <f t="shared" si="89"/>
        <v>8581.7182842781294</v>
      </c>
      <c r="V108" s="319">
        <f t="shared" si="89"/>
        <v>8581.9962286072696</v>
      </c>
      <c r="W108" s="319">
        <f t="shared" si="89"/>
        <v>8582.2797318229932</v>
      </c>
      <c r="X108" s="319">
        <f t="shared" si="89"/>
        <v>8582.5689051030331</v>
      </c>
      <c r="Y108" s="319">
        <f t="shared" si="89"/>
        <v>8582.8638618486711</v>
      </c>
      <c r="Z108" s="319">
        <f t="shared" si="89"/>
        <v>8583.1647177292234</v>
      </c>
      <c r="AA108" s="319">
        <f t="shared" si="89"/>
        <v>8583.4715907273876</v>
      </c>
      <c r="AB108" s="319">
        <f t="shared" si="89"/>
        <v>8583.7846011855127</v>
      </c>
      <c r="AC108" s="319">
        <f t="shared" si="89"/>
        <v>8584.1038718528016</v>
      </c>
      <c r="AD108" s="319">
        <f t="shared" si="89"/>
        <v>8584.4295279334365</v>
      </c>
      <c r="AE108" s="319">
        <f t="shared" si="89"/>
        <v>8584.7616971356838</v>
      </c>
      <c r="AF108" s="319">
        <f t="shared" si="89"/>
        <v>8585.1005097219768</v>
      </c>
      <c r="AG108" s="319">
        <f t="shared" si="89"/>
        <v>8585.4460985599944</v>
      </c>
      <c r="AH108" s="319">
        <f t="shared" si="89"/>
        <v>8585.7985991747737</v>
      </c>
      <c r="AI108" s="319">
        <f t="shared" si="89"/>
        <v>8586.1581498018477</v>
      </c>
      <c r="AJ108" s="319">
        <f t="shared" si="89"/>
        <v>8586.5248914414624</v>
      </c>
      <c r="AK108" s="319">
        <f t="shared" si="89"/>
        <v>8586.8989679138704</v>
      </c>
      <c r="AL108" s="319">
        <f t="shared" si="89"/>
        <v>8587.2805259157267</v>
      </c>
      <c r="AM108" s="319">
        <f t="shared" si="89"/>
        <v>8587.6697150776199</v>
      </c>
      <c r="AN108" s="319">
        <f t="shared" si="89"/>
        <v>8588.0666880227509</v>
      </c>
      <c r="AO108" s="319">
        <f t="shared" si="89"/>
        <v>8588.4716004267848</v>
      </c>
      <c r="AP108" s="319">
        <f t="shared" si="89"/>
        <v>8588.8846110788982</v>
      </c>
      <c r="AQ108" s="319">
        <f t="shared" si="89"/>
        <v>8589.3058819440557</v>
      </c>
      <c r="AR108" s="319">
        <f t="shared" si="89"/>
        <v>8589.7355782265149</v>
      </c>
      <c r="AS108" s="319">
        <f t="shared" si="89"/>
        <v>8590.1738684346237</v>
      </c>
      <c r="AT108" s="319">
        <f t="shared" si="89"/>
        <v>8590.6209244468955</v>
      </c>
      <c r="AU108" s="319">
        <f t="shared" si="89"/>
        <v>8591.0769215794116</v>
      </c>
      <c r="AV108" s="319">
        <f t="shared" si="89"/>
        <v>8591.5420386545793</v>
      </c>
      <c r="AW108" s="319">
        <f t="shared" si="89"/>
        <v>8592.0164580712481</v>
      </c>
      <c r="AX108" s="319">
        <f t="shared" si="89"/>
        <v>8592.5003658762525</v>
      </c>
      <c r="AY108" s="319">
        <f t="shared" si="89"/>
        <v>8592.9939518373558</v>
      </c>
      <c r="AZ108" s="319">
        <f t="shared" si="89"/>
        <v>8593.4974095176822</v>
      </c>
      <c r="BA108" s="319">
        <f t="shared" si="89"/>
        <v>8594.0109363516149</v>
      </c>
      <c r="BB108" s="319">
        <f t="shared" si="89"/>
        <v>8594.5347337222247</v>
      </c>
      <c r="BC108" s="319">
        <f t="shared" si="89"/>
        <v>8595.0690070402488</v>
      </c>
      <c r="BD108" s="319">
        <f t="shared" si="89"/>
        <v>8595.613965824632</v>
      </c>
      <c r="BE108" s="319">
        <f t="shared" si="89"/>
        <v>8596.1698237847031</v>
      </c>
      <c r="BF108" s="319">
        <f t="shared" si="89"/>
        <v>8596.7367989039758</v>
      </c>
      <c r="BG108" s="319">
        <f t="shared" si="89"/>
        <v>8597.3151135256339</v>
      </c>
      <c r="BH108" s="319">
        <f t="shared" si="89"/>
        <v>8597.9049944397248</v>
      </c>
      <c r="BI108" s="319">
        <f t="shared" si="89"/>
        <v>8598.5066729720984</v>
      </c>
      <c r="BJ108" s="319">
        <f t="shared" si="89"/>
        <v>8599.120385075119</v>
      </c>
      <c r="BK108" s="319">
        <f t="shared" si="89"/>
        <v>8599.7463714202004</v>
      </c>
      <c r="BL108" s="319">
        <f t="shared" si="89"/>
        <v>8600.3848774921826</v>
      </c>
      <c r="BM108" s="319">
        <f t="shared" si="89"/>
        <v>8601.0361536856053</v>
      </c>
      <c r="BN108" s="319">
        <f t="shared" si="89"/>
        <v>8601.7004554028954</v>
      </c>
      <c r="BO108" s="319">
        <f t="shared" si="89"/>
        <v>8602.3780431545329</v>
      </c>
      <c r="BP108" s="319">
        <f t="shared" si="89"/>
        <v>8603.0691826612019</v>
      </c>
      <c r="BQ108" s="319">
        <f t="shared" si="89"/>
        <v>8603.7741449580044</v>
      </c>
      <c r="BR108" s="319">
        <f t="shared" si="89"/>
        <v>8604.4932065007433</v>
      </c>
      <c r="BS108" s="319">
        <f t="shared" si="89"/>
        <v>8605.2266492743365</v>
      </c>
      <c r="BT108" s="319">
        <f t="shared" si="89"/>
        <v>8605.9747609034021</v>
      </c>
      <c r="BU108" s="319">
        <f t="shared" si="89"/>
        <v>8606.7378347650483</v>
      </c>
      <c r="BV108" s="319">
        <f t="shared" si="89"/>
        <v>8607.5161701039269</v>
      </c>
      <c r="BW108" s="319">
        <f t="shared" si="89"/>
        <v>8608.3100721495848</v>
      </c>
      <c r="BX108" s="319">
        <f t="shared" si="89"/>
        <v>8609.1198522361556</v>
      </c>
      <c r="BY108" s="319">
        <f t="shared" si="89"/>
        <v>8609.9458279244573</v>
      </c>
      <c r="BZ108" s="319">
        <f t="shared" si="89"/>
        <v>8610.7883231265241</v>
      </c>
      <c r="CA108" s="319">
        <f t="shared" si="89"/>
        <v>8611.6476682326338</v>
      </c>
      <c r="CB108" s="319">
        <f t="shared" si="89"/>
        <v>8612.524200240865</v>
      </c>
      <c r="CC108" s="319">
        <f t="shared" si="89"/>
        <v>8613.4182628892613</v>
      </c>
      <c r="CD108" s="319">
        <f t="shared" si="89"/>
        <v>8614.3302067906243</v>
      </c>
      <c r="CE108" s="319">
        <f t="shared" si="89"/>
        <v>8615.2603895700158</v>
      </c>
      <c r="CF108" s="319">
        <f t="shared" si="89"/>
        <v>8616.2091760049952</v>
      </c>
      <c r="CG108" s="319">
        <f t="shared" si="89"/>
        <v>8617.1769381686736</v>
      </c>
      <c r="CH108" s="319">
        <f t="shared" si="89"/>
        <v>8618.1640555756258</v>
      </c>
      <c r="CI108" s="319">
        <f t="shared" si="89"/>
        <v>8619.1709153307165</v>
      </c>
      <c r="CJ108" s="319">
        <f t="shared" si="89"/>
        <v>8620.1979122809098</v>
      </c>
      <c r="CK108" s="319">
        <f t="shared" si="89"/>
        <v>8621.2454491701064</v>
      </c>
      <c r="CL108" s="319">
        <f t="shared" si="89"/>
        <v>8622.3139367970871</v>
      </c>
      <c r="CM108" s="319">
        <f t="shared" si="89"/>
        <v>8623.4037941766073</v>
      </c>
      <c r="CN108" s="319">
        <f t="shared" si="89"/>
        <v>8624.515448703718</v>
      </c>
      <c r="CO108" s="319">
        <f t="shared" si="89"/>
        <v>8625.6493363213722</v>
      </c>
      <c r="CP108" s="319">
        <f t="shared" si="89"/>
        <v>8626.8059016913776</v>
      </c>
      <c r="CQ108" s="319">
        <f t="shared" si="89"/>
        <v>8627.985598368783</v>
      </c>
      <c r="CR108" s="319">
        <f t="shared" si="89"/>
        <v>8629.1888889797374</v>
      </c>
      <c r="CS108" s="319">
        <f t="shared" si="89"/>
        <v>8630.416245402912</v>
      </c>
      <c r="CT108" s="319">
        <f t="shared" si="89"/>
        <v>8631.6681489545481</v>
      </c>
      <c r="CU108" s="319">
        <f t="shared" si="89"/>
        <v>8632.9450905772173</v>
      </c>
      <c r="CV108" s="319">
        <f t="shared" si="89"/>
        <v>8634.2475710323397</v>
      </c>
      <c r="CW108" s="319">
        <f t="shared" si="89"/>
        <v>8635.5761010965653</v>
      </c>
      <c r="CX108" s="319">
        <f t="shared" si="89"/>
        <v>8636.9312017620759</v>
      </c>
      <c r="CY108" s="319">
        <f t="shared" si="89"/>
        <v>8638.3134044408962</v>
      </c>
      <c r="CZ108" s="319">
        <f t="shared" si="89"/>
        <v>8639.7232511732927</v>
      </c>
      <c r="DA108" s="319">
        <f t="shared" si="89"/>
        <v>8641.1612948403363</v>
      </c>
      <c r="DB108" s="319">
        <f t="shared" si="89"/>
        <v>8642.6280993807231</v>
      </c>
      <c r="DC108" s="319">
        <f t="shared" si="89"/>
        <v>8644.1242400119154</v>
      </c>
      <c r="DD108" s="319">
        <f t="shared" si="89"/>
        <v>8645.6503034557318</v>
      </c>
      <c r="DE108" s="319">
        <f t="shared" si="89"/>
        <v>8647.2068881684263</v>
      </c>
      <c r="DF108" s="320"/>
      <c r="DG108" s="320"/>
      <c r="DH108" s="320"/>
      <c r="DI108" s="320"/>
      <c r="DJ108" s="320"/>
      <c r="DK108" s="320"/>
      <c r="DL108" s="320"/>
    </row>
    <row r="109" spans="1:134" ht="15.75" customHeight="1" x14ac:dyDescent="0.25">
      <c r="A109" s="754" t="s">
        <v>367</v>
      </c>
      <c r="B109" s="770" t="s">
        <v>410</v>
      </c>
      <c r="C109" s="338" t="s">
        <v>258</v>
      </c>
      <c r="D109" s="339" t="s">
        <v>259</v>
      </c>
      <c r="E109" s="338">
        <f>(2.08/1000)</f>
        <v>2.0800000000000003E-3</v>
      </c>
      <c r="F109" s="338"/>
      <c r="G109" s="561" t="s">
        <v>260</v>
      </c>
      <c r="H109" s="368">
        <v>0</v>
      </c>
      <c r="I109" s="369">
        <v>0</v>
      </c>
      <c r="J109" s="344">
        <f t="shared" ref="J109:DE109" si="90">I109*(1+0.11)</f>
        <v>0</v>
      </c>
      <c r="K109" s="344">
        <f t="shared" si="90"/>
        <v>0</v>
      </c>
      <c r="L109" s="344">
        <f t="shared" si="90"/>
        <v>0</v>
      </c>
      <c r="M109" s="344">
        <f t="shared" si="90"/>
        <v>0</v>
      </c>
      <c r="N109" s="344">
        <f t="shared" si="90"/>
        <v>0</v>
      </c>
      <c r="O109" s="344">
        <f t="shared" si="90"/>
        <v>0</v>
      </c>
      <c r="P109" s="344">
        <f t="shared" si="90"/>
        <v>0</v>
      </c>
      <c r="Q109" s="344">
        <f t="shared" si="90"/>
        <v>0</v>
      </c>
      <c r="R109" s="344">
        <f t="shared" si="90"/>
        <v>0</v>
      </c>
      <c r="S109" s="344">
        <f t="shared" si="90"/>
        <v>0</v>
      </c>
      <c r="T109" s="344">
        <f t="shared" si="90"/>
        <v>0</v>
      </c>
      <c r="U109" s="344">
        <f t="shared" si="90"/>
        <v>0</v>
      </c>
      <c r="V109" s="344">
        <f t="shared" si="90"/>
        <v>0</v>
      </c>
      <c r="W109" s="344">
        <f t="shared" si="90"/>
        <v>0</v>
      </c>
      <c r="X109" s="344">
        <f t="shared" si="90"/>
        <v>0</v>
      </c>
      <c r="Y109" s="344">
        <f t="shared" si="90"/>
        <v>0</v>
      </c>
      <c r="Z109" s="344">
        <f t="shared" si="90"/>
        <v>0</v>
      </c>
      <c r="AA109" s="344">
        <f t="shared" si="90"/>
        <v>0</v>
      </c>
      <c r="AB109" s="344">
        <f t="shared" si="90"/>
        <v>0</v>
      </c>
      <c r="AC109" s="344">
        <f t="shared" si="90"/>
        <v>0</v>
      </c>
      <c r="AD109" s="344">
        <f t="shared" si="90"/>
        <v>0</v>
      </c>
      <c r="AE109" s="344">
        <f t="shared" si="90"/>
        <v>0</v>
      </c>
      <c r="AF109" s="344">
        <f t="shared" si="90"/>
        <v>0</v>
      </c>
      <c r="AG109" s="344">
        <f t="shared" si="90"/>
        <v>0</v>
      </c>
      <c r="AH109" s="344">
        <f t="shared" si="90"/>
        <v>0</v>
      </c>
      <c r="AI109" s="344">
        <f t="shared" si="90"/>
        <v>0</v>
      </c>
      <c r="AJ109" s="344">
        <f t="shared" si="90"/>
        <v>0</v>
      </c>
      <c r="AK109" s="344">
        <f t="shared" si="90"/>
        <v>0</v>
      </c>
      <c r="AL109" s="344">
        <f t="shared" si="90"/>
        <v>0</v>
      </c>
      <c r="AM109" s="344">
        <f t="shared" si="90"/>
        <v>0</v>
      </c>
      <c r="AN109" s="344">
        <f t="shared" si="90"/>
        <v>0</v>
      </c>
      <c r="AO109" s="344">
        <f t="shared" si="90"/>
        <v>0</v>
      </c>
      <c r="AP109" s="344">
        <f t="shared" si="90"/>
        <v>0</v>
      </c>
      <c r="AQ109" s="344">
        <f t="shared" si="90"/>
        <v>0</v>
      </c>
      <c r="AR109" s="344">
        <f t="shared" si="90"/>
        <v>0</v>
      </c>
      <c r="AS109" s="344">
        <f t="shared" si="90"/>
        <v>0</v>
      </c>
      <c r="AT109" s="344">
        <f t="shared" si="90"/>
        <v>0</v>
      </c>
      <c r="AU109" s="344">
        <f t="shared" si="90"/>
        <v>0</v>
      </c>
      <c r="AV109" s="344">
        <f t="shared" si="90"/>
        <v>0</v>
      </c>
      <c r="AW109" s="344">
        <f t="shared" si="90"/>
        <v>0</v>
      </c>
      <c r="AX109" s="344">
        <f t="shared" si="90"/>
        <v>0</v>
      </c>
      <c r="AY109" s="344">
        <f t="shared" si="90"/>
        <v>0</v>
      </c>
      <c r="AZ109" s="344">
        <f t="shared" si="90"/>
        <v>0</v>
      </c>
      <c r="BA109" s="344">
        <f t="shared" si="90"/>
        <v>0</v>
      </c>
      <c r="BB109" s="344">
        <f t="shared" si="90"/>
        <v>0</v>
      </c>
      <c r="BC109" s="344">
        <f t="shared" si="90"/>
        <v>0</v>
      </c>
      <c r="BD109" s="344">
        <f t="shared" si="90"/>
        <v>0</v>
      </c>
      <c r="BE109" s="344">
        <f t="shared" si="90"/>
        <v>0</v>
      </c>
      <c r="BF109" s="344">
        <f t="shared" si="90"/>
        <v>0</v>
      </c>
      <c r="BG109" s="344">
        <f t="shared" si="90"/>
        <v>0</v>
      </c>
      <c r="BH109" s="344">
        <f t="shared" si="90"/>
        <v>0</v>
      </c>
      <c r="BI109" s="344">
        <f t="shared" si="90"/>
        <v>0</v>
      </c>
      <c r="BJ109" s="344">
        <f t="shared" si="90"/>
        <v>0</v>
      </c>
      <c r="BK109" s="344">
        <f t="shared" si="90"/>
        <v>0</v>
      </c>
      <c r="BL109" s="344">
        <f t="shared" si="90"/>
        <v>0</v>
      </c>
      <c r="BM109" s="344">
        <f t="shared" si="90"/>
        <v>0</v>
      </c>
      <c r="BN109" s="344">
        <f t="shared" si="90"/>
        <v>0</v>
      </c>
      <c r="BO109" s="344">
        <f t="shared" si="90"/>
        <v>0</v>
      </c>
      <c r="BP109" s="344">
        <f t="shared" si="90"/>
        <v>0</v>
      </c>
      <c r="BQ109" s="344">
        <f t="shared" si="90"/>
        <v>0</v>
      </c>
      <c r="BR109" s="344">
        <f t="shared" si="90"/>
        <v>0</v>
      </c>
      <c r="BS109" s="344">
        <f t="shared" si="90"/>
        <v>0</v>
      </c>
      <c r="BT109" s="344">
        <f t="shared" si="90"/>
        <v>0</v>
      </c>
      <c r="BU109" s="344">
        <f t="shared" si="90"/>
        <v>0</v>
      </c>
      <c r="BV109" s="344">
        <f t="shared" si="90"/>
        <v>0</v>
      </c>
      <c r="BW109" s="344">
        <f t="shared" si="90"/>
        <v>0</v>
      </c>
      <c r="BX109" s="344">
        <f t="shared" si="90"/>
        <v>0</v>
      </c>
      <c r="BY109" s="344">
        <f t="shared" si="90"/>
        <v>0</v>
      </c>
      <c r="BZ109" s="344">
        <f t="shared" si="90"/>
        <v>0</v>
      </c>
      <c r="CA109" s="344">
        <f t="shared" si="90"/>
        <v>0</v>
      </c>
      <c r="CB109" s="344">
        <f t="shared" si="90"/>
        <v>0</v>
      </c>
      <c r="CC109" s="344">
        <f t="shared" si="90"/>
        <v>0</v>
      </c>
      <c r="CD109" s="344">
        <f t="shared" si="90"/>
        <v>0</v>
      </c>
      <c r="CE109" s="344">
        <f t="shared" si="90"/>
        <v>0</v>
      </c>
      <c r="CF109" s="344">
        <f t="shared" si="90"/>
        <v>0</v>
      </c>
      <c r="CG109" s="344">
        <f t="shared" si="90"/>
        <v>0</v>
      </c>
      <c r="CH109" s="344">
        <f t="shared" si="90"/>
        <v>0</v>
      </c>
      <c r="CI109" s="344">
        <f t="shared" si="90"/>
        <v>0</v>
      </c>
      <c r="CJ109" s="344">
        <f t="shared" si="90"/>
        <v>0</v>
      </c>
      <c r="CK109" s="344">
        <f t="shared" si="90"/>
        <v>0</v>
      </c>
      <c r="CL109" s="344">
        <f t="shared" si="90"/>
        <v>0</v>
      </c>
      <c r="CM109" s="344">
        <f t="shared" si="90"/>
        <v>0</v>
      </c>
      <c r="CN109" s="344">
        <f t="shared" si="90"/>
        <v>0</v>
      </c>
      <c r="CO109" s="344">
        <f t="shared" si="90"/>
        <v>0</v>
      </c>
      <c r="CP109" s="344">
        <f t="shared" si="90"/>
        <v>0</v>
      </c>
      <c r="CQ109" s="344">
        <f t="shared" si="90"/>
        <v>0</v>
      </c>
      <c r="CR109" s="344">
        <f t="shared" si="90"/>
        <v>0</v>
      </c>
      <c r="CS109" s="344">
        <f t="shared" si="90"/>
        <v>0</v>
      </c>
      <c r="CT109" s="344">
        <f t="shared" si="90"/>
        <v>0</v>
      </c>
      <c r="CU109" s="344">
        <f t="shared" si="90"/>
        <v>0</v>
      </c>
      <c r="CV109" s="344">
        <f t="shared" si="90"/>
        <v>0</v>
      </c>
      <c r="CW109" s="344">
        <f t="shared" si="90"/>
        <v>0</v>
      </c>
      <c r="CX109" s="344">
        <f t="shared" si="90"/>
        <v>0</v>
      </c>
      <c r="CY109" s="344">
        <f t="shared" si="90"/>
        <v>0</v>
      </c>
      <c r="CZ109" s="344">
        <f t="shared" si="90"/>
        <v>0</v>
      </c>
      <c r="DA109" s="344">
        <f t="shared" si="90"/>
        <v>0</v>
      </c>
      <c r="DB109" s="344">
        <f t="shared" si="90"/>
        <v>0</v>
      </c>
      <c r="DC109" s="344">
        <f t="shared" si="90"/>
        <v>0</v>
      </c>
      <c r="DD109" s="344">
        <f t="shared" si="90"/>
        <v>0</v>
      </c>
      <c r="DE109" s="344">
        <f t="shared" si="90"/>
        <v>0</v>
      </c>
      <c r="DF109" s="344"/>
      <c r="DG109" s="344"/>
      <c r="DH109" s="344"/>
      <c r="DI109" s="344"/>
      <c r="DJ109" s="344"/>
      <c r="DK109" s="344"/>
      <c r="DL109" s="344"/>
    </row>
    <row r="110" spans="1:134" ht="15.75" customHeight="1" x14ac:dyDescent="0.25">
      <c r="A110" s="751"/>
      <c r="B110" s="751"/>
      <c r="C110" s="321" t="s">
        <v>369</v>
      </c>
      <c r="D110" s="279"/>
      <c r="E110" s="280"/>
      <c r="F110" s="280"/>
      <c r="G110" s="279"/>
      <c r="H110" s="409">
        <f>H109*'Unit Costs and Indicators'!$L$9</f>
        <v>0</v>
      </c>
      <c r="I110" s="282">
        <f>I109*'Unit Costs and Indicators'!$L$9</f>
        <v>0</v>
      </c>
      <c r="J110" s="282">
        <f>J109*'Unit Costs and Indicators'!$L$9</f>
        <v>0</v>
      </c>
      <c r="K110" s="282">
        <f>K109*'Unit Costs and Indicators'!$L$9</f>
        <v>0</v>
      </c>
      <c r="L110" s="282">
        <f>L109*'Unit Costs and Indicators'!$L$9</f>
        <v>0</v>
      </c>
      <c r="M110" s="282">
        <f>M109*'Unit Costs and Indicators'!$L$9</f>
        <v>0</v>
      </c>
      <c r="N110" s="282">
        <f>N109*'Unit Costs and Indicators'!$L$9</f>
        <v>0</v>
      </c>
      <c r="O110" s="282">
        <f>O109*'Unit Costs and Indicators'!$L$9</f>
        <v>0</v>
      </c>
      <c r="P110" s="282">
        <f>P109*'Unit Costs and Indicators'!$L$9</f>
        <v>0</v>
      </c>
      <c r="Q110" s="282">
        <f>Q109*'Unit Costs and Indicators'!$L$9</f>
        <v>0</v>
      </c>
      <c r="R110" s="282">
        <f>R109*'Unit Costs and Indicators'!$L$9</f>
        <v>0</v>
      </c>
      <c r="S110" s="282">
        <f>S109*'Unit Costs and Indicators'!$L$9</f>
        <v>0</v>
      </c>
      <c r="T110" s="282">
        <f>T109*'Unit Costs and Indicators'!$L$9</f>
        <v>0</v>
      </c>
      <c r="U110" s="282">
        <f>U109*'Unit Costs and Indicators'!$L$9</f>
        <v>0</v>
      </c>
      <c r="V110" s="282">
        <f>V109*'Unit Costs and Indicators'!$L$9</f>
        <v>0</v>
      </c>
      <c r="W110" s="282">
        <f>W109*'Unit Costs and Indicators'!$L$9</f>
        <v>0</v>
      </c>
      <c r="X110" s="282">
        <f>X109*'Unit Costs and Indicators'!$L$9</f>
        <v>0</v>
      </c>
      <c r="Y110" s="282">
        <f>Y109*'Unit Costs and Indicators'!$L$9</f>
        <v>0</v>
      </c>
      <c r="Z110" s="282">
        <f>Z109*'Unit Costs and Indicators'!$L$9</f>
        <v>0</v>
      </c>
      <c r="AA110" s="282">
        <f>AA109*'Unit Costs and Indicators'!$L$9</f>
        <v>0</v>
      </c>
      <c r="AB110" s="282">
        <f>AB109*'Unit Costs and Indicators'!$L$9</f>
        <v>0</v>
      </c>
      <c r="AC110" s="282">
        <f>AC109*'Unit Costs and Indicators'!$L$9</f>
        <v>0</v>
      </c>
      <c r="AD110" s="282">
        <f>AD109*'Unit Costs and Indicators'!$L$9</f>
        <v>0</v>
      </c>
      <c r="AE110" s="282">
        <f>AE109*'Unit Costs and Indicators'!$L$9</f>
        <v>0</v>
      </c>
      <c r="AF110" s="282">
        <f>AF109*'Unit Costs and Indicators'!$L$9</f>
        <v>0</v>
      </c>
      <c r="AG110" s="282">
        <f>AG109*'Unit Costs and Indicators'!$L$9</f>
        <v>0</v>
      </c>
      <c r="AH110" s="282">
        <f>AH109*'Unit Costs and Indicators'!$L$9</f>
        <v>0</v>
      </c>
      <c r="AI110" s="282">
        <f>AI109*'Unit Costs and Indicators'!$L$9</f>
        <v>0</v>
      </c>
      <c r="AJ110" s="282">
        <f>AJ109*'Unit Costs and Indicators'!$L$9</f>
        <v>0</v>
      </c>
      <c r="AK110" s="282">
        <f>AK109*'Unit Costs and Indicators'!$L$9</f>
        <v>0</v>
      </c>
      <c r="AL110" s="282">
        <f>AL109*'Unit Costs and Indicators'!$L$9</f>
        <v>0</v>
      </c>
      <c r="AM110" s="282">
        <f>AM109*'Unit Costs and Indicators'!$L$9</f>
        <v>0</v>
      </c>
      <c r="AN110" s="282">
        <f>AN109*'Unit Costs and Indicators'!$L$9</f>
        <v>0</v>
      </c>
      <c r="AO110" s="282">
        <f>AO109*'Unit Costs and Indicators'!$L$9</f>
        <v>0</v>
      </c>
      <c r="AP110" s="282">
        <f>AP109*'Unit Costs and Indicators'!$L$9</f>
        <v>0</v>
      </c>
      <c r="AQ110" s="282">
        <f>AQ109*'Unit Costs and Indicators'!$L$9</f>
        <v>0</v>
      </c>
      <c r="AR110" s="282">
        <f>AR109*'Unit Costs and Indicators'!$L$9</f>
        <v>0</v>
      </c>
      <c r="AS110" s="282">
        <f>AS109*'Unit Costs and Indicators'!$L$9</f>
        <v>0</v>
      </c>
      <c r="AT110" s="282">
        <f>AT109*'Unit Costs and Indicators'!$L$9</f>
        <v>0</v>
      </c>
      <c r="AU110" s="282">
        <f>AU109*'Unit Costs and Indicators'!$L$9</f>
        <v>0</v>
      </c>
      <c r="AV110" s="282">
        <f>AV109*'Unit Costs and Indicators'!$L$9</f>
        <v>0</v>
      </c>
      <c r="AW110" s="282">
        <f>AW109*'Unit Costs and Indicators'!$L$9</f>
        <v>0</v>
      </c>
      <c r="AX110" s="282">
        <f>AX109*'Unit Costs and Indicators'!$L$9</f>
        <v>0</v>
      </c>
      <c r="AY110" s="282">
        <f>AY109*'Unit Costs and Indicators'!$L$9</f>
        <v>0</v>
      </c>
      <c r="AZ110" s="282">
        <f>AZ109*'Unit Costs and Indicators'!$L$9</f>
        <v>0</v>
      </c>
      <c r="BA110" s="282">
        <f>BA109*'Unit Costs and Indicators'!$L$9</f>
        <v>0</v>
      </c>
      <c r="BB110" s="282">
        <f>BB109*'Unit Costs and Indicators'!$L$9</f>
        <v>0</v>
      </c>
      <c r="BC110" s="282">
        <f>BC109*'Unit Costs and Indicators'!$L$9</f>
        <v>0</v>
      </c>
      <c r="BD110" s="282">
        <f>BD109*'Unit Costs and Indicators'!$L$9</f>
        <v>0</v>
      </c>
      <c r="BE110" s="282">
        <f>BE109*'Unit Costs and Indicators'!$L$9</f>
        <v>0</v>
      </c>
      <c r="BF110" s="282">
        <f>BF109*'Unit Costs and Indicators'!$L$9</f>
        <v>0</v>
      </c>
      <c r="BG110" s="282">
        <f>BG109*'Unit Costs and Indicators'!$L$9</f>
        <v>0</v>
      </c>
      <c r="BH110" s="282">
        <f>BH109*'Unit Costs and Indicators'!$L$9</f>
        <v>0</v>
      </c>
      <c r="BI110" s="282">
        <f>BI109*'Unit Costs and Indicators'!$L$9</f>
        <v>0</v>
      </c>
      <c r="BJ110" s="282">
        <f>BJ109*'Unit Costs and Indicators'!$L$9</f>
        <v>0</v>
      </c>
      <c r="BK110" s="282">
        <f>BK109*'Unit Costs and Indicators'!$L$9</f>
        <v>0</v>
      </c>
      <c r="BL110" s="282">
        <f>BL109*'Unit Costs and Indicators'!$L$9</f>
        <v>0</v>
      </c>
      <c r="BM110" s="282">
        <f>BM109*'Unit Costs and Indicators'!$L$9</f>
        <v>0</v>
      </c>
      <c r="BN110" s="282">
        <f>BN109*'Unit Costs and Indicators'!$L$9</f>
        <v>0</v>
      </c>
      <c r="BO110" s="282">
        <f>BO109*'Unit Costs and Indicators'!$L$9</f>
        <v>0</v>
      </c>
      <c r="BP110" s="282">
        <f>BP109*'Unit Costs and Indicators'!$L$9</f>
        <v>0</v>
      </c>
      <c r="BQ110" s="282">
        <f>BQ109*'Unit Costs and Indicators'!$L$9</f>
        <v>0</v>
      </c>
      <c r="BR110" s="282">
        <f>BR109*'Unit Costs and Indicators'!$L$9</f>
        <v>0</v>
      </c>
      <c r="BS110" s="282">
        <f>BS109*'Unit Costs and Indicators'!$L$9</f>
        <v>0</v>
      </c>
      <c r="BT110" s="282">
        <f>BT109*'Unit Costs and Indicators'!$L$9</f>
        <v>0</v>
      </c>
      <c r="BU110" s="282">
        <f>BU109*'Unit Costs and Indicators'!$L$9</f>
        <v>0</v>
      </c>
      <c r="BV110" s="282">
        <f>BV109*'Unit Costs and Indicators'!$L$9</f>
        <v>0</v>
      </c>
      <c r="BW110" s="282">
        <f>BW109*'Unit Costs and Indicators'!$L$9</f>
        <v>0</v>
      </c>
      <c r="BX110" s="282">
        <f>BX109*'Unit Costs and Indicators'!$L$9</f>
        <v>0</v>
      </c>
      <c r="BY110" s="282">
        <f>BY109*'Unit Costs and Indicators'!$L$9</f>
        <v>0</v>
      </c>
      <c r="BZ110" s="282">
        <f>BZ109*'Unit Costs and Indicators'!$L$9</f>
        <v>0</v>
      </c>
      <c r="CA110" s="282">
        <f>CA109*'Unit Costs and Indicators'!$L$9</f>
        <v>0</v>
      </c>
      <c r="CB110" s="282">
        <f>CB109*'Unit Costs and Indicators'!$L$9</f>
        <v>0</v>
      </c>
      <c r="CC110" s="282">
        <f>CC109*'Unit Costs and Indicators'!$L$9</f>
        <v>0</v>
      </c>
      <c r="CD110" s="282">
        <f>CD109*'Unit Costs and Indicators'!$L$9</f>
        <v>0</v>
      </c>
      <c r="CE110" s="282">
        <f>CE109*'Unit Costs and Indicators'!$L$9</f>
        <v>0</v>
      </c>
      <c r="CF110" s="282">
        <f>CF109*'Unit Costs and Indicators'!$L$9</f>
        <v>0</v>
      </c>
      <c r="CG110" s="282">
        <f>CG109*'Unit Costs and Indicators'!$L$9</f>
        <v>0</v>
      </c>
      <c r="CH110" s="282">
        <f>CH109*'Unit Costs and Indicators'!$L$9</f>
        <v>0</v>
      </c>
      <c r="CI110" s="282">
        <f>CI109*'Unit Costs and Indicators'!$L$9</f>
        <v>0</v>
      </c>
      <c r="CJ110" s="282">
        <f>CJ109*'Unit Costs and Indicators'!$L$9</f>
        <v>0</v>
      </c>
      <c r="CK110" s="282">
        <f>CK109*'Unit Costs and Indicators'!$L$9</f>
        <v>0</v>
      </c>
      <c r="CL110" s="282">
        <f>CL109*'Unit Costs and Indicators'!$L$9</f>
        <v>0</v>
      </c>
      <c r="CM110" s="282">
        <f>CM109*'Unit Costs and Indicators'!$L$9</f>
        <v>0</v>
      </c>
      <c r="CN110" s="282">
        <f>CN109*'Unit Costs and Indicators'!$L$9</f>
        <v>0</v>
      </c>
      <c r="CO110" s="282">
        <f>CO109*'Unit Costs and Indicators'!$L$9</f>
        <v>0</v>
      </c>
      <c r="CP110" s="282">
        <f>CP109*'Unit Costs and Indicators'!$L$9</f>
        <v>0</v>
      </c>
      <c r="CQ110" s="282">
        <f>CQ109*'Unit Costs and Indicators'!$L$9</f>
        <v>0</v>
      </c>
      <c r="CR110" s="282">
        <f>CR109*'Unit Costs and Indicators'!$L$9</f>
        <v>0</v>
      </c>
      <c r="CS110" s="282">
        <f>CS109*'Unit Costs and Indicators'!$L$9</f>
        <v>0</v>
      </c>
      <c r="CT110" s="282">
        <f>CT109*'Unit Costs and Indicators'!$L$9</f>
        <v>0</v>
      </c>
      <c r="CU110" s="282">
        <f>CU109*'Unit Costs and Indicators'!$L$9</f>
        <v>0</v>
      </c>
      <c r="CV110" s="282">
        <f>CV109*'Unit Costs and Indicators'!$L$9</f>
        <v>0</v>
      </c>
      <c r="CW110" s="282">
        <f>CW109*'Unit Costs and Indicators'!$L$9</f>
        <v>0</v>
      </c>
      <c r="CX110" s="282">
        <f>CX109*'Unit Costs and Indicators'!$L$9</f>
        <v>0</v>
      </c>
      <c r="CY110" s="282">
        <f>CY109*'Unit Costs and Indicators'!$L$9</f>
        <v>0</v>
      </c>
      <c r="CZ110" s="282">
        <f>CZ109*'Unit Costs and Indicators'!$L$9</f>
        <v>0</v>
      </c>
      <c r="DA110" s="282">
        <f>DA109*'Unit Costs and Indicators'!$L$9</f>
        <v>0</v>
      </c>
      <c r="DB110" s="282">
        <f>DB109*'Unit Costs and Indicators'!$L$9</f>
        <v>0</v>
      </c>
      <c r="DC110" s="282">
        <f>DC109*'Unit Costs and Indicators'!$L$9</f>
        <v>0</v>
      </c>
      <c r="DD110" s="282">
        <f>DD109*'Unit Costs and Indicators'!$L$9</f>
        <v>0</v>
      </c>
      <c r="DE110" s="282">
        <f>DE109*'Unit Costs and Indicators'!$L$9</f>
        <v>0</v>
      </c>
      <c r="DF110" s="282"/>
      <c r="DG110" s="282"/>
      <c r="DH110" s="282"/>
      <c r="DI110" s="282"/>
      <c r="DJ110" s="282"/>
      <c r="DK110" s="282"/>
      <c r="DL110" s="282"/>
    </row>
    <row r="111" spans="1:134" ht="15.75" customHeight="1" x14ac:dyDescent="0.25">
      <c r="A111" s="751"/>
      <c r="B111" s="751"/>
      <c r="C111" s="321" t="s">
        <v>370</v>
      </c>
      <c r="D111" s="279">
        <v>22786</v>
      </c>
      <c r="E111" s="280"/>
      <c r="F111" s="280"/>
      <c r="G111" s="562" t="s">
        <v>371</v>
      </c>
      <c r="H111" s="300">
        <f t="shared" ref="H111:DE111" si="91">($D$111*H110*14)/365</f>
        <v>0</v>
      </c>
      <c r="I111" s="301">
        <f t="shared" si="91"/>
        <v>0</v>
      </c>
      <c r="J111" s="301">
        <f t="shared" si="91"/>
        <v>0</v>
      </c>
      <c r="K111" s="301">
        <f t="shared" si="91"/>
        <v>0</v>
      </c>
      <c r="L111" s="301">
        <f t="shared" si="91"/>
        <v>0</v>
      </c>
      <c r="M111" s="301">
        <f t="shared" si="91"/>
        <v>0</v>
      </c>
      <c r="N111" s="301">
        <f t="shared" si="91"/>
        <v>0</v>
      </c>
      <c r="O111" s="301">
        <f t="shared" si="91"/>
        <v>0</v>
      </c>
      <c r="P111" s="301">
        <f t="shared" si="91"/>
        <v>0</v>
      </c>
      <c r="Q111" s="301">
        <f t="shared" si="91"/>
        <v>0</v>
      </c>
      <c r="R111" s="301">
        <f t="shared" si="91"/>
        <v>0</v>
      </c>
      <c r="S111" s="301">
        <f t="shared" si="91"/>
        <v>0</v>
      </c>
      <c r="T111" s="301">
        <f t="shared" si="91"/>
        <v>0</v>
      </c>
      <c r="U111" s="301">
        <f t="shared" si="91"/>
        <v>0</v>
      </c>
      <c r="V111" s="301">
        <f t="shared" si="91"/>
        <v>0</v>
      </c>
      <c r="W111" s="301">
        <f t="shared" si="91"/>
        <v>0</v>
      </c>
      <c r="X111" s="301">
        <f t="shared" si="91"/>
        <v>0</v>
      </c>
      <c r="Y111" s="301">
        <f t="shared" si="91"/>
        <v>0</v>
      </c>
      <c r="Z111" s="301">
        <f t="shared" si="91"/>
        <v>0</v>
      </c>
      <c r="AA111" s="301">
        <f t="shared" si="91"/>
        <v>0</v>
      </c>
      <c r="AB111" s="301">
        <f t="shared" si="91"/>
        <v>0</v>
      </c>
      <c r="AC111" s="301">
        <f t="shared" si="91"/>
        <v>0</v>
      </c>
      <c r="AD111" s="301">
        <f t="shared" si="91"/>
        <v>0</v>
      </c>
      <c r="AE111" s="301">
        <f t="shared" si="91"/>
        <v>0</v>
      </c>
      <c r="AF111" s="301">
        <f t="shared" si="91"/>
        <v>0</v>
      </c>
      <c r="AG111" s="301">
        <f t="shared" si="91"/>
        <v>0</v>
      </c>
      <c r="AH111" s="301">
        <f t="shared" si="91"/>
        <v>0</v>
      </c>
      <c r="AI111" s="301">
        <f t="shared" si="91"/>
        <v>0</v>
      </c>
      <c r="AJ111" s="301">
        <f t="shared" si="91"/>
        <v>0</v>
      </c>
      <c r="AK111" s="301">
        <f t="shared" si="91"/>
        <v>0</v>
      </c>
      <c r="AL111" s="301">
        <f t="shared" si="91"/>
        <v>0</v>
      </c>
      <c r="AM111" s="301">
        <f t="shared" si="91"/>
        <v>0</v>
      </c>
      <c r="AN111" s="301">
        <f t="shared" si="91"/>
        <v>0</v>
      </c>
      <c r="AO111" s="301">
        <f t="shared" si="91"/>
        <v>0</v>
      </c>
      <c r="AP111" s="301">
        <f t="shared" si="91"/>
        <v>0</v>
      </c>
      <c r="AQ111" s="301">
        <f t="shared" si="91"/>
        <v>0</v>
      </c>
      <c r="AR111" s="301">
        <f t="shared" si="91"/>
        <v>0</v>
      </c>
      <c r="AS111" s="301">
        <f t="shared" si="91"/>
        <v>0</v>
      </c>
      <c r="AT111" s="301">
        <f t="shared" si="91"/>
        <v>0</v>
      </c>
      <c r="AU111" s="301">
        <f t="shared" si="91"/>
        <v>0</v>
      </c>
      <c r="AV111" s="301">
        <f t="shared" si="91"/>
        <v>0</v>
      </c>
      <c r="AW111" s="301">
        <f t="shared" si="91"/>
        <v>0</v>
      </c>
      <c r="AX111" s="301">
        <f t="shared" si="91"/>
        <v>0</v>
      </c>
      <c r="AY111" s="301">
        <f t="shared" si="91"/>
        <v>0</v>
      </c>
      <c r="AZ111" s="301">
        <f t="shared" si="91"/>
        <v>0</v>
      </c>
      <c r="BA111" s="301">
        <f t="shared" si="91"/>
        <v>0</v>
      </c>
      <c r="BB111" s="301">
        <f t="shared" si="91"/>
        <v>0</v>
      </c>
      <c r="BC111" s="301">
        <f t="shared" si="91"/>
        <v>0</v>
      </c>
      <c r="BD111" s="301">
        <f t="shared" si="91"/>
        <v>0</v>
      </c>
      <c r="BE111" s="301">
        <f t="shared" si="91"/>
        <v>0</v>
      </c>
      <c r="BF111" s="301">
        <f t="shared" si="91"/>
        <v>0</v>
      </c>
      <c r="BG111" s="301">
        <f t="shared" si="91"/>
        <v>0</v>
      </c>
      <c r="BH111" s="301">
        <f t="shared" si="91"/>
        <v>0</v>
      </c>
      <c r="BI111" s="301">
        <f t="shared" si="91"/>
        <v>0</v>
      </c>
      <c r="BJ111" s="301">
        <f t="shared" si="91"/>
        <v>0</v>
      </c>
      <c r="BK111" s="301">
        <f t="shared" si="91"/>
        <v>0</v>
      </c>
      <c r="BL111" s="301">
        <f t="shared" si="91"/>
        <v>0</v>
      </c>
      <c r="BM111" s="301">
        <f t="shared" si="91"/>
        <v>0</v>
      </c>
      <c r="BN111" s="301">
        <f t="shared" si="91"/>
        <v>0</v>
      </c>
      <c r="BO111" s="301">
        <f t="shared" si="91"/>
        <v>0</v>
      </c>
      <c r="BP111" s="301">
        <f t="shared" si="91"/>
        <v>0</v>
      </c>
      <c r="BQ111" s="301">
        <f t="shared" si="91"/>
        <v>0</v>
      </c>
      <c r="BR111" s="301">
        <f t="shared" si="91"/>
        <v>0</v>
      </c>
      <c r="BS111" s="301">
        <f t="shared" si="91"/>
        <v>0</v>
      </c>
      <c r="BT111" s="301">
        <f t="shared" si="91"/>
        <v>0</v>
      </c>
      <c r="BU111" s="301">
        <f t="shared" si="91"/>
        <v>0</v>
      </c>
      <c r="BV111" s="301">
        <f t="shared" si="91"/>
        <v>0</v>
      </c>
      <c r="BW111" s="301">
        <f t="shared" si="91"/>
        <v>0</v>
      </c>
      <c r="BX111" s="301">
        <f t="shared" si="91"/>
        <v>0</v>
      </c>
      <c r="BY111" s="301">
        <f t="shared" si="91"/>
        <v>0</v>
      </c>
      <c r="BZ111" s="301">
        <f t="shared" si="91"/>
        <v>0</v>
      </c>
      <c r="CA111" s="301">
        <f t="shared" si="91"/>
        <v>0</v>
      </c>
      <c r="CB111" s="301">
        <f t="shared" si="91"/>
        <v>0</v>
      </c>
      <c r="CC111" s="301">
        <f t="shared" si="91"/>
        <v>0</v>
      </c>
      <c r="CD111" s="301">
        <f t="shared" si="91"/>
        <v>0</v>
      </c>
      <c r="CE111" s="301">
        <f t="shared" si="91"/>
        <v>0</v>
      </c>
      <c r="CF111" s="301">
        <f t="shared" si="91"/>
        <v>0</v>
      </c>
      <c r="CG111" s="301">
        <f t="shared" si="91"/>
        <v>0</v>
      </c>
      <c r="CH111" s="301">
        <f t="shared" si="91"/>
        <v>0</v>
      </c>
      <c r="CI111" s="301">
        <f t="shared" si="91"/>
        <v>0</v>
      </c>
      <c r="CJ111" s="301">
        <f t="shared" si="91"/>
        <v>0</v>
      </c>
      <c r="CK111" s="301">
        <f t="shared" si="91"/>
        <v>0</v>
      </c>
      <c r="CL111" s="301">
        <f t="shared" si="91"/>
        <v>0</v>
      </c>
      <c r="CM111" s="301">
        <f t="shared" si="91"/>
        <v>0</v>
      </c>
      <c r="CN111" s="301">
        <f t="shared" si="91"/>
        <v>0</v>
      </c>
      <c r="CO111" s="301">
        <f t="shared" si="91"/>
        <v>0</v>
      </c>
      <c r="CP111" s="301">
        <f t="shared" si="91"/>
        <v>0</v>
      </c>
      <c r="CQ111" s="301">
        <f t="shared" si="91"/>
        <v>0</v>
      </c>
      <c r="CR111" s="301">
        <f t="shared" si="91"/>
        <v>0</v>
      </c>
      <c r="CS111" s="301">
        <f t="shared" si="91"/>
        <v>0</v>
      </c>
      <c r="CT111" s="301">
        <f t="shared" si="91"/>
        <v>0</v>
      </c>
      <c r="CU111" s="301">
        <f t="shared" si="91"/>
        <v>0</v>
      </c>
      <c r="CV111" s="301">
        <f t="shared" si="91"/>
        <v>0</v>
      </c>
      <c r="CW111" s="301">
        <f t="shared" si="91"/>
        <v>0</v>
      </c>
      <c r="CX111" s="301">
        <f t="shared" si="91"/>
        <v>0</v>
      </c>
      <c r="CY111" s="301">
        <f t="shared" si="91"/>
        <v>0</v>
      </c>
      <c r="CZ111" s="301">
        <f t="shared" si="91"/>
        <v>0</v>
      </c>
      <c r="DA111" s="301">
        <f t="shared" si="91"/>
        <v>0</v>
      </c>
      <c r="DB111" s="301">
        <f t="shared" si="91"/>
        <v>0</v>
      </c>
      <c r="DC111" s="301">
        <f t="shared" si="91"/>
        <v>0</v>
      </c>
      <c r="DD111" s="301">
        <f t="shared" si="91"/>
        <v>0</v>
      </c>
      <c r="DE111" s="301">
        <f t="shared" si="91"/>
        <v>0</v>
      </c>
      <c r="DF111" s="301"/>
      <c r="DG111" s="301"/>
      <c r="DH111" s="301"/>
      <c r="DI111" s="301"/>
      <c r="DJ111" s="301"/>
      <c r="DK111" s="301"/>
      <c r="DL111" s="301"/>
    </row>
    <row r="112" spans="1:134" ht="15.75" customHeight="1" x14ac:dyDescent="0.25">
      <c r="A112" s="752" t="s">
        <v>372</v>
      </c>
      <c r="B112" s="756"/>
      <c r="C112" s="757"/>
      <c r="D112" s="458" t="s">
        <v>247</v>
      </c>
      <c r="E112" s="451"/>
      <c r="F112" s="316" t="s">
        <v>14</v>
      </c>
      <c r="G112" s="317">
        <f t="shared" ref="G112" si="92">NPV($C$4, J112:DE112)+I112</f>
        <v>0</v>
      </c>
      <c r="H112" s="318">
        <f t="shared" ref="H112:DL112" si="93">H111</f>
        <v>0</v>
      </c>
      <c r="I112" s="318">
        <f t="shared" si="93"/>
        <v>0</v>
      </c>
      <c r="J112" s="318">
        <f t="shared" si="93"/>
        <v>0</v>
      </c>
      <c r="K112" s="318">
        <f t="shared" si="93"/>
        <v>0</v>
      </c>
      <c r="L112" s="318">
        <f t="shared" si="93"/>
        <v>0</v>
      </c>
      <c r="M112" s="318">
        <f t="shared" si="93"/>
        <v>0</v>
      </c>
      <c r="N112" s="318">
        <f t="shared" si="93"/>
        <v>0</v>
      </c>
      <c r="O112" s="318">
        <f t="shared" si="93"/>
        <v>0</v>
      </c>
      <c r="P112" s="318">
        <f t="shared" si="93"/>
        <v>0</v>
      </c>
      <c r="Q112" s="318">
        <f t="shared" si="93"/>
        <v>0</v>
      </c>
      <c r="R112" s="318">
        <f t="shared" si="93"/>
        <v>0</v>
      </c>
      <c r="S112" s="318">
        <f t="shared" si="93"/>
        <v>0</v>
      </c>
      <c r="T112" s="318">
        <f t="shared" si="93"/>
        <v>0</v>
      </c>
      <c r="U112" s="318">
        <f t="shared" si="93"/>
        <v>0</v>
      </c>
      <c r="V112" s="318">
        <f t="shared" si="93"/>
        <v>0</v>
      </c>
      <c r="W112" s="318">
        <f t="shared" si="93"/>
        <v>0</v>
      </c>
      <c r="X112" s="318">
        <f t="shared" si="93"/>
        <v>0</v>
      </c>
      <c r="Y112" s="318">
        <f t="shared" si="93"/>
        <v>0</v>
      </c>
      <c r="Z112" s="318">
        <f t="shared" si="93"/>
        <v>0</v>
      </c>
      <c r="AA112" s="318">
        <f t="shared" si="93"/>
        <v>0</v>
      </c>
      <c r="AB112" s="318">
        <f t="shared" si="93"/>
        <v>0</v>
      </c>
      <c r="AC112" s="318">
        <f t="shared" si="93"/>
        <v>0</v>
      </c>
      <c r="AD112" s="318">
        <f t="shared" si="93"/>
        <v>0</v>
      </c>
      <c r="AE112" s="318">
        <f t="shared" si="93"/>
        <v>0</v>
      </c>
      <c r="AF112" s="318">
        <f t="shared" si="93"/>
        <v>0</v>
      </c>
      <c r="AG112" s="318">
        <f t="shared" si="93"/>
        <v>0</v>
      </c>
      <c r="AH112" s="318">
        <f t="shared" si="93"/>
        <v>0</v>
      </c>
      <c r="AI112" s="318">
        <f t="shared" si="93"/>
        <v>0</v>
      </c>
      <c r="AJ112" s="318">
        <f t="shared" si="93"/>
        <v>0</v>
      </c>
      <c r="AK112" s="318">
        <f t="shared" si="93"/>
        <v>0</v>
      </c>
      <c r="AL112" s="318">
        <f t="shared" si="93"/>
        <v>0</v>
      </c>
      <c r="AM112" s="318">
        <f t="shared" si="93"/>
        <v>0</v>
      </c>
      <c r="AN112" s="318">
        <f t="shared" si="93"/>
        <v>0</v>
      </c>
      <c r="AO112" s="318">
        <f t="shared" si="93"/>
        <v>0</v>
      </c>
      <c r="AP112" s="318">
        <f t="shared" si="93"/>
        <v>0</v>
      </c>
      <c r="AQ112" s="318">
        <f t="shared" si="93"/>
        <v>0</v>
      </c>
      <c r="AR112" s="318">
        <f t="shared" si="93"/>
        <v>0</v>
      </c>
      <c r="AS112" s="318">
        <f t="shared" si="93"/>
        <v>0</v>
      </c>
      <c r="AT112" s="318">
        <f t="shared" si="93"/>
        <v>0</v>
      </c>
      <c r="AU112" s="318">
        <f t="shared" si="93"/>
        <v>0</v>
      </c>
      <c r="AV112" s="318">
        <f t="shared" si="93"/>
        <v>0</v>
      </c>
      <c r="AW112" s="318">
        <f t="shared" si="93"/>
        <v>0</v>
      </c>
      <c r="AX112" s="318">
        <f t="shared" si="93"/>
        <v>0</v>
      </c>
      <c r="AY112" s="318">
        <f t="shared" si="93"/>
        <v>0</v>
      </c>
      <c r="AZ112" s="318">
        <f t="shared" si="93"/>
        <v>0</v>
      </c>
      <c r="BA112" s="318">
        <f t="shared" si="93"/>
        <v>0</v>
      </c>
      <c r="BB112" s="318">
        <f t="shared" si="93"/>
        <v>0</v>
      </c>
      <c r="BC112" s="318">
        <f t="shared" si="93"/>
        <v>0</v>
      </c>
      <c r="BD112" s="318">
        <f t="shared" si="93"/>
        <v>0</v>
      </c>
      <c r="BE112" s="318">
        <f t="shared" si="93"/>
        <v>0</v>
      </c>
      <c r="BF112" s="318">
        <f t="shared" si="93"/>
        <v>0</v>
      </c>
      <c r="BG112" s="318">
        <f t="shared" si="93"/>
        <v>0</v>
      </c>
      <c r="BH112" s="318">
        <f t="shared" si="93"/>
        <v>0</v>
      </c>
      <c r="BI112" s="318">
        <f t="shared" si="93"/>
        <v>0</v>
      </c>
      <c r="BJ112" s="318">
        <f t="shared" si="93"/>
        <v>0</v>
      </c>
      <c r="BK112" s="318">
        <f t="shared" si="93"/>
        <v>0</v>
      </c>
      <c r="BL112" s="318">
        <f t="shared" si="93"/>
        <v>0</v>
      </c>
      <c r="BM112" s="318">
        <f t="shared" si="93"/>
        <v>0</v>
      </c>
      <c r="BN112" s="318">
        <f t="shared" si="93"/>
        <v>0</v>
      </c>
      <c r="BO112" s="318">
        <f t="shared" si="93"/>
        <v>0</v>
      </c>
      <c r="BP112" s="318">
        <f t="shared" si="93"/>
        <v>0</v>
      </c>
      <c r="BQ112" s="318">
        <f t="shared" si="93"/>
        <v>0</v>
      </c>
      <c r="BR112" s="318">
        <f t="shared" si="93"/>
        <v>0</v>
      </c>
      <c r="BS112" s="318">
        <f t="shared" si="93"/>
        <v>0</v>
      </c>
      <c r="BT112" s="318">
        <f t="shared" si="93"/>
        <v>0</v>
      </c>
      <c r="BU112" s="318">
        <f t="shared" si="93"/>
        <v>0</v>
      </c>
      <c r="BV112" s="318">
        <f t="shared" si="93"/>
        <v>0</v>
      </c>
      <c r="BW112" s="318">
        <f t="shared" si="93"/>
        <v>0</v>
      </c>
      <c r="BX112" s="318">
        <f t="shared" si="93"/>
        <v>0</v>
      </c>
      <c r="BY112" s="318">
        <f t="shared" si="93"/>
        <v>0</v>
      </c>
      <c r="BZ112" s="318">
        <f t="shared" si="93"/>
        <v>0</v>
      </c>
      <c r="CA112" s="318">
        <f t="shared" si="93"/>
        <v>0</v>
      </c>
      <c r="CB112" s="318">
        <f t="shared" si="93"/>
        <v>0</v>
      </c>
      <c r="CC112" s="318">
        <f t="shared" si="93"/>
        <v>0</v>
      </c>
      <c r="CD112" s="318">
        <f t="shared" si="93"/>
        <v>0</v>
      </c>
      <c r="CE112" s="318">
        <f t="shared" si="93"/>
        <v>0</v>
      </c>
      <c r="CF112" s="318">
        <f t="shared" si="93"/>
        <v>0</v>
      </c>
      <c r="CG112" s="318">
        <f t="shared" si="93"/>
        <v>0</v>
      </c>
      <c r="CH112" s="318">
        <f t="shared" si="93"/>
        <v>0</v>
      </c>
      <c r="CI112" s="318">
        <f t="shared" si="93"/>
        <v>0</v>
      </c>
      <c r="CJ112" s="318">
        <f t="shared" si="93"/>
        <v>0</v>
      </c>
      <c r="CK112" s="318">
        <f t="shared" si="93"/>
        <v>0</v>
      </c>
      <c r="CL112" s="318">
        <f t="shared" si="93"/>
        <v>0</v>
      </c>
      <c r="CM112" s="318">
        <f t="shared" si="93"/>
        <v>0</v>
      </c>
      <c r="CN112" s="318">
        <f t="shared" si="93"/>
        <v>0</v>
      </c>
      <c r="CO112" s="318">
        <f t="shared" si="93"/>
        <v>0</v>
      </c>
      <c r="CP112" s="318">
        <f t="shared" si="93"/>
        <v>0</v>
      </c>
      <c r="CQ112" s="318">
        <f t="shared" si="93"/>
        <v>0</v>
      </c>
      <c r="CR112" s="318">
        <f t="shared" si="93"/>
        <v>0</v>
      </c>
      <c r="CS112" s="318">
        <f t="shared" si="93"/>
        <v>0</v>
      </c>
      <c r="CT112" s="318">
        <f t="shared" si="93"/>
        <v>0</v>
      </c>
      <c r="CU112" s="318">
        <f t="shared" si="93"/>
        <v>0</v>
      </c>
      <c r="CV112" s="318">
        <f t="shared" si="93"/>
        <v>0</v>
      </c>
      <c r="CW112" s="318">
        <f t="shared" si="93"/>
        <v>0</v>
      </c>
      <c r="CX112" s="318">
        <f t="shared" si="93"/>
        <v>0</v>
      </c>
      <c r="CY112" s="318">
        <f t="shared" si="93"/>
        <v>0</v>
      </c>
      <c r="CZ112" s="318">
        <f t="shared" si="93"/>
        <v>0</v>
      </c>
      <c r="DA112" s="318">
        <f t="shared" si="93"/>
        <v>0</v>
      </c>
      <c r="DB112" s="318">
        <f t="shared" si="93"/>
        <v>0</v>
      </c>
      <c r="DC112" s="318">
        <f t="shared" si="93"/>
        <v>0</v>
      </c>
      <c r="DD112" s="318">
        <f t="shared" si="93"/>
        <v>0</v>
      </c>
      <c r="DE112" s="318">
        <f t="shared" si="93"/>
        <v>0</v>
      </c>
      <c r="DF112" s="318">
        <f t="shared" si="93"/>
        <v>0</v>
      </c>
      <c r="DG112" s="318">
        <f t="shared" si="93"/>
        <v>0</v>
      </c>
      <c r="DH112" s="318">
        <f t="shared" si="93"/>
        <v>0</v>
      </c>
      <c r="DI112" s="318">
        <f t="shared" si="93"/>
        <v>0</v>
      </c>
      <c r="DJ112" s="318">
        <f t="shared" si="93"/>
        <v>0</v>
      </c>
      <c r="DK112" s="318">
        <f t="shared" si="93"/>
        <v>0</v>
      </c>
      <c r="DL112" s="318">
        <f t="shared" si="93"/>
        <v>0</v>
      </c>
      <c r="DM112" s="221"/>
      <c r="DN112" s="221"/>
      <c r="DO112" s="221"/>
      <c r="DP112" s="221"/>
      <c r="DQ112" s="221"/>
      <c r="DR112" s="221"/>
      <c r="DS112" s="221"/>
      <c r="DT112" s="221"/>
      <c r="DU112" s="221"/>
      <c r="DV112" s="221"/>
      <c r="DW112" s="221"/>
      <c r="DX112" s="221"/>
      <c r="DY112" s="221"/>
      <c r="DZ112" s="221"/>
      <c r="EA112" s="221"/>
      <c r="EB112" s="221"/>
      <c r="EC112" s="221"/>
      <c r="ED112" s="221"/>
    </row>
    <row r="113" spans="1:116" ht="15.75" customHeight="1" x14ac:dyDescent="0.25">
      <c r="A113" s="763" t="s">
        <v>48</v>
      </c>
      <c r="B113" s="758" t="s">
        <v>79</v>
      </c>
      <c r="C113" s="321" t="s">
        <v>248</v>
      </c>
      <c r="D113" s="322"/>
      <c r="E113" s="506" t="s">
        <v>249</v>
      </c>
      <c r="F113" s="506"/>
      <c r="G113" s="279" t="s">
        <v>250</v>
      </c>
      <c r="H113" s="507">
        <v>2651.5151515151515</v>
      </c>
      <c r="I113" s="284">
        <f>H113*(1+'Unit Costs and Indicators'!$D$145%)</f>
        <v>2651.5151515151515</v>
      </c>
      <c r="J113" s="284">
        <f>I113*(1+'Unit Costs and Indicators'!$D$145%)</f>
        <v>2651.5151515151515</v>
      </c>
      <c r="K113" s="284">
        <f>J113*(1+'Unit Costs and Indicators'!$D$145%)</f>
        <v>2651.5151515151515</v>
      </c>
      <c r="L113" s="284">
        <f>K113*(1+'Unit Costs and Indicators'!$D$145%)</f>
        <v>2651.5151515151515</v>
      </c>
      <c r="M113" s="284">
        <f>L113*(1+'Unit Costs and Indicators'!$D$145%)</f>
        <v>2651.5151515151515</v>
      </c>
      <c r="N113" s="284">
        <f>M113*(1+'Unit Costs and Indicators'!$D$145%)</f>
        <v>2651.5151515151515</v>
      </c>
      <c r="O113" s="284">
        <f>N113*(1+'Unit Costs and Indicators'!$D$145%)</f>
        <v>2651.5151515151515</v>
      </c>
      <c r="P113" s="284">
        <f>O113*(1+'Unit Costs and Indicators'!$D$145%)</f>
        <v>2651.5151515151515</v>
      </c>
      <c r="Q113" s="284">
        <f>P113*(1+'Unit Costs and Indicators'!$D$145%)</f>
        <v>2651.5151515151515</v>
      </c>
      <c r="R113" s="284">
        <f>Q113*(1+'Unit Costs and Indicators'!$D$145%)</f>
        <v>2651.5151515151515</v>
      </c>
      <c r="S113" s="284">
        <f>R113*(1+'Unit Costs and Indicators'!$D$145%)</f>
        <v>2651.5151515151515</v>
      </c>
      <c r="T113" s="284">
        <f>S113*(1+'Unit Costs and Indicators'!$D$145%)</f>
        <v>2651.5151515151515</v>
      </c>
      <c r="U113" s="284">
        <f>T113*(1+'Unit Costs and Indicators'!$D$145%)</f>
        <v>2651.5151515151515</v>
      </c>
      <c r="V113" s="284">
        <f>U113*(1+'Unit Costs and Indicators'!$D$145%)</f>
        <v>2651.5151515151515</v>
      </c>
      <c r="W113" s="284">
        <f>V113*(1+'Unit Costs and Indicators'!$D$145%)</f>
        <v>2651.5151515151515</v>
      </c>
      <c r="X113" s="284">
        <f>W113*(1+'Unit Costs and Indicators'!$D$145%)</f>
        <v>2651.5151515151515</v>
      </c>
      <c r="Y113" s="284">
        <f>X113*(1+'Unit Costs and Indicators'!$D$145%)</f>
        <v>2651.5151515151515</v>
      </c>
      <c r="Z113" s="284">
        <f>Y113*(1+'Unit Costs and Indicators'!$D$145%)</f>
        <v>2651.5151515151515</v>
      </c>
      <c r="AA113" s="284">
        <f>Z113*(1+'Unit Costs and Indicators'!$D$145%)</f>
        <v>2651.5151515151515</v>
      </c>
      <c r="AB113" s="284">
        <f>AA113*(1+'Unit Costs and Indicators'!$D$145%)</f>
        <v>2651.5151515151515</v>
      </c>
      <c r="AC113" s="284">
        <f>AB113*(1+'Unit Costs and Indicators'!$D$145%)</f>
        <v>2651.5151515151515</v>
      </c>
      <c r="AD113" s="284">
        <f>AC113*(1+'Unit Costs and Indicators'!$D$145%)</f>
        <v>2651.5151515151515</v>
      </c>
      <c r="AE113" s="284">
        <f>AD113*(1+'Unit Costs and Indicators'!$D$145%)</f>
        <v>2651.5151515151515</v>
      </c>
      <c r="AF113" s="284">
        <f>AE113*(1+'Unit Costs and Indicators'!$D$145%)</f>
        <v>2651.5151515151515</v>
      </c>
      <c r="AG113" s="284">
        <f>AF113*(1+'Unit Costs and Indicators'!$D$145%)</f>
        <v>2651.5151515151515</v>
      </c>
      <c r="AH113" s="284">
        <f>AG113*(1+'Unit Costs and Indicators'!$D$145%)</f>
        <v>2651.5151515151515</v>
      </c>
      <c r="AI113" s="284">
        <f>AH113*(1+'Unit Costs and Indicators'!$D$145%)</f>
        <v>2651.5151515151515</v>
      </c>
      <c r="AJ113" s="284">
        <f>AI113*(1+'Unit Costs and Indicators'!$D$145%)</f>
        <v>2651.5151515151515</v>
      </c>
      <c r="AK113" s="284">
        <f>AJ113*(1+'Unit Costs and Indicators'!$D$145%)</f>
        <v>2651.5151515151515</v>
      </c>
      <c r="AL113" s="284">
        <f>AK113*(1+'Unit Costs and Indicators'!$D$145%)</f>
        <v>2651.5151515151515</v>
      </c>
      <c r="AM113" s="284">
        <f>AL113*(1+'Unit Costs and Indicators'!$D$145%)</f>
        <v>2651.5151515151515</v>
      </c>
      <c r="AN113" s="284">
        <f>AM113*(1+'Unit Costs and Indicators'!$D$145%)</f>
        <v>2651.5151515151515</v>
      </c>
      <c r="AO113" s="284">
        <f>AN113*(1+'Unit Costs and Indicators'!$D$145%)</f>
        <v>2651.5151515151515</v>
      </c>
      <c r="AP113" s="284">
        <f>AO113*(1+'Unit Costs and Indicators'!$D$145%)</f>
        <v>2651.5151515151515</v>
      </c>
      <c r="AQ113" s="284">
        <f>AP113*(1+'Unit Costs and Indicators'!$D$145%)</f>
        <v>2651.5151515151515</v>
      </c>
      <c r="AR113" s="284">
        <f>AQ113*(1+'Unit Costs and Indicators'!$D$145%)</f>
        <v>2651.5151515151515</v>
      </c>
      <c r="AS113" s="284">
        <f>AR113*(1+'Unit Costs and Indicators'!$D$145%)</f>
        <v>2651.5151515151515</v>
      </c>
      <c r="AT113" s="284">
        <f>AS113*(1+'Unit Costs and Indicators'!$D$145%)</f>
        <v>2651.5151515151515</v>
      </c>
      <c r="AU113" s="284">
        <f>AT113*(1+'Unit Costs and Indicators'!$D$145%)</f>
        <v>2651.5151515151515</v>
      </c>
      <c r="AV113" s="284">
        <f>AU113*(1+'Unit Costs and Indicators'!$D$145%)</f>
        <v>2651.5151515151515</v>
      </c>
      <c r="AW113" s="284">
        <f>AV113*(1+'Unit Costs and Indicators'!$D$145%)</f>
        <v>2651.5151515151515</v>
      </c>
      <c r="AX113" s="284">
        <f>AW113*(1+'Unit Costs and Indicators'!$D$145%)</f>
        <v>2651.5151515151515</v>
      </c>
      <c r="AY113" s="284">
        <f>AX113*(1+'Unit Costs and Indicators'!$D$145%)</f>
        <v>2651.5151515151515</v>
      </c>
      <c r="AZ113" s="284">
        <f>AY113*(1+'Unit Costs and Indicators'!$D$145%)</f>
        <v>2651.5151515151515</v>
      </c>
      <c r="BA113" s="284">
        <f>AZ113*(1+'Unit Costs and Indicators'!$D$145%)</f>
        <v>2651.5151515151515</v>
      </c>
      <c r="BB113" s="284">
        <f>BA113*(1+'Unit Costs and Indicators'!$D$145%)</f>
        <v>2651.5151515151515</v>
      </c>
      <c r="BC113" s="284">
        <f>BB113*(1+'Unit Costs and Indicators'!$D$145%)</f>
        <v>2651.5151515151515</v>
      </c>
      <c r="BD113" s="284">
        <f>BC113*(1+'Unit Costs and Indicators'!$D$145%)</f>
        <v>2651.5151515151515</v>
      </c>
      <c r="BE113" s="284">
        <f>BD113*(1+'Unit Costs and Indicators'!$D$145%)</f>
        <v>2651.5151515151515</v>
      </c>
      <c r="BF113" s="284">
        <f>BE113*(1+'Unit Costs and Indicators'!$D$145%)</f>
        <v>2651.5151515151515</v>
      </c>
      <c r="BG113" s="284">
        <f>BF113*(1+'Unit Costs and Indicators'!$D$145%)</f>
        <v>2651.5151515151515</v>
      </c>
      <c r="BH113" s="284">
        <f>BG113*(1+'Unit Costs and Indicators'!$D$145%)</f>
        <v>2651.5151515151515</v>
      </c>
      <c r="BI113" s="284">
        <f>BH113*(1+'Unit Costs and Indicators'!$D$145%)</f>
        <v>2651.5151515151515</v>
      </c>
      <c r="BJ113" s="284">
        <f>BI113*(1+'Unit Costs and Indicators'!$D$145%)</f>
        <v>2651.5151515151515</v>
      </c>
      <c r="BK113" s="284">
        <f>BJ113*(1+'Unit Costs and Indicators'!$D$145%)</f>
        <v>2651.5151515151515</v>
      </c>
      <c r="BL113" s="284">
        <f>BK113*(1+'Unit Costs and Indicators'!$D$145%)</f>
        <v>2651.5151515151515</v>
      </c>
      <c r="BM113" s="284">
        <f>BL113*(1+'Unit Costs and Indicators'!$D$145%)</f>
        <v>2651.5151515151515</v>
      </c>
      <c r="BN113" s="284">
        <f>BM113*(1+'Unit Costs and Indicators'!$D$145%)</f>
        <v>2651.5151515151515</v>
      </c>
      <c r="BO113" s="284">
        <f>BN113*(1+'Unit Costs and Indicators'!$D$145%)</f>
        <v>2651.5151515151515</v>
      </c>
      <c r="BP113" s="284">
        <f>BO113*(1+'Unit Costs and Indicators'!$D$145%)</f>
        <v>2651.5151515151515</v>
      </c>
      <c r="BQ113" s="284">
        <f>BP113*(1+'Unit Costs and Indicators'!$D$145%)</f>
        <v>2651.5151515151515</v>
      </c>
      <c r="BR113" s="284">
        <f>BQ113*(1+'Unit Costs and Indicators'!$D$145%)</f>
        <v>2651.5151515151515</v>
      </c>
      <c r="BS113" s="284">
        <f>BR113*(1+'Unit Costs and Indicators'!$D$145%)</f>
        <v>2651.5151515151515</v>
      </c>
      <c r="BT113" s="284">
        <f>BS113*(1+'Unit Costs and Indicators'!$D$145%)</f>
        <v>2651.5151515151515</v>
      </c>
      <c r="BU113" s="284">
        <f>BT113*(1+'Unit Costs and Indicators'!$D$145%)</f>
        <v>2651.5151515151515</v>
      </c>
      <c r="BV113" s="284">
        <f>BU113*(1+'Unit Costs and Indicators'!$D$145%)</f>
        <v>2651.5151515151515</v>
      </c>
      <c r="BW113" s="284">
        <f>BV113*(1+'Unit Costs and Indicators'!$D$145%)</f>
        <v>2651.5151515151515</v>
      </c>
      <c r="BX113" s="284">
        <f>BW113*(1+'Unit Costs and Indicators'!$D$145%)</f>
        <v>2651.5151515151515</v>
      </c>
      <c r="BY113" s="284">
        <f>BX113*(1+'Unit Costs and Indicators'!$D$145%)</f>
        <v>2651.5151515151515</v>
      </c>
      <c r="BZ113" s="284">
        <f>BY113*(1+'Unit Costs and Indicators'!$D$145%)</f>
        <v>2651.5151515151515</v>
      </c>
      <c r="CA113" s="284">
        <f>BZ113*(1+'Unit Costs and Indicators'!$D$145%)</f>
        <v>2651.5151515151515</v>
      </c>
      <c r="CB113" s="284">
        <f>CA113*(1+'Unit Costs and Indicators'!$D$145%)</f>
        <v>2651.5151515151515</v>
      </c>
      <c r="CC113" s="284">
        <f>CB113*(1+'Unit Costs and Indicators'!$D$145%)</f>
        <v>2651.5151515151515</v>
      </c>
      <c r="CD113" s="284">
        <f>CC113*(1+'Unit Costs and Indicators'!$D$145%)</f>
        <v>2651.5151515151515</v>
      </c>
      <c r="CE113" s="284">
        <f>CD113*(1+'Unit Costs and Indicators'!$D$145%)</f>
        <v>2651.5151515151515</v>
      </c>
      <c r="CF113" s="284">
        <f>CE113*(1+'Unit Costs and Indicators'!$D$145%)</f>
        <v>2651.5151515151515</v>
      </c>
      <c r="CG113" s="284">
        <f>CF113*(1+'Unit Costs and Indicators'!$D$145%)</f>
        <v>2651.5151515151515</v>
      </c>
      <c r="CH113" s="284">
        <f>CG113*(1+'Unit Costs and Indicators'!$D$145%)</f>
        <v>2651.5151515151515</v>
      </c>
      <c r="CI113" s="284">
        <f>CH113*(1+'Unit Costs and Indicators'!$D$145%)</f>
        <v>2651.5151515151515</v>
      </c>
      <c r="CJ113" s="284">
        <f>CI113*(1+'Unit Costs and Indicators'!$D$145%)</f>
        <v>2651.5151515151515</v>
      </c>
      <c r="CK113" s="284">
        <f>CJ113*(1+'Unit Costs and Indicators'!$D$145%)</f>
        <v>2651.5151515151515</v>
      </c>
      <c r="CL113" s="284">
        <f>CK113*(1+'Unit Costs and Indicators'!$D$145%)</f>
        <v>2651.5151515151515</v>
      </c>
      <c r="CM113" s="284">
        <f>CL113*(1+'Unit Costs and Indicators'!$D$145%)</f>
        <v>2651.5151515151515</v>
      </c>
      <c r="CN113" s="284">
        <f>CM113*(1+'Unit Costs and Indicators'!$D$145%)</f>
        <v>2651.5151515151515</v>
      </c>
      <c r="CO113" s="284">
        <f>CN113*(1+'Unit Costs and Indicators'!$D$145%)</f>
        <v>2651.5151515151515</v>
      </c>
      <c r="CP113" s="284">
        <f>CO113*(1+'Unit Costs and Indicators'!$D$145%)</f>
        <v>2651.5151515151515</v>
      </c>
      <c r="CQ113" s="284">
        <f>CP113*(1+'Unit Costs and Indicators'!$D$145%)</f>
        <v>2651.5151515151515</v>
      </c>
      <c r="CR113" s="284">
        <f>CQ113*(1+'Unit Costs and Indicators'!$D$145%)</f>
        <v>2651.5151515151515</v>
      </c>
      <c r="CS113" s="284">
        <f>CR113*(1+'Unit Costs and Indicators'!$D$145%)</f>
        <v>2651.5151515151515</v>
      </c>
      <c r="CT113" s="284">
        <f>CS113*(1+'Unit Costs and Indicators'!$D$145%)</f>
        <v>2651.5151515151515</v>
      </c>
      <c r="CU113" s="284">
        <f>CT113*(1+'Unit Costs and Indicators'!$D$145%)</f>
        <v>2651.5151515151515</v>
      </c>
      <c r="CV113" s="284">
        <f>CU113*(1+'Unit Costs and Indicators'!$D$145%)</f>
        <v>2651.5151515151515</v>
      </c>
      <c r="CW113" s="284">
        <f>CV113*(1+'Unit Costs and Indicators'!$D$145%)</f>
        <v>2651.5151515151515</v>
      </c>
      <c r="CX113" s="284">
        <f>CW113*(1+'Unit Costs and Indicators'!$D$145%)</f>
        <v>2651.5151515151515</v>
      </c>
      <c r="CY113" s="284">
        <f>CX113*(1+'Unit Costs and Indicators'!$D$145%)</f>
        <v>2651.5151515151515</v>
      </c>
      <c r="CZ113" s="284">
        <f>CY113*(1+'Unit Costs and Indicators'!$D$145%)</f>
        <v>2651.5151515151515</v>
      </c>
      <c r="DA113" s="284">
        <f>CZ113*(1+'Unit Costs and Indicators'!$D$145%)</f>
        <v>2651.5151515151515</v>
      </c>
      <c r="DB113" s="284">
        <f>DA113*(1+'Unit Costs and Indicators'!$D$145%)</f>
        <v>2651.5151515151515</v>
      </c>
      <c r="DC113" s="284">
        <f>DB113*(1+'Unit Costs and Indicators'!$D$145%)</f>
        <v>2651.5151515151515</v>
      </c>
      <c r="DD113" s="284">
        <f>DC113*(1+'Unit Costs and Indicators'!$D$145%)</f>
        <v>2651.5151515151515</v>
      </c>
      <c r="DE113" s="284">
        <f>DD113*(1+'Unit Costs and Indicators'!$D$145%)</f>
        <v>2651.5151515151515</v>
      </c>
      <c r="DF113" s="279"/>
      <c r="DG113" s="279"/>
      <c r="DH113" s="279"/>
      <c r="DI113" s="279"/>
      <c r="DJ113" s="279"/>
      <c r="DK113" s="279"/>
      <c r="DL113" s="279"/>
    </row>
    <row r="114" spans="1:116" ht="15.75" customHeight="1" x14ac:dyDescent="0.25">
      <c r="A114" s="751"/>
      <c r="B114" s="751"/>
      <c r="C114" s="321" t="s">
        <v>381</v>
      </c>
      <c r="D114" s="322"/>
      <c r="E114" s="506"/>
      <c r="F114" s="506"/>
      <c r="G114" s="279"/>
      <c r="H114" s="507"/>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c r="AL114" s="284"/>
      <c r="AM114" s="284"/>
      <c r="AN114" s="284"/>
      <c r="AO114" s="284"/>
      <c r="AP114" s="284"/>
      <c r="AQ114" s="284"/>
      <c r="AR114" s="284"/>
      <c r="AS114" s="284"/>
      <c r="AT114" s="284"/>
      <c r="AU114" s="284"/>
      <c r="AV114" s="284"/>
      <c r="AW114" s="284"/>
      <c r="AX114" s="284"/>
      <c r="AY114" s="284"/>
      <c r="AZ114" s="284"/>
      <c r="BA114" s="284"/>
      <c r="BB114" s="284"/>
      <c r="BC114" s="284"/>
      <c r="BD114" s="284"/>
      <c r="BE114" s="284"/>
      <c r="BF114" s="284"/>
      <c r="BG114" s="284"/>
      <c r="BH114" s="284"/>
      <c r="BI114" s="284"/>
      <c r="BJ114" s="284"/>
      <c r="BK114" s="284"/>
      <c r="BL114" s="284"/>
      <c r="BM114" s="284"/>
      <c r="BN114" s="284"/>
      <c r="BO114" s="284"/>
      <c r="BP114" s="284"/>
      <c r="BQ114" s="284"/>
      <c r="BR114" s="284"/>
      <c r="BS114" s="284"/>
      <c r="BT114" s="284"/>
      <c r="BU114" s="284"/>
      <c r="BV114" s="284"/>
      <c r="BW114" s="284"/>
      <c r="BX114" s="284"/>
      <c r="BY114" s="284"/>
      <c r="BZ114" s="284"/>
      <c r="CA114" s="284"/>
      <c r="CB114" s="284"/>
      <c r="CC114" s="284"/>
      <c r="CD114" s="284"/>
      <c r="CE114" s="284"/>
      <c r="CF114" s="284"/>
      <c r="CG114" s="284"/>
      <c r="CH114" s="284"/>
      <c r="CI114" s="284"/>
      <c r="CJ114" s="284"/>
      <c r="CK114" s="284"/>
      <c r="CL114" s="284"/>
      <c r="CM114" s="284"/>
      <c r="CN114" s="284"/>
      <c r="CO114" s="284"/>
      <c r="CP114" s="284"/>
      <c r="CQ114" s="284"/>
      <c r="CR114" s="284"/>
      <c r="CS114" s="284"/>
      <c r="CT114" s="284"/>
      <c r="CU114" s="284"/>
      <c r="CV114" s="284"/>
      <c r="CW114" s="284"/>
      <c r="CX114" s="284"/>
      <c r="CY114" s="284"/>
      <c r="CZ114" s="284"/>
      <c r="DA114" s="284"/>
      <c r="DB114" s="284"/>
      <c r="DC114" s="284"/>
      <c r="DD114" s="284"/>
      <c r="DE114" s="284"/>
      <c r="DF114" s="279"/>
      <c r="DG114" s="279"/>
      <c r="DH114" s="279"/>
      <c r="DI114" s="279"/>
      <c r="DJ114" s="279"/>
      <c r="DK114" s="279"/>
      <c r="DL114" s="279"/>
    </row>
    <row r="115" spans="1:116" ht="15.75" customHeight="1" x14ac:dyDescent="0.25">
      <c r="A115" s="751"/>
      <c r="B115" s="751"/>
      <c r="C115" s="321" t="s">
        <v>382</v>
      </c>
      <c r="D115" s="324" t="s">
        <v>383</v>
      </c>
      <c r="E115" s="506" t="s">
        <v>384</v>
      </c>
      <c r="F115" s="506"/>
      <c r="G115" s="4">
        <f>1.1/(100)</f>
        <v>1.1000000000000001E-2</v>
      </c>
      <c r="H115" s="325">
        <f>'Unit Costs and Indicators'!$L$10*H113*0.011</f>
        <v>2.4411571523313942E-3</v>
      </c>
      <c r="I115" s="326">
        <f>'Unit Costs and Indicators'!$L$10*I113*0.011</f>
        <v>2.4411571523313942E-3</v>
      </c>
      <c r="J115" s="326">
        <f>'Unit Costs and Indicators'!$L$10*J113*0.011</f>
        <v>2.4411571523313942E-3</v>
      </c>
      <c r="K115" s="326">
        <f>'Unit Costs and Indicators'!$L$10*K113*0.011</f>
        <v>2.4411571523313942E-3</v>
      </c>
      <c r="L115" s="326">
        <f>'Unit Costs and Indicators'!$L$10*L113*0.011</f>
        <v>2.4411571523313942E-3</v>
      </c>
      <c r="M115" s="326">
        <f>'Unit Costs and Indicators'!$L$10*M113*0.011</f>
        <v>2.4411571523313942E-3</v>
      </c>
      <c r="N115" s="326">
        <f>'Unit Costs and Indicators'!$L$10*N113*0.011</f>
        <v>2.4411571523313942E-3</v>
      </c>
      <c r="O115" s="326">
        <f>'Unit Costs and Indicators'!$L$10*O113*0.011</f>
        <v>2.4411571523313942E-3</v>
      </c>
      <c r="P115" s="326">
        <f>'Unit Costs and Indicators'!$L$10*P113*0.011</f>
        <v>2.4411571523313942E-3</v>
      </c>
      <c r="Q115" s="326">
        <f>'Unit Costs and Indicators'!$L$10*Q113*0.011</f>
        <v>2.4411571523313942E-3</v>
      </c>
      <c r="R115" s="326">
        <f>'Unit Costs and Indicators'!$L$10*R113*0.011</f>
        <v>2.4411571523313942E-3</v>
      </c>
      <c r="S115" s="326">
        <f>'Unit Costs and Indicators'!$L$10*S113*0.011</f>
        <v>2.4411571523313942E-3</v>
      </c>
      <c r="T115" s="326">
        <f>'Unit Costs and Indicators'!$L$10*T113*0.011</f>
        <v>2.4411571523313942E-3</v>
      </c>
      <c r="U115" s="326">
        <f>'Unit Costs and Indicators'!$L$10*U113*0.011</f>
        <v>2.4411571523313942E-3</v>
      </c>
      <c r="V115" s="326">
        <f>'Unit Costs and Indicators'!$L$10*V113*0.011</f>
        <v>2.4411571523313942E-3</v>
      </c>
      <c r="W115" s="326">
        <f>'Unit Costs and Indicators'!$L$10*W113*0.011</f>
        <v>2.4411571523313942E-3</v>
      </c>
      <c r="X115" s="326">
        <f>'Unit Costs and Indicators'!$L$10*X113*0.011</f>
        <v>2.4411571523313942E-3</v>
      </c>
      <c r="Y115" s="326">
        <f>'Unit Costs and Indicators'!$L$10*Y113*0.011</f>
        <v>2.4411571523313942E-3</v>
      </c>
      <c r="Z115" s="326">
        <f>'Unit Costs and Indicators'!$L$10*Z113*0.011</f>
        <v>2.4411571523313942E-3</v>
      </c>
      <c r="AA115" s="326">
        <f>'Unit Costs and Indicators'!$L$10*AA113*0.011</f>
        <v>2.4411571523313942E-3</v>
      </c>
      <c r="AB115" s="326">
        <f>'Unit Costs and Indicators'!$L$10*AB113*0.011</f>
        <v>2.4411571523313942E-3</v>
      </c>
      <c r="AC115" s="326">
        <f>'Unit Costs and Indicators'!$L$10*AC113*0.011</f>
        <v>2.4411571523313942E-3</v>
      </c>
      <c r="AD115" s="326">
        <f>'Unit Costs and Indicators'!$L$10*AD113*0.011</f>
        <v>2.4411571523313942E-3</v>
      </c>
      <c r="AE115" s="326">
        <f>'Unit Costs and Indicators'!$L$10*AE113*0.011</f>
        <v>2.4411571523313942E-3</v>
      </c>
      <c r="AF115" s="326">
        <f>'Unit Costs and Indicators'!$L$10*AF113*0.011</f>
        <v>2.4411571523313942E-3</v>
      </c>
      <c r="AG115" s="326">
        <f>'Unit Costs and Indicators'!$L$10*AG113*0.011</f>
        <v>2.4411571523313942E-3</v>
      </c>
      <c r="AH115" s="326">
        <f>'Unit Costs and Indicators'!$L$10*AH113*0.011</f>
        <v>2.4411571523313942E-3</v>
      </c>
      <c r="AI115" s="326">
        <f>'Unit Costs and Indicators'!$L$10*AI113*0.011</f>
        <v>2.4411571523313942E-3</v>
      </c>
      <c r="AJ115" s="326">
        <f>'Unit Costs and Indicators'!$L$10*AJ113*0.011</f>
        <v>2.4411571523313942E-3</v>
      </c>
      <c r="AK115" s="326">
        <f>'Unit Costs and Indicators'!$L$10*AK113*0.011</f>
        <v>2.4411571523313942E-3</v>
      </c>
      <c r="AL115" s="326">
        <f>'Unit Costs and Indicators'!$L$10*AL113*0.011</f>
        <v>2.4411571523313942E-3</v>
      </c>
      <c r="AM115" s="326">
        <f>'Unit Costs and Indicators'!$L$10*AM113*0.011</f>
        <v>2.4411571523313942E-3</v>
      </c>
      <c r="AN115" s="326">
        <f>'Unit Costs and Indicators'!$L$10*AN113*0.011</f>
        <v>2.4411571523313942E-3</v>
      </c>
      <c r="AO115" s="326">
        <f>'Unit Costs and Indicators'!$L$10*AO113*0.011</f>
        <v>2.4411571523313942E-3</v>
      </c>
      <c r="AP115" s="326">
        <f>'Unit Costs and Indicators'!$L$10*AP113*0.011</f>
        <v>2.4411571523313942E-3</v>
      </c>
      <c r="AQ115" s="326">
        <f>'Unit Costs and Indicators'!$L$10*AQ113*0.011</f>
        <v>2.4411571523313942E-3</v>
      </c>
      <c r="AR115" s="326">
        <f>'Unit Costs and Indicators'!$L$10*AR113*0.011</f>
        <v>2.4411571523313942E-3</v>
      </c>
      <c r="AS115" s="326">
        <f>'Unit Costs and Indicators'!$L$10*AS113*0.011</f>
        <v>2.4411571523313942E-3</v>
      </c>
      <c r="AT115" s="326">
        <f>'Unit Costs and Indicators'!$L$10*AT113*0.011</f>
        <v>2.4411571523313942E-3</v>
      </c>
      <c r="AU115" s="326">
        <f>'Unit Costs and Indicators'!$L$10*AU113*0.011</f>
        <v>2.4411571523313942E-3</v>
      </c>
      <c r="AV115" s="326">
        <f>'Unit Costs and Indicators'!$L$10*AV113*0.011</f>
        <v>2.4411571523313942E-3</v>
      </c>
      <c r="AW115" s="326">
        <f>'Unit Costs and Indicators'!$L$10*AW113*0.011</f>
        <v>2.4411571523313942E-3</v>
      </c>
      <c r="AX115" s="326">
        <f>'Unit Costs and Indicators'!$L$10*AX113*0.011</f>
        <v>2.4411571523313942E-3</v>
      </c>
      <c r="AY115" s="326">
        <f>'Unit Costs and Indicators'!$L$10*AY113*0.011</f>
        <v>2.4411571523313942E-3</v>
      </c>
      <c r="AZ115" s="326">
        <f>'Unit Costs and Indicators'!$L$10*AZ113*0.011</f>
        <v>2.4411571523313942E-3</v>
      </c>
      <c r="BA115" s="326">
        <f>'Unit Costs and Indicators'!$L$10*BA113*0.011</f>
        <v>2.4411571523313942E-3</v>
      </c>
      <c r="BB115" s="326">
        <f>'Unit Costs and Indicators'!$L$10*BB113*0.011</f>
        <v>2.4411571523313942E-3</v>
      </c>
      <c r="BC115" s="326">
        <f>'Unit Costs and Indicators'!$L$10*BC113*0.011</f>
        <v>2.4411571523313942E-3</v>
      </c>
      <c r="BD115" s="326">
        <f>'Unit Costs and Indicators'!$L$10*BD113*0.011</f>
        <v>2.4411571523313942E-3</v>
      </c>
      <c r="BE115" s="326">
        <f>'Unit Costs and Indicators'!$L$10*BE113*0.011</f>
        <v>2.4411571523313942E-3</v>
      </c>
      <c r="BF115" s="326">
        <f>'Unit Costs and Indicators'!$L$10*BF113*0.011</f>
        <v>2.4411571523313942E-3</v>
      </c>
      <c r="BG115" s="326">
        <f>'Unit Costs and Indicators'!$L$10*BG113*0.011</f>
        <v>2.4411571523313942E-3</v>
      </c>
      <c r="BH115" s="326">
        <f>'Unit Costs and Indicators'!$L$10*BH113*0.011</f>
        <v>2.4411571523313942E-3</v>
      </c>
      <c r="BI115" s="326">
        <f>'Unit Costs and Indicators'!$L$10*BI113*0.011</f>
        <v>2.4411571523313942E-3</v>
      </c>
      <c r="BJ115" s="326">
        <f>'Unit Costs and Indicators'!$L$10*BJ113*0.011</f>
        <v>2.4411571523313942E-3</v>
      </c>
      <c r="BK115" s="326">
        <f>'Unit Costs and Indicators'!$L$10*BK113*0.011</f>
        <v>2.4411571523313942E-3</v>
      </c>
      <c r="BL115" s="326">
        <f>'Unit Costs and Indicators'!$L$10*BL113*0.011</f>
        <v>2.4411571523313942E-3</v>
      </c>
      <c r="BM115" s="326">
        <f>'Unit Costs and Indicators'!$L$10*BM113*0.011</f>
        <v>2.4411571523313942E-3</v>
      </c>
      <c r="BN115" s="326">
        <f>'Unit Costs and Indicators'!$L$10*BN113*0.011</f>
        <v>2.4411571523313942E-3</v>
      </c>
      <c r="BO115" s="326">
        <f>'Unit Costs and Indicators'!$L$10*BO113*0.011</f>
        <v>2.4411571523313942E-3</v>
      </c>
      <c r="BP115" s="326">
        <f>'Unit Costs and Indicators'!$L$10*BP113*0.011</f>
        <v>2.4411571523313942E-3</v>
      </c>
      <c r="BQ115" s="326">
        <f>'Unit Costs and Indicators'!$L$10*BQ113*0.011</f>
        <v>2.4411571523313942E-3</v>
      </c>
      <c r="BR115" s="326">
        <f>'Unit Costs and Indicators'!$L$10*BR113*0.011</f>
        <v>2.4411571523313942E-3</v>
      </c>
      <c r="BS115" s="326">
        <f>'Unit Costs and Indicators'!$L$10*BS113*0.011</f>
        <v>2.4411571523313942E-3</v>
      </c>
      <c r="BT115" s="326">
        <f>'Unit Costs and Indicators'!$L$10*BT113*0.011</f>
        <v>2.4411571523313942E-3</v>
      </c>
      <c r="BU115" s="326">
        <f>'Unit Costs and Indicators'!$L$10*BU113*0.011</f>
        <v>2.4411571523313942E-3</v>
      </c>
      <c r="BV115" s="326">
        <f>'Unit Costs and Indicators'!$L$10*BV113*0.011</f>
        <v>2.4411571523313942E-3</v>
      </c>
      <c r="BW115" s="326">
        <f>'Unit Costs and Indicators'!$L$10*BW113*0.011</f>
        <v>2.4411571523313942E-3</v>
      </c>
      <c r="BX115" s="326">
        <f>'Unit Costs and Indicators'!$L$10*BX113*0.011</f>
        <v>2.4411571523313942E-3</v>
      </c>
      <c r="BY115" s="326">
        <f>'Unit Costs and Indicators'!$L$10*BY113*0.011</f>
        <v>2.4411571523313942E-3</v>
      </c>
      <c r="BZ115" s="326">
        <f>'Unit Costs and Indicators'!$L$10*BZ113*0.011</f>
        <v>2.4411571523313942E-3</v>
      </c>
      <c r="CA115" s="326">
        <f>'Unit Costs and Indicators'!$L$10*CA113*0.011</f>
        <v>2.4411571523313942E-3</v>
      </c>
      <c r="CB115" s="326">
        <f>'Unit Costs and Indicators'!$L$10*CB113*0.011</f>
        <v>2.4411571523313942E-3</v>
      </c>
      <c r="CC115" s="326">
        <f>'Unit Costs and Indicators'!$L$10*CC113*0.011</f>
        <v>2.4411571523313942E-3</v>
      </c>
      <c r="CD115" s="326">
        <f>'Unit Costs and Indicators'!$L$10*CD113*0.011</f>
        <v>2.4411571523313942E-3</v>
      </c>
      <c r="CE115" s="326">
        <f>'Unit Costs and Indicators'!$L$10*CE113*0.011</f>
        <v>2.4411571523313942E-3</v>
      </c>
      <c r="CF115" s="326">
        <f>'Unit Costs and Indicators'!$L$10*CF113*0.011</f>
        <v>2.4411571523313942E-3</v>
      </c>
      <c r="CG115" s="326">
        <f>'Unit Costs and Indicators'!$L$10*CG113*0.011</f>
        <v>2.4411571523313942E-3</v>
      </c>
      <c r="CH115" s="326">
        <f>'Unit Costs and Indicators'!$L$10*CH113*0.011</f>
        <v>2.4411571523313942E-3</v>
      </c>
      <c r="CI115" s="326">
        <f>'Unit Costs and Indicators'!$L$10*CI113*0.011</f>
        <v>2.4411571523313942E-3</v>
      </c>
      <c r="CJ115" s="326">
        <f>'Unit Costs and Indicators'!$L$10*CJ113*0.011</f>
        <v>2.4411571523313942E-3</v>
      </c>
      <c r="CK115" s="326">
        <f>'Unit Costs and Indicators'!$L$10*CK113*0.011</f>
        <v>2.4411571523313942E-3</v>
      </c>
      <c r="CL115" s="326">
        <f>'Unit Costs and Indicators'!$L$10*CL113*0.011</f>
        <v>2.4411571523313942E-3</v>
      </c>
      <c r="CM115" s="326">
        <f>'Unit Costs and Indicators'!$L$10*CM113*0.011</f>
        <v>2.4411571523313942E-3</v>
      </c>
      <c r="CN115" s="326">
        <f>'Unit Costs and Indicators'!$L$10*CN113*0.011</f>
        <v>2.4411571523313942E-3</v>
      </c>
      <c r="CO115" s="326">
        <f>'Unit Costs and Indicators'!$L$10*CO113*0.011</f>
        <v>2.4411571523313942E-3</v>
      </c>
      <c r="CP115" s="326">
        <f>'Unit Costs and Indicators'!$L$10*CP113*0.011</f>
        <v>2.4411571523313942E-3</v>
      </c>
      <c r="CQ115" s="326">
        <f>'Unit Costs and Indicators'!$L$10*CQ113*0.011</f>
        <v>2.4411571523313942E-3</v>
      </c>
      <c r="CR115" s="326">
        <f>'Unit Costs and Indicators'!$L$10*CR113*0.011</f>
        <v>2.4411571523313942E-3</v>
      </c>
      <c r="CS115" s="326">
        <f>'Unit Costs and Indicators'!$L$10*CS113*0.011</f>
        <v>2.4411571523313942E-3</v>
      </c>
      <c r="CT115" s="326">
        <f>'Unit Costs and Indicators'!$L$10*CT113*0.011</f>
        <v>2.4411571523313942E-3</v>
      </c>
      <c r="CU115" s="326">
        <f>'Unit Costs and Indicators'!$L$10*CU113*0.011</f>
        <v>2.4411571523313942E-3</v>
      </c>
      <c r="CV115" s="326">
        <f>'Unit Costs and Indicators'!$L$10*CV113*0.011</f>
        <v>2.4411571523313942E-3</v>
      </c>
      <c r="CW115" s="326">
        <f>'Unit Costs and Indicators'!$L$10*CW113*0.011</f>
        <v>2.4411571523313942E-3</v>
      </c>
      <c r="CX115" s="326">
        <f>'Unit Costs and Indicators'!$L$10*CX113*0.011</f>
        <v>2.4411571523313942E-3</v>
      </c>
      <c r="CY115" s="326">
        <f>'Unit Costs and Indicators'!$L$10*CY113*0.011</f>
        <v>2.4411571523313942E-3</v>
      </c>
      <c r="CZ115" s="326">
        <f>'Unit Costs and Indicators'!$L$10*CZ113*0.011</f>
        <v>2.4411571523313942E-3</v>
      </c>
      <c r="DA115" s="326">
        <f>'Unit Costs and Indicators'!$L$10*DA113*0.011</f>
        <v>2.4411571523313942E-3</v>
      </c>
      <c r="DB115" s="326">
        <f>'Unit Costs and Indicators'!$L$10*DB113*0.011</f>
        <v>2.4411571523313942E-3</v>
      </c>
      <c r="DC115" s="326">
        <f>'Unit Costs and Indicators'!$L$10*DC113*0.011</f>
        <v>2.4411571523313942E-3</v>
      </c>
      <c r="DD115" s="326">
        <f>'Unit Costs and Indicators'!$L$10*DD113*0.011</f>
        <v>2.4411571523313942E-3</v>
      </c>
      <c r="DE115" s="326">
        <f>'Unit Costs and Indicators'!$L$10*DE113*0.011</f>
        <v>2.4411571523313942E-3</v>
      </c>
      <c r="DF115" s="326"/>
      <c r="DG115" s="326"/>
      <c r="DH115" s="326"/>
      <c r="DI115" s="326"/>
      <c r="DJ115" s="326"/>
      <c r="DK115" s="326"/>
      <c r="DL115" s="326"/>
    </row>
    <row r="116" spans="1:116" ht="15.75" customHeight="1" x14ac:dyDescent="0.25">
      <c r="A116" s="751"/>
      <c r="B116" s="751"/>
      <c r="C116" s="321" t="s">
        <v>253</v>
      </c>
      <c r="D116" s="3"/>
      <c r="E116" s="492" t="s">
        <v>230</v>
      </c>
      <c r="F116" s="493"/>
      <c r="G116" s="327">
        <v>5.4</v>
      </c>
      <c r="H116" s="302">
        <v>5.4</v>
      </c>
      <c r="I116" s="303">
        <f>H116*(1+'Unit Costs and Indicators'!$D$136)</f>
        <v>5.4</v>
      </c>
      <c r="J116" s="303">
        <f>I116*(1+'Unit Costs and Indicators'!$D$136)</f>
        <v>5.4</v>
      </c>
      <c r="K116" s="303">
        <f>J116*(1+'Unit Costs and Indicators'!$D$136)</f>
        <v>5.4</v>
      </c>
      <c r="L116" s="303">
        <f>K116*(1+'Unit Costs and Indicators'!$D$136)</f>
        <v>5.4</v>
      </c>
      <c r="M116" s="303">
        <f>L116*(1+'Unit Costs and Indicators'!$D$136)</f>
        <v>5.4</v>
      </c>
      <c r="N116" s="303">
        <f>M116*(1+'Unit Costs and Indicators'!$D$136)</f>
        <v>5.4</v>
      </c>
      <c r="O116" s="303">
        <f>N116*(1+'Unit Costs and Indicators'!$D$136)</f>
        <v>5.4</v>
      </c>
      <c r="P116" s="303">
        <f>O116*(1+'Unit Costs and Indicators'!$D$136)</f>
        <v>5.4</v>
      </c>
      <c r="Q116" s="303">
        <f>P116*(1+'Unit Costs and Indicators'!$D$136)</f>
        <v>5.4</v>
      </c>
      <c r="R116" s="303">
        <f>Q116*(1+'Unit Costs and Indicators'!$D$136)</f>
        <v>5.4</v>
      </c>
      <c r="S116" s="303">
        <f>R116*(1+'Unit Costs and Indicators'!$D$136)</f>
        <v>5.4</v>
      </c>
      <c r="T116" s="303">
        <f>S116*(1+'Unit Costs and Indicators'!$D$136)</f>
        <v>5.4</v>
      </c>
      <c r="U116" s="303">
        <f>T116*(1+'Unit Costs and Indicators'!$D$136)</f>
        <v>5.4</v>
      </c>
      <c r="V116" s="303">
        <f>U116*(1+'Unit Costs and Indicators'!$D$136)</f>
        <v>5.4</v>
      </c>
      <c r="W116" s="303">
        <f>V116*(1+'Unit Costs and Indicators'!$D$136)</f>
        <v>5.4</v>
      </c>
      <c r="X116" s="303">
        <f>W116*(1+'Unit Costs and Indicators'!$D$136)</f>
        <v>5.4</v>
      </c>
      <c r="Y116" s="303">
        <f>X116*(1+'Unit Costs and Indicators'!$D$136)</f>
        <v>5.4</v>
      </c>
      <c r="Z116" s="303">
        <f>Y116*(1+'Unit Costs and Indicators'!$D$136)</f>
        <v>5.4</v>
      </c>
      <c r="AA116" s="303">
        <f>Z116*(1+'Unit Costs and Indicators'!$D$136)</f>
        <v>5.4</v>
      </c>
      <c r="AB116" s="303">
        <f>AA116*(1+'Unit Costs and Indicators'!$D$136)</f>
        <v>5.4</v>
      </c>
      <c r="AC116" s="303">
        <f>AB116*(1+'Unit Costs and Indicators'!$D$136)</f>
        <v>5.4</v>
      </c>
      <c r="AD116" s="303">
        <f>AC116*(1+'Unit Costs and Indicators'!$D$136)</f>
        <v>5.4</v>
      </c>
      <c r="AE116" s="303">
        <f>AD116*(1+'Unit Costs and Indicators'!$D$136)</f>
        <v>5.4</v>
      </c>
      <c r="AF116" s="303">
        <f>AE116*(1+'Unit Costs and Indicators'!$D$136)</f>
        <v>5.4</v>
      </c>
      <c r="AG116" s="303">
        <f>AF116*(1+'Unit Costs and Indicators'!$D$136)</f>
        <v>5.4</v>
      </c>
      <c r="AH116" s="303">
        <f>AG116*(1+'Unit Costs and Indicators'!$D$136)</f>
        <v>5.4</v>
      </c>
      <c r="AI116" s="303">
        <f>AH116*(1+'Unit Costs and Indicators'!$D$136)</f>
        <v>5.4</v>
      </c>
      <c r="AJ116" s="303">
        <f>AI116*(1+'Unit Costs and Indicators'!$D$136)</f>
        <v>5.4</v>
      </c>
      <c r="AK116" s="303">
        <f>AJ116*(1+'Unit Costs and Indicators'!$D$136)</f>
        <v>5.4</v>
      </c>
      <c r="AL116" s="303">
        <f>AK116*(1+'Unit Costs and Indicators'!$D$136)</f>
        <v>5.4</v>
      </c>
      <c r="AM116" s="303">
        <f>AL116*(1+'Unit Costs and Indicators'!$D$136)</f>
        <v>5.4</v>
      </c>
      <c r="AN116" s="303">
        <f>AM116*(1+'Unit Costs and Indicators'!$D$136)</f>
        <v>5.4</v>
      </c>
      <c r="AO116" s="303">
        <f>AN116*(1+'Unit Costs and Indicators'!$D$136)</f>
        <v>5.4</v>
      </c>
      <c r="AP116" s="303">
        <f>AO116*(1+'Unit Costs and Indicators'!$D$136)</f>
        <v>5.4</v>
      </c>
      <c r="AQ116" s="303">
        <f>AP116*(1+'Unit Costs and Indicators'!$D$136)</f>
        <v>5.4</v>
      </c>
      <c r="AR116" s="303">
        <f>AQ116*(1+'Unit Costs and Indicators'!$D$136)</f>
        <v>5.4</v>
      </c>
      <c r="AS116" s="303">
        <f>AR116*(1+'Unit Costs and Indicators'!$D$136)</f>
        <v>5.4</v>
      </c>
      <c r="AT116" s="303">
        <f>AS116*(1+'Unit Costs and Indicators'!$D$136)</f>
        <v>5.4</v>
      </c>
      <c r="AU116" s="303">
        <f>AT116*(1+'Unit Costs and Indicators'!$D$136)</f>
        <v>5.4</v>
      </c>
      <c r="AV116" s="303">
        <f>AU116*(1+'Unit Costs and Indicators'!$D$136)</f>
        <v>5.4</v>
      </c>
      <c r="AW116" s="303">
        <f>AV116*(1+'Unit Costs and Indicators'!$D$136)</f>
        <v>5.4</v>
      </c>
      <c r="AX116" s="303">
        <f>AW116*(1+'Unit Costs and Indicators'!$D$136)</f>
        <v>5.4</v>
      </c>
      <c r="AY116" s="303">
        <f>AX116*(1+'Unit Costs and Indicators'!$D$136)</f>
        <v>5.4</v>
      </c>
      <c r="AZ116" s="303">
        <f>AY116*(1+'Unit Costs and Indicators'!$D$136)</f>
        <v>5.4</v>
      </c>
      <c r="BA116" s="303">
        <f>AZ116*(1+'Unit Costs and Indicators'!$D$136)</f>
        <v>5.4</v>
      </c>
      <c r="BB116" s="303">
        <f>BA116*(1+'Unit Costs and Indicators'!$D$136)</f>
        <v>5.4</v>
      </c>
      <c r="BC116" s="303">
        <f>BB116*(1+'Unit Costs and Indicators'!$D$136)</f>
        <v>5.4</v>
      </c>
      <c r="BD116" s="303">
        <f>BC116*(1+'Unit Costs and Indicators'!$D$136)</f>
        <v>5.4</v>
      </c>
      <c r="BE116" s="303">
        <f>BD116*(1+'Unit Costs and Indicators'!$D$136)</f>
        <v>5.4</v>
      </c>
      <c r="BF116" s="303">
        <f>BE116*(1+'Unit Costs and Indicators'!$D$136)</f>
        <v>5.4</v>
      </c>
      <c r="BG116" s="303">
        <f>BF116*(1+'Unit Costs and Indicators'!$D$136)</f>
        <v>5.4</v>
      </c>
      <c r="BH116" s="303">
        <f>BG116*(1+'Unit Costs and Indicators'!$D$136)</f>
        <v>5.4</v>
      </c>
      <c r="BI116" s="303">
        <f>BH116*(1+'Unit Costs and Indicators'!$D$136)</f>
        <v>5.4</v>
      </c>
      <c r="BJ116" s="303">
        <f>BI116*(1+'Unit Costs and Indicators'!$D$136)</f>
        <v>5.4</v>
      </c>
      <c r="BK116" s="303">
        <f>BJ116*(1+'Unit Costs and Indicators'!$D$136)</f>
        <v>5.4</v>
      </c>
      <c r="BL116" s="303">
        <f>BK116*(1+'Unit Costs and Indicators'!$D$136)</f>
        <v>5.4</v>
      </c>
      <c r="BM116" s="303">
        <f>BL116*(1+'Unit Costs and Indicators'!$D$136)</f>
        <v>5.4</v>
      </c>
      <c r="BN116" s="303">
        <f>BM116*(1+'Unit Costs and Indicators'!$D$136)</f>
        <v>5.4</v>
      </c>
      <c r="BO116" s="303">
        <f>BN116*(1+'Unit Costs and Indicators'!$D$136)</f>
        <v>5.4</v>
      </c>
      <c r="BP116" s="303">
        <f>BO116*(1+'Unit Costs and Indicators'!$D$136)</f>
        <v>5.4</v>
      </c>
      <c r="BQ116" s="303">
        <f>BP116*(1+'Unit Costs and Indicators'!$D$136)</f>
        <v>5.4</v>
      </c>
      <c r="BR116" s="303">
        <f>BQ116*(1+'Unit Costs and Indicators'!$D$136)</f>
        <v>5.4</v>
      </c>
      <c r="BS116" s="303">
        <f>BR116*(1+'Unit Costs and Indicators'!$D$136)</f>
        <v>5.4</v>
      </c>
      <c r="BT116" s="303">
        <f>BS116*(1+'Unit Costs and Indicators'!$D$136)</f>
        <v>5.4</v>
      </c>
      <c r="BU116" s="303">
        <f>BT116*(1+'Unit Costs and Indicators'!$D$136)</f>
        <v>5.4</v>
      </c>
      <c r="BV116" s="303">
        <f>BU116*(1+'Unit Costs and Indicators'!$D$136)</f>
        <v>5.4</v>
      </c>
      <c r="BW116" s="303">
        <f>BV116*(1+'Unit Costs and Indicators'!$D$136)</f>
        <v>5.4</v>
      </c>
      <c r="BX116" s="303">
        <f>BW116*(1+'Unit Costs and Indicators'!$D$136)</f>
        <v>5.4</v>
      </c>
      <c r="BY116" s="303">
        <f>BX116*(1+'Unit Costs and Indicators'!$D$136)</f>
        <v>5.4</v>
      </c>
      <c r="BZ116" s="303">
        <f>BY116*(1+'Unit Costs and Indicators'!$D$136)</f>
        <v>5.4</v>
      </c>
      <c r="CA116" s="303">
        <f>BZ116*(1+'Unit Costs and Indicators'!$D$136)</f>
        <v>5.4</v>
      </c>
      <c r="CB116" s="303">
        <f>CA116*(1+'Unit Costs and Indicators'!$D$136)</f>
        <v>5.4</v>
      </c>
      <c r="CC116" s="303">
        <f>CB116*(1+'Unit Costs and Indicators'!$D$136)</f>
        <v>5.4</v>
      </c>
      <c r="CD116" s="303">
        <f>CC116*(1+'Unit Costs and Indicators'!$D$136)</f>
        <v>5.4</v>
      </c>
      <c r="CE116" s="303">
        <f>CD116*(1+'Unit Costs and Indicators'!$D$136)</f>
        <v>5.4</v>
      </c>
      <c r="CF116" s="303">
        <f>CE116*(1+'Unit Costs and Indicators'!$D$136)</f>
        <v>5.4</v>
      </c>
      <c r="CG116" s="303">
        <f>CF116*(1+'Unit Costs and Indicators'!$D$136)</f>
        <v>5.4</v>
      </c>
      <c r="CH116" s="303">
        <f>CG116*(1+'Unit Costs and Indicators'!$D$136)</f>
        <v>5.4</v>
      </c>
      <c r="CI116" s="303">
        <f>CH116*(1+'Unit Costs and Indicators'!$D$136)</f>
        <v>5.4</v>
      </c>
      <c r="CJ116" s="303">
        <f>CI116*(1+'Unit Costs and Indicators'!$D$136)</f>
        <v>5.4</v>
      </c>
      <c r="CK116" s="303">
        <f>CJ116*(1+'Unit Costs and Indicators'!$D$136)</f>
        <v>5.4</v>
      </c>
      <c r="CL116" s="303">
        <f>CK116*(1+'Unit Costs and Indicators'!$D$136)</f>
        <v>5.4</v>
      </c>
      <c r="CM116" s="303">
        <f>CL116*(1+'Unit Costs and Indicators'!$D$136)</f>
        <v>5.4</v>
      </c>
      <c r="CN116" s="303">
        <f>CM116*(1+'Unit Costs and Indicators'!$D$136)</f>
        <v>5.4</v>
      </c>
      <c r="CO116" s="303">
        <f>CN116*(1+'Unit Costs and Indicators'!$D$136)</f>
        <v>5.4</v>
      </c>
      <c r="CP116" s="303">
        <f>CO116*(1+'Unit Costs and Indicators'!$D$136)</f>
        <v>5.4</v>
      </c>
      <c r="CQ116" s="303">
        <f>CP116*(1+'Unit Costs and Indicators'!$D$136)</f>
        <v>5.4</v>
      </c>
      <c r="CR116" s="303">
        <f>CQ116*(1+'Unit Costs and Indicators'!$D$136)</f>
        <v>5.4</v>
      </c>
      <c r="CS116" s="303">
        <f>CR116*(1+'Unit Costs and Indicators'!$D$136)</f>
        <v>5.4</v>
      </c>
      <c r="CT116" s="303">
        <f>CS116*(1+'Unit Costs and Indicators'!$D$136)</f>
        <v>5.4</v>
      </c>
      <c r="CU116" s="303">
        <f>CT116*(1+'Unit Costs and Indicators'!$D$136)</f>
        <v>5.4</v>
      </c>
      <c r="CV116" s="303">
        <f>CU116*(1+'Unit Costs and Indicators'!$D$136)</f>
        <v>5.4</v>
      </c>
      <c r="CW116" s="303">
        <f>CV116*(1+'Unit Costs and Indicators'!$D$136)</f>
        <v>5.4</v>
      </c>
      <c r="CX116" s="303">
        <f>CW116*(1+'Unit Costs and Indicators'!$D$136)</f>
        <v>5.4</v>
      </c>
      <c r="CY116" s="303">
        <f>CX116*(1+'Unit Costs and Indicators'!$D$136)</f>
        <v>5.4</v>
      </c>
      <c r="CZ116" s="303">
        <f>CY116*(1+'Unit Costs and Indicators'!$D$136)</f>
        <v>5.4</v>
      </c>
      <c r="DA116" s="303">
        <f>CZ116*(1+'Unit Costs and Indicators'!$D$136)</f>
        <v>5.4</v>
      </c>
      <c r="DB116" s="303">
        <f>DA116*(1+'Unit Costs and Indicators'!$D$136)</f>
        <v>5.4</v>
      </c>
      <c r="DC116" s="303">
        <f>DB116*(1+'Unit Costs and Indicators'!$D$136)</f>
        <v>5.4</v>
      </c>
      <c r="DD116" s="303">
        <f>DC116*(1+'Unit Costs and Indicators'!$D$136)</f>
        <v>5.4</v>
      </c>
      <c r="DE116" s="303">
        <f>DD116*(1+'Unit Costs and Indicators'!$D$136)</f>
        <v>5.4</v>
      </c>
      <c r="DF116" s="308"/>
      <c r="DG116" s="308"/>
      <c r="DH116" s="308"/>
      <c r="DI116" s="308"/>
      <c r="DJ116" s="308"/>
      <c r="DK116" s="308"/>
      <c r="DL116" s="308"/>
    </row>
    <row r="117" spans="1:116" ht="15.75" customHeight="1" x14ac:dyDescent="0.25">
      <c r="A117" s="751"/>
      <c r="B117" s="751"/>
      <c r="C117" s="321" t="s">
        <v>255</v>
      </c>
      <c r="D117" s="3"/>
      <c r="E117" s="280"/>
      <c r="F117" s="280"/>
      <c r="G117" s="4">
        <v>16</v>
      </c>
      <c r="H117" s="508">
        <v>16</v>
      </c>
      <c r="I117" s="287">
        <v>16</v>
      </c>
      <c r="J117" s="287">
        <v>16</v>
      </c>
      <c r="K117" s="287">
        <v>16</v>
      </c>
      <c r="L117" s="287">
        <v>16</v>
      </c>
      <c r="M117" s="287">
        <v>16</v>
      </c>
      <c r="N117" s="287">
        <v>16</v>
      </c>
      <c r="O117" s="287">
        <v>16</v>
      </c>
      <c r="P117" s="287">
        <v>16</v>
      </c>
      <c r="Q117" s="287">
        <v>16</v>
      </c>
      <c r="R117" s="287">
        <v>16</v>
      </c>
      <c r="S117" s="287">
        <v>16</v>
      </c>
      <c r="T117" s="287">
        <v>16</v>
      </c>
      <c r="U117" s="287">
        <v>16</v>
      </c>
      <c r="V117" s="287">
        <v>16</v>
      </c>
      <c r="W117" s="287">
        <v>16</v>
      </c>
      <c r="X117" s="287">
        <v>16</v>
      </c>
      <c r="Y117" s="287">
        <v>16</v>
      </c>
      <c r="Z117" s="287">
        <v>16</v>
      </c>
      <c r="AA117" s="287">
        <v>16</v>
      </c>
      <c r="AB117" s="287">
        <v>16</v>
      </c>
      <c r="AC117" s="287">
        <v>16</v>
      </c>
      <c r="AD117" s="287">
        <v>16</v>
      </c>
      <c r="AE117" s="287">
        <v>16</v>
      </c>
      <c r="AF117" s="287">
        <v>16</v>
      </c>
      <c r="AG117" s="287">
        <v>16</v>
      </c>
      <c r="AH117" s="287">
        <v>16</v>
      </c>
      <c r="AI117" s="287">
        <v>16</v>
      </c>
      <c r="AJ117" s="287">
        <v>16</v>
      </c>
      <c r="AK117" s="287">
        <v>16</v>
      </c>
      <c r="AL117" s="287">
        <v>16</v>
      </c>
      <c r="AM117" s="287">
        <v>16</v>
      </c>
      <c r="AN117" s="287">
        <v>16</v>
      </c>
      <c r="AO117" s="287">
        <v>16</v>
      </c>
      <c r="AP117" s="287">
        <v>16</v>
      </c>
      <c r="AQ117" s="287">
        <v>16</v>
      </c>
      <c r="AR117" s="287">
        <v>16</v>
      </c>
      <c r="AS117" s="287">
        <v>16</v>
      </c>
      <c r="AT117" s="287">
        <v>16</v>
      </c>
      <c r="AU117" s="287">
        <v>16</v>
      </c>
      <c r="AV117" s="287">
        <v>16</v>
      </c>
      <c r="AW117" s="287">
        <v>16</v>
      </c>
      <c r="AX117" s="287">
        <v>16</v>
      </c>
      <c r="AY117" s="287">
        <v>16</v>
      </c>
      <c r="AZ117" s="287">
        <v>16</v>
      </c>
      <c r="BA117" s="287">
        <v>16</v>
      </c>
      <c r="BB117" s="287">
        <v>16</v>
      </c>
      <c r="BC117" s="287">
        <v>16</v>
      </c>
      <c r="BD117" s="287">
        <v>16</v>
      </c>
      <c r="BE117" s="287">
        <v>16</v>
      </c>
      <c r="BF117" s="287">
        <v>16</v>
      </c>
      <c r="BG117" s="287">
        <v>16</v>
      </c>
      <c r="BH117" s="287">
        <v>16</v>
      </c>
      <c r="BI117" s="287">
        <v>16</v>
      </c>
      <c r="BJ117" s="287">
        <v>16</v>
      </c>
      <c r="BK117" s="287">
        <v>16</v>
      </c>
      <c r="BL117" s="287">
        <v>16</v>
      </c>
      <c r="BM117" s="287">
        <v>16</v>
      </c>
      <c r="BN117" s="287">
        <v>16</v>
      </c>
      <c r="BO117" s="287">
        <v>16</v>
      </c>
      <c r="BP117" s="287">
        <v>16</v>
      </c>
      <c r="BQ117" s="287">
        <v>16</v>
      </c>
      <c r="BR117" s="287">
        <v>16</v>
      </c>
      <c r="BS117" s="287">
        <v>16</v>
      </c>
      <c r="BT117" s="287">
        <v>16</v>
      </c>
      <c r="BU117" s="287">
        <v>16</v>
      </c>
      <c r="BV117" s="287">
        <v>16</v>
      </c>
      <c r="BW117" s="287">
        <v>16</v>
      </c>
      <c r="BX117" s="287">
        <v>16</v>
      </c>
      <c r="BY117" s="287">
        <v>16</v>
      </c>
      <c r="BZ117" s="287">
        <v>16</v>
      </c>
      <c r="CA117" s="287">
        <v>16</v>
      </c>
      <c r="CB117" s="287">
        <v>16</v>
      </c>
      <c r="CC117" s="287">
        <v>16</v>
      </c>
      <c r="CD117" s="287">
        <v>16</v>
      </c>
      <c r="CE117" s="287">
        <v>16</v>
      </c>
      <c r="CF117" s="287">
        <v>16</v>
      </c>
      <c r="CG117" s="287">
        <v>16</v>
      </c>
      <c r="CH117" s="287">
        <v>16</v>
      </c>
      <c r="CI117" s="287">
        <v>16</v>
      </c>
      <c r="CJ117" s="287">
        <v>16</v>
      </c>
      <c r="CK117" s="287">
        <v>16</v>
      </c>
      <c r="CL117" s="287">
        <v>16</v>
      </c>
      <c r="CM117" s="287">
        <v>16</v>
      </c>
      <c r="CN117" s="287">
        <v>16</v>
      </c>
      <c r="CO117" s="287">
        <v>16</v>
      </c>
      <c r="CP117" s="287">
        <v>16</v>
      </c>
      <c r="CQ117" s="287">
        <v>16</v>
      </c>
      <c r="CR117" s="287">
        <v>16</v>
      </c>
      <c r="CS117" s="287">
        <v>16</v>
      </c>
      <c r="CT117" s="287">
        <v>16</v>
      </c>
      <c r="CU117" s="287">
        <v>16</v>
      </c>
      <c r="CV117" s="287">
        <v>16</v>
      </c>
      <c r="CW117" s="287">
        <v>16</v>
      </c>
      <c r="CX117" s="287">
        <v>16</v>
      </c>
      <c r="CY117" s="287">
        <v>16</v>
      </c>
      <c r="CZ117" s="287">
        <v>16</v>
      </c>
      <c r="DA117" s="287">
        <v>16</v>
      </c>
      <c r="DB117" s="287">
        <v>16</v>
      </c>
      <c r="DC117" s="287">
        <v>16</v>
      </c>
      <c r="DD117" s="287">
        <v>16</v>
      </c>
      <c r="DE117" s="287">
        <v>16</v>
      </c>
      <c r="DF117" s="4"/>
      <c r="DG117" s="4"/>
      <c r="DH117" s="4"/>
      <c r="DI117" s="4"/>
      <c r="DJ117" s="4"/>
      <c r="DK117" s="4"/>
      <c r="DL117" s="4"/>
    </row>
    <row r="118" spans="1:116" ht="15.75" customHeight="1" x14ac:dyDescent="0.25">
      <c r="A118" s="751"/>
      <c r="B118" s="751"/>
      <c r="C118" s="4" t="s">
        <v>385</v>
      </c>
      <c r="D118" s="3"/>
      <c r="E118" s="3"/>
      <c r="F118" s="3"/>
      <c r="G118" s="327"/>
      <c r="H118" s="302">
        <f t="shared" ref="H118:DE118" si="94">H117+H116</f>
        <v>21.4</v>
      </c>
      <c r="I118" s="303">
        <f t="shared" si="94"/>
        <v>21.4</v>
      </c>
      <c r="J118" s="303">
        <f t="shared" si="94"/>
        <v>21.4</v>
      </c>
      <c r="K118" s="303">
        <f t="shared" si="94"/>
        <v>21.4</v>
      </c>
      <c r="L118" s="303">
        <f t="shared" si="94"/>
        <v>21.4</v>
      </c>
      <c r="M118" s="303">
        <f t="shared" si="94"/>
        <v>21.4</v>
      </c>
      <c r="N118" s="303">
        <f t="shared" si="94"/>
        <v>21.4</v>
      </c>
      <c r="O118" s="303">
        <f t="shared" si="94"/>
        <v>21.4</v>
      </c>
      <c r="P118" s="303">
        <f t="shared" si="94"/>
        <v>21.4</v>
      </c>
      <c r="Q118" s="303">
        <f t="shared" si="94"/>
        <v>21.4</v>
      </c>
      <c r="R118" s="303">
        <f t="shared" si="94"/>
        <v>21.4</v>
      </c>
      <c r="S118" s="303">
        <f t="shared" si="94"/>
        <v>21.4</v>
      </c>
      <c r="T118" s="303">
        <f t="shared" si="94"/>
        <v>21.4</v>
      </c>
      <c r="U118" s="303">
        <f t="shared" si="94"/>
        <v>21.4</v>
      </c>
      <c r="V118" s="303">
        <f t="shared" si="94"/>
        <v>21.4</v>
      </c>
      <c r="W118" s="303">
        <f t="shared" si="94"/>
        <v>21.4</v>
      </c>
      <c r="X118" s="303">
        <f t="shared" si="94"/>
        <v>21.4</v>
      </c>
      <c r="Y118" s="303">
        <f t="shared" si="94"/>
        <v>21.4</v>
      </c>
      <c r="Z118" s="303">
        <f t="shared" si="94"/>
        <v>21.4</v>
      </c>
      <c r="AA118" s="303">
        <f t="shared" si="94"/>
        <v>21.4</v>
      </c>
      <c r="AB118" s="303">
        <f t="shared" si="94"/>
        <v>21.4</v>
      </c>
      <c r="AC118" s="303">
        <f t="shared" si="94"/>
        <v>21.4</v>
      </c>
      <c r="AD118" s="303">
        <f t="shared" si="94"/>
        <v>21.4</v>
      </c>
      <c r="AE118" s="303">
        <f t="shared" si="94"/>
        <v>21.4</v>
      </c>
      <c r="AF118" s="303">
        <f t="shared" si="94"/>
        <v>21.4</v>
      </c>
      <c r="AG118" s="303">
        <f t="shared" si="94"/>
        <v>21.4</v>
      </c>
      <c r="AH118" s="303">
        <f t="shared" si="94"/>
        <v>21.4</v>
      </c>
      <c r="AI118" s="303">
        <f t="shared" si="94"/>
        <v>21.4</v>
      </c>
      <c r="AJ118" s="303">
        <f t="shared" si="94"/>
        <v>21.4</v>
      </c>
      <c r="AK118" s="303">
        <f t="shared" si="94"/>
        <v>21.4</v>
      </c>
      <c r="AL118" s="303">
        <f t="shared" si="94"/>
        <v>21.4</v>
      </c>
      <c r="AM118" s="303">
        <f t="shared" si="94"/>
        <v>21.4</v>
      </c>
      <c r="AN118" s="303">
        <f t="shared" si="94"/>
        <v>21.4</v>
      </c>
      <c r="AO118" s="303">
        <f t="shared" si="94"/>
        <v>21.4</v>
      </c>
      <c r="AP118" s="303">
        <f t="shared" si="94"/>
        <v>21.4</v>
      </c>
      <c r="AQ118" s="303">
        <f t="shared" si="94"/>
        <v>21.4</v>
      </c>
      <c r="AR118" s="303">
        <f t="shared" si="94"/>
        <v>21.4</v>
      </c>
      <c r="AS118" s="303">
        <f t="shared" si="94"/>
        <v>21.4</v>
      </c>
      <c r="AT118" s="303">
        <f t="shared" si="94"/>
        <v>21.4</v>
      </c>
      <c r="AU118" s="303">
        <f t="shared" si="94"/>
        <v>21.4</v>
      </c>
      <c r="AV118" s="303">
        <f t="shared" si="94"/>
        <v>21.4</v>
      </c>
      <c r="AW118" s="303">
        <f t="shared" si="94"/>
        <v>21.4</v>
      </c>
      <c r="AX118" s="303">
        <f t="shared" si="94"/>
        <v>21.4</v>
      </c>
      <c r="AY118" s="303">
        <f t="shared" si="94"/>
        <v>21.4</v>
      </c>
      <c r="AZ118" s="303">
        <f t="shared" si="94"/>
        <v>21.4</v>
      </c>
      <c r="BA118" s="303">
        <f t="shared" si="94"/>
        <v>21.4</v>
      </c>
      <c r="BB118" s="303">
        <f t="shared" si="94"/>
        <v>21.4</v>
      </c>
      <c r="BC118" s="303">
        <f t="shared" si="94"/>
        <v>21.4</v>
      </c>
      <c r="BD118" s="303">
        <f t="shared" si="94"/>
        <v>21.4</v>
      </c>
      <c r="BE118" s="303">
        <f t="shared" si="94"/>
        <v>21.4</v>
      </c>
      <c r="BF118" s="303">
        <f t="shared" si="94"/>
        <v>21.4</v>
      </c>
      <c r="BG118" s="303">
        <f t="shared" si="94"/>
        <v>21.4</v>
      </c>
      <c r="BH118" s="303">
        <f t="shared" si="94"/>
        <v>21.4</v>
      </c>
      <c r="BI118" s="303">
        <f t="shared" si="94"/>
        <v>21.4</v>
      </c>
      <c r="BJ118" s="303">
        <f t="shared" si="94"/>
        <v>21.4</v>
      </c>
      <c r="BK118" s="303">
        <f t="shared" si="94"/>
        <v>21.4</v>
      </c>
      <c r="BL118" s="303">
        <f t="shared" si="94"/>
        <v>21.4</v>
      </c>
      <c r="BM118" s="303">
        <f t="shared" si="94"/>
        <v>21.4</v>
      </c>
      <c r="BN118" s="303">
        <f t="shared" si="94"/>
        <v>21.4</v>
      </c>
      <c r="BO118" s="303">
        <f t="shared" si="94"/>
        <v>21.4</v>
      </c>
      <c r="BP118" s="303">
        <f t="shared" si="94"/>
        <v>21.4</v>
      </c>
      <c r="BQ118" s="303">
        <f t="shared" si="94"/>
        <v>21.4</v>
      </c>
      <c r="BR118" s="303">
        <f t="shared" si="94"/>
        <v>21.4</v>
      </c>
      <c r="BS118" s="303">
        <f t="shared" si="94"/>
        <v>21.4</v>
      </c>
      <c r="BT118" s="303">
        <f t="shared" si="94"/>
        <v>21.4</v>
      </c>
      <c r="BU118" s="303">
        <f t="shared" si="94"/>
        <v>21.4</v>
      </c>
      <c r="BV118" s="303">
        <f t="shared" si="94"/>
        <v>21.4</v>
      </c>
      <c r="BW118" s="303">
        <f t="shared" si="94"/>
        <v>21.4</v>
      </c>
      <c r="BX118" s="303">
        <f t="shared" si="94"/>
        <v>21.4</v>
      </c>
      <c r="BY118" s="303">
        <f t="shared" si="94"/>
        <v>21.4</v>
      </c>
      <c r="BZ118" s="303">
        <f t="shared" si="94"/>
        <v>21.4</v>
      </c>
      <c r="CA118" s="303">
        <f t="shared" si="94"/>
        <v>21.4</v>
      </c>
      <c r="CB118" s="303">
        <f t="shared" si="94"/>
        <v>21.4</v>
      </c>
      <c r="CC118" s="303">
        <f t="shared" si="94"/>
        <v>21.4</v>
      </c>
      <c r="CD118" s="303">
        <f t="shared" si="94"/>
        <v>21.4</v>
      </c>
      <c r="CE118" s="303">
        <f t="shared" si="94"/>
        <v>21.4</v>
      </c>
      <c r="CF118" s="303">
        <f t="shared" si="94"/>
        <v>21.4</v>
      </c>
      <c r="CG118" s="303">
        <f t="shared" si="94"/>
        <v>21.4</v>
      </c>
      <c r="CH118" s="303">
        <f t="shared" si="94"/>
        <v>21.4</v>
      </c>
      <c r="CI118" s="303">
        <f t="shared" si="94"/>
        <v>21.4</v>
      </c>
      <c r="CJ118" s="303">
        <f t="shared" si="94"/>
        <v>21.4</v>
      </c>
      <c r="CK118" s="303">
        <f t="shared" si="94"/>
        <v>21.4</v>
      </c>
      <c r="CL118" s="303">
        <f t="shared" si="94"/>
        <v>21.4</v>
      </c>
      <c r="CM118" s="303">
        <f t="shared" si="94"/>
        <v>21.4</v>
      </c>
      <c r="CN118" s="303">
        <f t="shared" si="94"/>
        <v>21.4</v>
      </c>
      <c r="CO118" s="303">
        <f t="shared" si="94"/>
        <v>21.4</v>
      </c>
      <c r="CP118" s="303">
        <f t="shared" si="94"/>
        <v>21.4</v>
      </c>
      <c r="CQ118" s="303">
        <f t="shared" si="94"/>
        <v>21.4</v>
      </c>
      <c r="CR118" s="303">
        <f t="shared" si="94"/>
        <v>21.4</v>
      </c>
      <c r="CS118" s="303">
        <f t="shared" si="94"/>
        <v>21.4</v>
      </c>
      <c r="CT118" s="303">
        <f t="shared" si="94"/>
        <v>21.4</v>
      </c>
      <c r="CU118" s="303">
        <f t="shared" si="94"/>
        <v>21.4</v>
      </c>
      <c r="CV118" s="303">
        <f t="shared" si="94"/>
        <v>21.4</v>
      </c>
      <c r="CW118" s="303">
        <f t="shared" si="94"/>
        <v>21.4</v>
      </c>
      <c r="CX118" s="303">
        <f t="shared" si="94"/>
        <v>21.4</v>
      </c>
      <c r="CY118" s="303">
        <f t="shared" si="94"/>
        <v>21.4</v>
      </c>
      <c r="CZ118" s="303">
        <f t="shared" si="94"/>
        <v>21.4</v>
      </c>
      <c r="DA118" s="303">
        <f t="shared" si="94"/>
        <v>21.4</v>
      </c>
      <c r="DB118" s="303">
        <f t="shared" si="94"/>
        <v>21.4</v>
      </c>
      <c r="DC118" s="303">
        <f t="shared" si="94"/>
        <v>21.4</v>
      </c>
      <c r="DD118" s="303">
        <f t="shared" si="94"/>
        <v>21.4</v>
      </c>
      <c r="DE118" s="303">
        <f t="shared" si="94"/>
        <v>21.4</v>
      </c>
      <c r="DF118" s="303"/>
      <c r="DG118" s="303"/>
      <c r="DH118" s="303"/>
      <c r="DI118" s="303"/>
      <c r="DJ118" s="303"/>
      <c r="DK118" s="303"/>
      <c r="DL118" s="303"/>
    </row>
    <row r="119" spans="1:116" ht="15.75" customHeight="1" x14ac:dyDescent="0.25">
      <c r="A119" s="751"/>
      <c r="B119" s="751"/>
      <c r="C119" s="4" t="s">
        <v>386</v>
      </c>
      <c r="D119" s="3"/>
      <c r="E119" s="3"/>
      <c r="F119" s="3"/>
      <c r="G119" s="327"/>
      <c r="H119" s="302">
        <f t="shared" ref="H119:DE119" si="95">H118*H115</f>
        <v>5.224076305989183E-2</v>
      </c>
      <c r="I119" s="303">
        <f t="shared" si="95"/>
        <v>5.224076305989183E-2</v>
      </c>
      <c r="J119" s="303">
        <f t="shared" si="95"/>
        <v>5.224076305989183E-2</v>
      </c>
      <c r="K119" s="303">
        <f t="shared" si="95"/>
        <v>5.224076305989183E-2</v>
      </c>
      <c r="L119" s="303">
        <f t="shared" si="95"/>
        <v>5.224076305989183E-2</v>
      </c>
      <c r="M119" s="303">
        <f t="shared" si="95"/>
        <v>5.224076305989183E-2</v>
      </c>
      <c r="N119" s="303">
        <f t="shared" si="95"/>
        <v>5.224076305989183E-2</v>
      </c>
      <c r="O119" s="303">
        <f t="shared" si="95"/>
        <v>5.224076305989183E-2</v>
      </c>
      <c r="P119" s="303">
        <f t="shared" si="95"/>
        <v>5.224076305989183E-2</v>
      </c>
      <c r="Q119" s="303">
        <f t="shared" si="95"/>
        <v>5.224076305989183E-2</v>
      </c>
      <c r="R119" s="303">
        <f t="shared" si="95"/>
        <v>5.224076305989183E-2</v>
      </c>
      <c r="S119" s="303">
        <f t="shared" si="95"/>
        <v>5.224076305989183E-2</v>
      </c>
      <c r="T119" s="303">
        <f t="shared" si="95"/>
        <v>5.224076305989183E-2</v>
      </c>
      <c r="U119" s="303">
        <f t="shared" si="95"/>
        <v>5.224076305989183E-2</v>
      </c>
      <c r="V119" s="303">
        <f t="shared" si="95"/>
        <v>5.224076305989183E-2</v>
      </c>
      <c r="W119" s="303">
        <f t="shared" si="95"/>
        <v>5.224076305989183E-2</v>
      </c>
      <c r="X119" s="303">
        <f t="shared" si="95"/>
        <v>5.224076305989183E-2</v>
      </c>
      <c r="Y119" s="303">
        <f t="shared" si="95"/>
        <v>5.224076305989183E-2</v>
      </c>
      <c r="Z119" s="303">
        <f t="shared" si="95"/>
        <v>5.224076305989183E-2</v>
      </c>
      <c r="AA119" s="303">
        <f t="shared" si="95"/>
        <v>5.224076305989183E-2</v>
      </c>
      <c r="AB119" s="303">
        <f t="shared" si="95"/>
        <v>5.224076305989183E-2</v>
      </c>
      <c r="AC119" s="303">
        <f t="shared" si="95"/>
        <v>5.224076305989183E-2</v>
      </c>
      <c r="AD119" s="303">
        <f t="shared" si="95"/>
        <v>5.224076305989183E-2</v>
      </c>
      <c r="AE119" s="303">
        <f t="shared" si="95"/>
        <v>5.224076305989183E-2</v>
      </c>
      <c r="AF119" s="303">
        <f t="shared" si="95"/>
        <v>5.224076305989183E-2</v>
      </c>
      <c r="AG119" s="303">
        <f t="shared" si="95"/>
        <v>5.224076305989183E-2</v>
      </c>
      <c r="AH119" s="303">
        <f t="shared" si="95"/>
        <v>5.224076305989183E-2</v>
      </c>
      <c r="AI119" s="303">
        <f t="shared" si="95"/>
        <v>5.224076305989183E-2</v>
      </c>
      <c r="AJ119" s="303">
        <f t="shared" si="95"/>
        <v>5.224076305989183E-2</v>
      </c>
      <c r="AK119" s="303">
        <f t="shared" si="95"/>
        <v>5.224076305989183E-2</v>
      </c>
      <c r="AL119" s="303">
        <f t="shared" si="95"/>
        <v>5.224076305989183E-2</v>
      </c>
      <c r="AM119" s="303">
        <f t="shared" si="95"/>
        <v>5.224076305989183E-2</v>
      </c>
      <c r="AN119" s="303">
        <f t="shared" si="95"/>
        <v>5.224076305989183E-2</v>
      </c>
      <c r="AO119" s="303">
        <f t="shared" si="95"/>
        <v>5.224076305989183E-2</v>
      </c>
      <c r="AP119" s="303">
        <f t="shared" si="95"/>
        <v>5.224076305989183E-2</v>
      </c>
      <c r="AQ119" s="303">
        <f t="shared" si="95"/>
        <v>5.224076305989183E-2</v>
      </c>
      <c r="AR119" s="303">
        <f t="shared" si="95"/>
        <v>5.224076305989183E-2</v>
      </c>
      <c r="AS119" s="303">
        <f t="shared" si="95"/>
        <v>5.224076305989183E-2</v>
      </c>
      <c r="AT119" s="303">
        <f t="shared" si="95"/>
        <v>5.224076305989183E-2</v>
      </c>
      <c r="AU119" s="303">
        <f t="shared" si="95"/>
        <v>5.224076305989183E-2</v>
      </c>
      <c r="AV119" s="303">
        <f t="shared" si="95"/>
        <v>5.224076305989183E-2</v>
      </c>
      <c r="AW119" s="303">
        <f t="shared" si="95"/>
        <v>5.224076305989183E-2</v>
      </c>
      <c r="AX119" s="303">
        <f t="shared" si="95"/>
        <v>5.224076305989183E-2</v>
      </c>
      <c r="AY119" s="303">
        <f t="shared" si="95"/>
        <v>5.224076305989183E-2</v>
      </c>
      <c r="AZ119" s="303">
        <f t="shared" si="95"/>
        <v>5.224076305989183E-2</v>
      </c>
      <c r="BA119" s="303">
        <f t="shared" si="95"/>
        <v>5.224076305989183E-2</v>
      </c>
      <c r="BB119" s="303">
        <f t="shared" si="95"/>
        <v>5.224076305989183E-2</v>
      </c>
      <c r="BC119" s="303">
        <f t="shared" si="95"/>
        <v>5.224076305989183E-2</v>
      </c>
      <c r="BD119" s="303">
        <f t="shared" si="95"/>
        <v>5.224076305989183E-2</v>
      </c>
      <c r="BE119" s="303">
        <f t="shared" si="95"/>
        <v>5.224076305989183E-2</v>
      </c>
      <c r="BF119" s="303">
        <f t="shared" si="95"/>
        <v>5.224076305989183E-2</v>
      </c>
      <c r="BG119" s="303">
        <f t="shared" si="95"/>
        <v>5.224076305989183E-2</v>
      </c>
      <c r="BH119" s="303">
        <f t="shared" si="95"/>
        <v>5.224076305989183E-2</v>
      </c>
      <c r="BI119" s="303">
        <f t="shared" si="95"/>
        <v>5.224076305989183E-2</v>
      </c>
      <c r="BJ119" s="303">
        <f t="shared" si="95"/>
        <v>5.224076305989183E-2</v>
      </c>
      <c r="BK119" s="303">
        <f t="shared" si="95"/>
        <v>5.224076305989183E-2</v>
      </c>
      <c r="BL119" s="303">
        <f t="shared" si="95"/>
        <v>5.224076305989183E-2</v>
      </c>
      <c r="BM119" s="303">
        <f t="shared" si="95"/>
        <v>5.224076305989183E-2</v>
      </c>
      <c r="BN119" s="303">
        <f t="shared" si="95"/>
        <v>5.224076305989183E-2</v>
      </c>
      <c r="BO119" s="303">
        <f t="shared" si="95"/>
        <v>5.224076305989183E-2</v>
      </c>
      <c r="BP119" s="303">
        <f t="shared" si="95"/>
        <v>5.224076305989183E-2</v>
      </c>
      <c r="BQ119" s="303">
        <f t="shared" si="95"/>
        <v>5.224076305989183E-2</v>
      </c>
      <c r="BR119" s="303">
        <f t="shared" si="95"/>
        <v>5.224076305989183E-2</v>
      </c>
      <c r="BS119" s="303">
        <f t="shared" si="95"/>
        <v>5.224076305989183E-2</v>
      </c>
      <c r="BT119" s="303">
        <f t="shared" si="95"/>
        <v>5.224076305989183E-2</v>
      </c>
      <c r="BU119" s="303">
        <f t="shared" si="95"/>
        <v>5.224076305989183E-2</v>
      </c>
      <c r="BV119" s="303">
        <f t="shared" si="95"/>
        <v>5.224076305989183E-2</v>
      </c>
      <c r="BW119" s="303">
        <f t="shared" si="95"/>
        <v>5.224076305989183E-2</v>
      </c>
      <c r="BX119" s="303">
        <f t="shared" si="95"/>
        <v>5.224076305989183E-2</v>
      </c>
      <c r="BY119" s="303">
        <f t="shared" si="95"/>
        <v>5.224076305989183E-2</v>
      </c>
      <c r="BZ119" s="303">
        <f t="shared" si="95"/>
        <v>5.224076305989183E-2</v>
      </c>
      <c r="CA119" s="303">
        <f t="shared" si="95"/>
        <v>5.224076305989183E-2</v>
      </c>
      <c r="CB119" s="303">
        <f t="shared" si="95"/>
        <v>5.224076305989183E-2</v>
      </c>
      <c r="CC119" s="303">
        <f t="shared" si="95"/>
        <v>5.224076305989183E-2</v>
      </c>
      <c r="CD119" s="303">
        <f t="shared" si="95"/>
        <v>5.224076305989183E-2</v>
      </c>
      <c r="CE119" s="303">
        <f t="shared" si="95"/>
        <v>5.224076305989183E-2</v>
      </c>
      <c r="CF119" s="303">
        <f t="shared" si="95"/>
        <v>5.224076305989183E-2</v>
      </c>
      <c r="CG119" s="303">
        <f t="shared" si="95"/>
        <v>5.224076305989183E-2</v>
      </c>
      <c r="CH119" s="303">
        <f t="shared" si="95"/>
        <v>5.224076305989183E-2</v>
      </c>
      <c r="CI119" s="303">
        <f t="shared" si="95"/>
        <v>5.224076305989183E-2</v>
      </c>
      <c r="CJ119" s="303">
        <f t="shared" si="95"/>
        <v>5.224076305989183E-2</v>
      </c>
      <c r="CK119" s="303">
        <f t="shared" si="95"/>
        <v>5.224076305989183E-2</v>
      </c>
      <c r="CL119" s="303">
        <f t="shared" si="95"/>
        <v>5.224076305989183E-2</v>
      </c>
      <c r="CM119" s="303">
        <f t="shared" si="95"/>
        <v>5.224076305989183E-2</v>
      </c>
      <c r="CN119" s="303">
        <f t="shared" si="95"/>
        <v>5.224076305989183E-2</v>
      </c>
      <c r="CO119" s="303">
        <f t="shared" si="95"/>
        <v>5.224076305989183E-2</v>
      </c>
      <c r="CP119" s="303">
        <f t="shared" si="95"/>
        <v>5.224076305989183E-2</v>
      </c>
      <c r="CQ119" s="303">
        <f t="shared" si="95"/>
        <v>5.224076305989183E-2</v>
      </c>
      <c r="CR119" s="303">
        <f t="shared" si="95"/>
        <v>5.224076305989183E-2</v>
      </c>
      <c r="CS119" s="303">
        <f t="shared" si="95"/>
        <v>5.224076305989183E-2</v>
      </c>
      <c r="CT119" s="303">
        <f t="shared" si="95"/>
        <v>5.224076305989183E-2</v>
      </c>
      <c r="CU119" s="303">
        <f t="shared" si="95"/>
        <v>5.224076305989183E-2</v>
      </c>
      <c r="CV119" s="303">
        <f t="shared" si="95"/>
        <v>5.224076305989183E-2</v>
      </c>
      <c r="CW119" s="303">
        <f t="shared" si="95"/>
        <v>5.224076305989183E-2</v>
      </c>
      <c r="CX119" s="303">
        <f t="shared" si="95"/>
        <v>5.224076305989183E-2</v>
      </c>
      <c r="CY119" s="303">
        <f t="shared" si="95"/>
        <v>5.224076305989183E-2</v>
      </c>
      <c r="CZ119" s="303">
        <f t="shared" si="95"/>
        <v>5.224076305989183E-2</v>
      </c>
      <c r="DA119" s="303">
        <f t="shared" si="95"/>
        <v>5.224076305989183E-2</v>
      </c>
      <c r="DB119" s="303">
        <f t="shared" si="95"/>
        <v>5.224076305989183E-2</v>
      </c>
      <c r="DC119" s="303">
        <f t="shared" si="95"/>
        <v>5.224076305989183E-2</v>
      </c>
      <c r="DD119" s="303">
        <f t="shared" si="95"/>
        <v>5.224076305989183E-2</v>
      </c>
      <c r="DE119" s="303">
        <f t="shared" si="95"/>
        <v>5.224076305989183E-2</v>
      </c>
      <c r="DF119" s="303"/>
      <c r="DG119" s="303"/>
      <c r="DH119" s="303"/>
      <c r="DI119" s="303"/>
      <c r="DJ119" s="303"/>
      <c r="DK119" s="303"/>
      <c r="DL119" s="303"/>
    </row>
    <row r="120" spans="1:116" ht="15.75" customHeight="1" x14ac:dyDescent="0.25">
      <c r="A120" s="751"/>
      <c r="B120" s="751"/>
      <c r="C120" s="330" t="s">
        <v>179</v>
      </c>
      <c r="D120" s="331"/>
      <c r="E120" s="509"/>
      <c r="F120" s="332"/>
      <c r="G120" s="333"/>
      <c r="H120" s="335">
        <f>((H118+H116)*H115)*'Unit Costs and Indicators'!$A$132</f>
        <v>1.719060243690496</v>
      </c>
      <c r="I120" s="336">
        <f>((I118+I116)*I115)*'Unit Costs and Indicators'!$A$132</f>
        <v>1.719060243690496</v>
      </c>
      <c r="J120" s="336">
        <f>((J118+J116)*J115)*'Unit Costs and Indicators'!$A$132</f>
        <v>1.719060243690496</v>
      </c>
      <c r="K120" s="336">
        <f>((K118+K116)*K115)*'Unit Costs and Indicators'!$A$132</f>
        <v>1.719060243690496</v>
      </c>
      <c r="L120" s="336">
        <f>((L118+L116)*L115)*'Unit Costs and Indicators'!$A$132</f>
        <v>1.719060243690496</v>
      </c>
      <c r="M120" s="336">
        <f>((M118+M116)*M115)*'Unit Costs and Indicators'!$A$132</f>
        <v>1.719060243690496</v>
      </c>
      <c r="N120" s="336">
        <f>((N118+N116)*N115)*'Unit Costs and Indicators'!$A$132</f>
        <v>1.719060243690496</v>
      </c>
      <c r="O120" s="336">
        <f>((O118+O116)*O115)*'Unit Costs and Indicators'!$A$132</f>
        <v>1.719060243690496</v>
      </c>
      <c r="P120" s="336">
        <f>((P118+P116)*P115)*'Unit Costs and Indicators'!$A$132</f>
        <v>1.719060243690496</v>
      </c>
      <c r="Q120" s="336">
        <f>((Q118+Q116)*Q115)*'Unit Costs and Indicators'!$A$132</f>
        <v>1.719060243690496</v>
      </c>
      <c r="R120" s="336">
        <f>((R118+R116)*R115)*'Unit Costs and Indicators'!$A$132</f>
        <v>1.719060243690496</v>
      </c>
      <c r="S120" s="336">
        <f>((S118+S116)*S115)*'Unit Costs and Indicators'!$A$132</f>
        <v>1.719060243690496</v>
      </c>
      <c r="T120" s="336">
        <f>((T118+T116)*T115)*'Unit Costs and Indicators'!$A$132</f>
        <v>1.719060243690496</v>
      </c>
      <c r="U120" s="336">
        <f>((U118+U116)*U115)*'Unit Costs and Indicators'!$A$132</f>
        <v>1.719060243690496</v>
      </c>
      <c r="V120" s="336">
        <f>((V118+V116)*V115)*'Unit Costs and Indicators'!$A$132</f>
        <v>1.719060243690496</v>
      </c>
      <c r="W120" s="336">
        <f>((W118+W116)*W115)*'Unit Costs and Indicators'!$A$132</f>
        <v>1.719060243690496</v>
      </c>
      <c r="X120" s="336">
        <f>((X118+X116)*X115)*'Unit Costs and Indicators'!$A$132</f>
        <v>1.719060243690496</v>
      </c>
      <c r="Y120" s="336">
        <f>((Y118+Y116)*Y115)*'Unit Costs and Indicators'!$A$132</f>
        <v>1.719060243690496</v>
      </c>
      <c r="Z120" s="336">
        <f>((Z118+Z116)*Z115)*'Unit Costs and Indicators'!$A$132</f>
        <v>1.719060243690496</v>
      </c>
      <c r="AA120" s="336">
        <f>((AA118+AA116)*AA115)*'Unit Costs and Indicators'!$A$132</f>
        <v>1.719060243690496</v>
      </c>
      <c r="AB120" s="336">
        <f>((AB118+AB116)*AB115)*'Unit Costs and Indicators'!$A$132</f>
        <v>1.719060243690496</v>
      </c>
      <c r="AC120" s="336">
        <f>((AC118+AC116)*AC115)*'Unit Costs and Indicators'!$A$132</f>
        <v>1.719060243690496</v>
      </c>
      <c r="AD120" s="336">
        <f>((AD118+AD116)*AD115)*'Unit Costs and Indicators'!$A$132</f>
        <v>1.719060243690496</v>
      </c>
      <c r="AE120" s="336">
        <f>((AE118+AE116)*AE115)*'Unit Costs and Indicators'!$A$132</f>
        <v>1.719060243690496</v>
      </c>
      <c r="AF120" s="336">
        <f>((AF118+AF116)*AF115)*'Unit Costs and Indicators'!$A$132</f>
        <v>1.719060243690496</v>
      </c>
      <c r="AG120" s="336">
        <f>((AG118+AG116)*AG115)*'Unit Costs and Indicators'!$A$132</f>
        <v>1.719060243690496</v>
      </c>
      <c r="AH120" s="336">
        <f>((AH118+AH116)*AH115)*'Unit Costs and Indicators'!$A$132</f>
        <v>1.719060243690496</v>
      </c>
      <c r="AI120" s="336">
        <f>((AI118+AI116)*AI115)*'Unit Costs and Indicators'!$A$132</f>
        <v>1.719060243690496</v>
      </c>
      <c r="AJ120" s="336">
        <f>((AJ118+AJ116)*AJ115)*'Unit Costs and Indicators'!$A$132</f>
        <v>1.719060243690496</v>
      </c>
      <c r="AK120" s="336">
        <f>((AK118+AK116)*AK115)*'Unit Costs and Indicators'!$A$132</f>
        <v>1.719060243690496</v>
      </c>
      <c r="AL120" s="336">
        <f>((AL118+AL116)*AL115)*'Unit Costs and Indicators'!$A$132</f>
        <v>1.719060243690496</v>
      </c>
      <c r="AM120" s="336">
        <f>((AM118+AM116)*AM115)*'Unit Costs and Indicators'!$A$132</f>
        <v>1.719060243690496</v>
      </c>
      <c r="AN120" s="336">
        <f>((AN118+AN116)*AN115)*'Unit Costs and Indicators'!$A$132</f>
        <v>1.719060243690496</v>
      </c>
      <c r="AO120" s="336">
        <f>((AO118+AO116)*AO115)*'Unit Costs and Indicators'!$A$132</f>
        <v>1.719060243690496</v>
      </c>
      <c r="AP120" s="336">
        <f>((AP118+AP116)*AP115)*'Unit Costs and Indicators'!$A$132</f>
        <v>1.719060243690496</v>
      </c>
      <c r="AQ120" s="336">
        <f>((AQ118+AQ116)*AQ115)*'Unit Costs and Indicators'!$A$132</f>
        <v>1.719060243690496</v>
      </c>
      <c r="AR120" s="336">
        <f>((AR118+AR116)*AR115)*'Unit Costs and Indicators'!$A$132</f>
        <v>1.719060243690496</v>
      </c>
      <c r="AS120" s="336">
        <f>((AS118+AS116)*AS115)*'Unit Costs and Indicators'!$A$132</f>
        <v>1.719060243690496</v>
      </c>
      <c r="AT120" s="336">
        <f>((AT118+AT116)*AT115)*'Unit Costs and Indicators'!$A$132</f>
        <v>1.719060243690496</v>
      </c>
      <c r="AU120" s="336">
        <f>((AU118+AU116)*AU115)*'Unit Costs and Indicators'!$A$132</f>
        <v>1.719060243690496</v>
      </c>
      <c r="AV120" s="336">
        <f>((AV118+AV116)*AV115)*'Unit Costs and Indicators'!$A$132</f>
        <v>1.719060243690496</v>
      </c>
      <c r="AW120" s="336">
        <f>((AW118+AW116)*AW115)*'Unit Costs and Indicators'!$A$132</f>
        <v>1.719060243690496</v>
      </c>
      <c r="AX120" s="336">
        <f>((AX118+AX116)*AX115)*'Unit Costs and Indicators'!$A$132</f>
        <v>1.719060243690496</v>
      </c>
      <c r="AY120" s="336">
        <f>((AY118+AY116)*AY115)*'Unit Costs and Indicators'!$A$132</f>
        <v>1.719060243690496</v>
      </c>
      <c r="AZ120" s="336">
        <f>((AZ118+AZ116)*AZ115)*'Unit Costs and Indicators'!$A$132</f>
        <v>1.719060243690496</v>
      </c>
      <c r="BA120" s="336">
        <f>((BA118+BA116)*BA115)*'Unit Costs and Indicators'!$A$132</f>
        <v>1.719060243690496</v>
      </c>
      <c r="BB120" s="336">
        <f>((BB118+BB116)*BB115)*'Unit Costs and Indicators'!$A$132</f>
        <v>1.719060243690496</v>
      </c>
      <c r="BC120" s="336">
        <f>((BC118+BC116)*BC115)*'Unit Costs and Indicators'!$A$132</f>
        <v>1.719060243690496</v>
      </c>
      <c r="BD120" s="336">
        <f>((BD118+BD116)*BD115)*'Unit Costs and Indicators'!$A$132</f>
        <v>1.719060243690496</v>
      </c>
      <c r="BE120" s="336">
        <f>((BE118+BE116)*BE115)*'Unit Costs and Indicators'!$A$132</f>
        <v>1.719060243690496</v>
      </c>
      <c r="BF120" s="336">
        <f>((BF118+BF116)*BF115)*'Unit Costs and Indicators'!$A$132</f>
        <v>1.719060243690496</v>
      </c>
      <c r="BG120" s="336">
        <f>((BG118+BG116)*BG115)*'Unit Costs and Indicators'!$A$132</f>
        <v>1.719060243690496</v>
      </c>
      <c r="BH120" s="336">
        <f>((BH118+BH116)*BH115)*'Unit Costs and Indicators'!$A$132</f>
        <v>1.719060243690496</v>
      </c>
      <c r="BI120" s="336">
        <f>((BI118+BI116)*BI115)*'Unit Costs and Indicators'!$A$132</f>
        <v>1.719060243690496</v>
      </c>
      <c r="BJ120" s="336">
        <f>((BJ118+BJ116)*BJ115)*'Unit Costs and Indicators'!$A$132</f>
        <v>1.719060243690496</v>
      </c>
      <c r="BK120" s="336">
        <f>((BK118+BK116)*BK115)*'Unit Costs and Indicators'!$A$132</f>
        <v>1.719060243690496</v>
      </c>
      <c r="BL120" s="336">
        <f>((BL118+BL116)*BL115)*'Unit Costs and Indicators'!$A$132</f>
        <v>1.719060243690496</v>
      </c>
      <c r="BM120" s="336">
        <f>((BM118+BM116)*BM115)*'Unit Costs and Indicators'!$A$132</f>
        <v>1.719060243690496</v>
      </c>
      <c r="BN120" s="336">
        <f>((BN118+BN116)*BN115)*'Unit Costs and Indicators'!$A$132</f>
        <v>1.719060243690496</v>
      </c>
      <c r="BO120" s="336">
        <f>((BO118+BO116)*BO115)*'Unit Costs and Indicators'!$A$132</f>
        <v>1.719060243690496</v>
      </c>
      <c r="BP120" s="336">
        <f>((BP118+BP116)*BP115)*'Unit Costs and Indicators'!$A$132</f>
        <v>1.719060243690496</v>
      </c>
      <c r="BQ120" s="336">
        <f>((BQ118+BQ116)*BQ115)*'Unit Costs and Indicators'!$A$132</f>
        <v>1.719060243690496</v>
      </c>
      <c r="BR120" s="336">
        <f>((BR118+BR116)*BR115)*'Unit Costs and Indicators'!$A$132</f>
        <v>1.719060243690496</v>
      </c>
      <c r="BS120" s="336">
        <f>((BS118+BS116)*BS115)*'Unit Costs and Indicators'!$A$132</f>
        <v>1.719060243690496</v>
      </c>
      <c r="BT120" s="336">
        <f>((BT118+BT116)*BT115)*'Unit Costs and Indicators'!$A$132</f>
        <v>1.719060243690496</v>
      </c>
      <c r="BU120" s="336">
        <f>((BU118+BU116)*BU115)*'Unit Costs and Indicators'!$A$132</f>
        <v>1.719060243690496</v>
      </c>
      <c r="BV120" s="336">
        <f>((BV118+BV116)*BV115)*'Unit Costs and Indicators'!$A$132</f>
        <v>1.719060243690496</v>
      </c>
      <c r="BW120" s="336">
        <f>((BW118+BW116)*BW115)*'Unit Costs and Indicators'!$A$132</f>
        <v>1.719060243690496</v>
      </c>
      <c r="BX120" s="336">
        <f>((BX118+BX116)*BX115)*'Unit Costs and Indicators'!$A$132</f>
        <v>1.719060243690496</v>
      </c>
      <c r="BY120" s="336">
        <f>((BY118+BY116)*BY115)*'Unit Costs and Indicators'!$A$132</f>
        <v>1.719060243690496</v>
      </c>
      <c r="BZ120" s="336">
        <f>((BZ118+BZ116)*BZ115)*'Unit Costs and Indicators'!$A$132</f>
        <v>1.719060243690496</v>
      </c>
      <c r="CA120" s="336">
        <f>((CA118+CA116)*CA115)*'Unit Costs and Indicators'!$A$132</f>
        <v>1.719060243690496</v>
      </c>
      <c r="CB120" s="336">
        <f>((CB118+CB116)*CB115)*'Unit Costs and Indicators'!$A$132</f>
        <v>1.719060243690496</v>
      </c>
      <c r="CC120" s="336">
        <f>((CC118+CC116)*CC115)*'Unit Costs and Indicators'!$A$132</f>
        <v>1.719060243690496</v>
      </c>
      <c r="CD120" s="336">
        <f>((CD118+CD116)*CD115)*'Unit Costs and Indicators'!$A$132</f>
        <v>1.719060243690496</v>
      </c>
      <c r="CE120" s="336">
        <f>((CE118+CE116)*CE115)*'Unit Costs and Indicators'!$A$132</f>
        <v>1.719060243690496</v>
      </c>
      <c r="CF120" s="336">
        <f>((CF118+CF116)*CF115)*'Unit Costs and Indicators'!$A$132</f>
        <v>1.719060243690496</v>
      </c>
      <c r="CG120" s="336">
        <f>((CG118+CG116)*CG115)*'Unit Costs and Indicators'!$A$132</f>
        <v>1.719060243690496</v>
      </c>
      <c r="CH120" s="336">
        <f>((CH118+CH116)*CH115)*'Unit Costs and Indicators'!$A$132</f>
        <v>1.719060243690496</v>
      </c>
      <c r="CI120" s="336">
        <f>((CI118+CI116)*CI115)*'Unit Costs and Indicators'!$A$132</f>
        <v>1.719060243690496</v>
      </c>
      <c r="CJ120" s="336">
        <f>((CJ118+CJ116)*CJ115)*'Unit Costs and Indicators'!$A$132</f>
        <v>1.719060243690496</v>
      </c>
      <c r="CK120" s="336">
        <f>((CK118+CK116)*CK115)*'Unit Costs and Indicators'!$A$132</f>
        <v>1.719060243690496</v>
      </c>
      <c r="CL120" s="336">
        <f>((CL118+CL116)*CL115)*'Unit Costs and Indicators'!$A$132</f>
        <v>1.719060243690496</v>
      </c>
      <c r="CM120" s="336">
        <f>((CM118+CM116)*CM115)*'Unit Costs and Indicators'!$A$132</f>
        <v>1.719060243690496</v>
      </c>
      <c r="CN120" s="336">
        <f>((CN118+CN116)*CN115)*'Unit Costs and Indicators'!$A$132</f>
        <v>1.719060243690496</v>
      </c>
      <c r="CO120" s="336">
        <f>((CO118+CO116)*CO115)*'Unit Costs and Indicators'!$A$132</f>
        <v>1.719060243690496</v>
      </c>
      <c r="CP120" s="336">
        <f>((CP118+CP116)*CP115)*'Unit Costs and Indicators'!$A$132</f>
        <v>1.719060243690496</v>
      </c>
      <c r="CQ120" s="336">
        <f>((CQ118+CQ116)*CQ115)*'Unit Costs and Indicators'!$A$132</f>
        <v>1.719060243690496</v>
      </c>
      <c r="CR120" s="336">
        <f>((CR118+CR116)*CR115)*'Unit Costs and Indicators'!$A$132</f>
        <v>1.719060243690496</v>
      </c>
      <c r="CS120" s="336">
        <f>((CS118+CS116)*CS115)*'Unit Costs and Indicators'!$A$132</f>
        <v>1.719060243690496</v>
      </c>
      <c r="CT120" s="336">
        <f>((CT118+CT116)*CT115)*'Unit Costs and Indicators'!$A$132</f>
        <v>1.719060243690496</v>
      </c>
      <c r="CU120" s="336">
        <f>((CU118+CU116)*CU115)*'Unit Costs and Indicators'!$A$132</f>
        <v>1.719060243690496</v>
      </c>
      <c r="CV120" s="336">
        <f>((CV118+CV116)*CV115)*'Unit Costs and Indicators'!$A$132</f>
        <v>1.719060243690496</v>
      </c>
      <c r="CW120" s="336">
        <f>((CW118+CW116)*CW115)*'Unit Costs and Indicators'!$A$132</f>
        <v>1.719060243690496</v>
      </c>
      <c r="CX120" s="336">
        <f>((CX118+CX116)*CX115)*'Unit Costs and Indicators'!$A$132</f>
        <v>1.719060243690496</v>
      </c>
      <c r="CY120" s="336">
        <f>((CY118+CY116)*CY115)*'Unit Costs and Indicators'!$A$132</f>
        <v>1.719060243690496</v>
      </c>
      <c r="CZ120" s="336">
        <f>((CZ118+CZ116)*CZ115)*'Unit Costs and Indicators'!$A$132</f>
        <v>1.719060243690496</v>
      </c>
      <c r="DA120" s="336">
        <f>((DA118+DA116)*DA115)*'Unit Costs and Indicators'!$A$132</f>
        <v>1.719060243690496</v>
      </c>
      <c r="DB120" s="336">
        <f>((DB118+DB116)*DB115)*'Unit Costs and Indicators'!$A$132</f>
        <v>1.719060243690496</v>
      </c>
      <c r="DC120" s="336">
        <f>((DC118+DC116)*DC115)*'Unit Costs and Indicators'!$A$132</f>
        <v>1.719060243690496</v>
      </c>
      <c r="DD120" s="336">
        <f>((DD118+DD116)*DD115)*'Unit Costs and Indicators'!$A$132</f>
        <v>1.719060243690496</v>
      </c>
      <c r="DE120" s="336">
        <f>((DE118+DE116)*DE115)*'Unit Costs and Indicators'!$A$132</f>
        <v>1.719060243690496</v>
      </c>
      <c r="DF120" s="333"/>
      <c r="DG120" s="333"/>
      <c r="DH120" s="333"/>
      <c r="DI120" s="333"/>
      <c r="DJ120" s="333"/>
      <c r="DK120" s="333"/>
      <c r="DL120" s="333"/>
    </row>
    <row r="121" spans="1:116" ht="15.75" customHeight="1" x14ac:dyDescent="0.25">
      <c r="A121" s="751"/>
      <c r="B121" s="751"/>
      <c r="C121" s="338" t="s">
        <v>258</v>
      </c>
      <c r="D121" s="339" t="s">
        <v>259</v>
      </c>
      <c r="E121" s="338">
        <f>(2.08/1000)</f>
        <v>2.0800000000000003E-3</v>
      </c>
      <c r="F121" s="338"/>
      <c r="G121" s="510" t="s">
        <v>260</v>
      </c>
      <c r="H121" s="343">
        <f>E121*(1+0.11)</f>
        <v>2.3088000000000006E-3</v>
      </c>
      <c r="I121" s="369">
        <f t="shared" ref="I121" si="96">H121*(1+0.11)</f>
        <v>2.5627680000000009E-3</v>
      </c>
      <c r="J121" s="369">
        <f t="shared" ref="J121" si="97">I121*(1+0.11)</f>
        <v>2.844672480000001E-3</v>
      </c>
      <c r="K121" s="369">
        <f t="shared" ref="K121" si="98">J121*(1+0.11)</f>
        <v>3.1575864528000015E-3</v>
      </c>
      <c r="L121" s="369">
        <f t="shared" ref="L121" si="99">K121*(1+0.11)</f>
        <v>3.5049209626080019E-3</v>
      </c>
      <c r="M121" s="369">
        <f t="shared" ref="M121" si="100">L121*(1+0.11)</f>
        <v>3.8904622684948825E-3</v>
      </c>
      <c r="N121" s="369">
        <f t="shared" ref="N121" si="101">M121*(1+0.11)</f>
        <v>4.3184131180293199E-3</v>
      </c>
      <c r="O121" s="369">
        <f t="shared" ref="O121" si="102">N121*(1+0.11)</f>
        <v>4.7934385610125451E-3</v>
      </c>
      <c r="P121" s="369">
        <f t="shared" ref="P121" si="103">O121*(1+0.11)</f>
        <v>5.3207168027239252E-3</v>
      </c>
      <c r="Q121" s="369">
        <f t="shared" ref="Q121" si="104">P121*(1+0.11)</f>
        <v>5.9059956510235578E-3</v>
      </c>
      <c r="R121" s="369">
        <f t="shared" ref="R121" si="105">Q121*(1+0.11)</f>
        <v>6.5556551726361498E-3</v>
      </c>
      <c r="S121" s="369">
        <f t="shared" ref="S121" si="106">R121*(1+0.11)</f>
        <v>7.276777241626127E-3</v>
      </c>
      <c r="T121" s="369">
        <f t="shared" ref="T121" si="107">S121*(1+0.11)</f>
        <v>8.0772227382050008E-3</v>
      </c>
      <c r="U121" s="369">
        <f t="shared" ref="U121" si="108">T121*(1+0.11)</f>
        <v>8.9657172394075509E-3</v>
      </c>
      <c r="V121" s="369">
        <f t="shared" ref="V121" si="109">U121*(1+0.11)</f>
        <v>9.9519461357423823E-3</v>
      </c>
      <c r="W121" s="369">
        <f t="shared" ref="W121" si="110">V121*(1+0.11)</f>
        <v>1.1046660210674046E-2</v>
      </c>
      <c r="X121" s="369">
        <f t="shared" ref="X121" si="111">W121*(1+0.11)</f>
        <v>1.2261792833848192E-2</v>
      </c>
      <c r="Y121" s="369">
        <f t="shared" ref="Y121" si="112">X121*(1+0.11)</f>
        <v>1.3610590045571495E-2</v>
      </c>
      <c r="Z121" s="369">
        <f t="shared" ref="Z121" si="113">Y121*(1+0.11)</f>
        <v>1.5107754950584361E-2</v>
      </c>
      <c r="AA121" s="369">
        <f t="shared" ref="AA121" si="114">Z121*(1+0.11)</f>
        <v>1.6769607995148643E-2</v>
      </c>
      <c r="AB121" s="369">
        <f t="shared" ref="AB121" si="115">AA121*(1+0.11)</f>
        <v>1.8614264874614997E-2</v>
      </c>
      <c r="AC121" s="369">
        <f t="shared" ref="AC121" si="116">AB121*(1+0.11)</f>
        <v>2.0661834010822649E-2</v>
      </c>
      <c r="AD121" s="369">
        <f t="shared" ref="AD121" si="117">AC121*(1+0.11)</f>
        <v>2.2934635752013141E-2</v>
      </c>
      <c r="AE121" s="369">
        <f t="shared" ref="AE121" si="118">AD121*(1+0.11)</f>
        <v>2.5457445684734587E-2</v>
      </c>
      <c r="AF121" s="369">
        <f t="shared" ref="AF121" si="119">AE121*(1+0.11)</f>
        <v>2.8257764710055394E-2</v>
      </c>
      <c r="AG121" s="369">
        <f t="shared" ref="AG121" si="120">AF121*(1+0.11)</f>
        <v>3.1366118828161489E-2</v>
      </c>
      <c r="AH121" s="369">
        <f t="shared" ref="AH121" si="121">AG121*(1+0.11)</f>
        <v>3.4816391899259259E-2</v>
      </c>
      <c r="AI121" s="369">
        <f t="shared" ref="AI121" si="122">AH121</f>
        <v>3.4816391899259259E-2</v>
      </c>
      <c r="AJ121" s="369">
        <f t="shared" ref="AJ121" si="123">AI121</f>
        <v>3.4816391899259259E-2</v>
      </c>
      <c r="AK121" s="369">
        <f t="shared" ref="AK121" si="124">AJ121</f>
        <v>3.4816391899259259E-2</v>
      </c>
      <c r="AL121" s="369">
        <f t="shared" ref="AL121" si="125">AK121</f>
        <v>3.4816391899259259E-2</v>
      </c>
      <c r="AM121" s="369">
        <f t="shared" ref="AM121" si="126">AL121</f>
        <v>3.4816391899259259E-2</v>
      </c>
      <c r="AN121" s="369">
        <f t="shared" ref="AN121" si="127">AM121</f>
        <v>3.4816391899259259E-2</v>
      </c>
      <c r="AO121" s="369">
        <f t="shared" ref="AO121" si="128">AN121</f>
        <v>3.4816391899259259E-2</v>
      </c>
      <c r="AP121" s="369">
        <f t="shared" ref="AP121" si="129">AO121</f>
        <v>3.4816391899259259E-2</v>
      </c>
      <c r="AQ121" s="369">
        <f t="shared" ref="AQ121" si="130">AP121</f>
        <v>3.4816391899259259E-2</v>
      </c>
      <c r="AR121" s="369">
        <f t="shared" ref="AR121" si="131">AQ121</f>
        <v>3.4816391899259259E-2</v>
      </c>
      <c r="AS121" s="369">
        <f t="shared" ref="AS121" si="132">AR121</f>
        <v>3.4816391899259259E-2</v>
      </c>
      <c r="AT121" s="369">
        <f t="shared" ref="AT121" si="133">AS121</f>
        <v>3.4816391899259259E-2</v>
      </c>
      <c r="AU121" s="369">
        <f t="shared" ref="AU121" si="134">AT121</f>
        <v>3.4816391899259259E-2</v>
      </c>
      <c r="AV121" s="369">
        <f t="shared" ref="AV121" si="135">AU121</f>
        <v>3.4816391899259259E-2</v>
      </c>
      <c r="AW121" s="369">
        <f t="shared" ref="AW121" si="136">AV121</f>
        <v>3.4816391899259259E-2</v>
      </c>
      <c r="AX121" s="369">
        <f t="shared" ref="AX121" si="137">AW121</f>
        <v>3.4816391899259259E-2</v>
      </c>
      <c r="AY121" s="369">
        <f t="shared" ref="AY121" si="138">AX121</f>
        <v>3.4816391899259259E-2</v>
      </c>
      <c r="AZ121" s="369">
        <f t="shared" ref="AZ121" si="139">AY121</f>
        <v>3.4816391899259259E-2</v>
      </c>
      <c r="BA121" s="369">
        <f t="shared" ref="BA121" si="140">AZ121</f>
        <v>3.4816391899259259E-2</v>
      </c>
      <c r="BB121" s="369">
        <f t="shared" ref="BB121" si="141">BA121</f>
        <v>3.4816391899259259E-2</v>
      </c>
      <c r="BC121" s="369">
        <f t="shared" ref="BC121" si="142">BB121</f>
        <v>3.4816391899259259E-2</v>
      </c>
      <c r="BD121" s="369">
        <f t="shared" ref="BD121" si="143">BC121</f>
        <v>3.4816391899259259E-2</v>
      </c>
      <c r="BE121" s="369">
        <f t="shared" ref="BE121" si="144">BD121</f>
        <v>3.4816391899259259E-2</v>
      </c>
      <c r="BF121" s="369">
        <f t="shared" ref="BF121" si="145">BE121</f>
        <v>3.4816391899259259E-2</v>
      </c>
      <c r="BG121" s="369">
        <f t="shared" ref="BG121" si="146">BF121</f>
        <v>3.4816391899259259E-2</v>
      </c>
      <c r="BH121" s="369">
        <f t="shared" ref="BH121" si="147">BG121</f>
        <v>3.4816391899259259E-2</v>
      </c>
      <c r="BI121" s="369">
        <f t="shared" ref="BI121" si="148">BH121</f>
        <v>3.4816391899259259E-2</v>
      </c>
      <c r="BJ121" s="369">
        <f t="shared" ref="BJ121" si="149">BI121</f>
        <v>3.4816391899259259E-2</v>
      </c>
      <c r="BK121" s="369">
        <f t="shared" ref="BK121" si="150">BJ121</f>
        <v>3.4816391899259259E-2</v>
      </c>
      <c r="BL121" s="369">
        <f t="shared" ref="BL121" si="151">BK121</f>
        <v>3.4816391899259259E-2</v>
      </c>
      <c r="BM121" s="369">
        <f t="shared" ref="BM121" si="152">BL121</f>
        <v>3.4816391899259259E-2</v>
      </c>
      <c r="BN121" s="369">
        <f t="shared" ref="BN121" si="153">BM121</f>
        <v>3.4816391899259259E-2</v>
      </c>
      <c r="BO121" s="369">
        <f t="shared" ref="BO121" si="154">BN121</f>
        <v>3.4816391899259259E-2</v>
      </c>
      <c r="BP121" s="369">
        <f t="shared" ref="BP121" si="155">BO121</f>
        <v>3.4816391899259259E-2</v>
      </c>
      <c r="BQ121" s="369">
        <f t="shared" ref="BQ121" si="156">BP121</f>
        <v>3.4816391899259259E-2</v>
      </c>
      <c r="BR121" s="369">
        <f t="shared" ref="BR121" si="157">BQ121</f>
        <v>3.4816391899259259E-2</v>
      </c>
      <c r="BS121" s="369">
        <f t="shared" ref="BS121" si="158">BR121</f>
        <v>3.4816391899259259E-2</v>
      </c>
      <c r="BT121" s="369">
        <f t="shared" ref="BT121" si="159">BS121</f>
        <v>3.4816391899259259E-2</v>
      </c>
      <c r="BU121" s="369">
        <f t="shared" ref="BU121" si="160">BT121</f>
        <v>3.4816391899259259E-2</v>
      </c>
      <c r="BV121" s="369">
        <f t="shared" ref="BV121" si="161">BU121</f>
        <v>3.4816391899259259E-2</v>
      </c>
      <c r="BW121" s="369">
        <f t="shared" ref="BW121" si="162">BV121</f>
        <v>3.4816391899259259E-2</v>
      </c>
      <c r="BX121" s="369">
        <f t="shared" ref="BX121" si="163">BW121</f>
        <v>3.4816391899259259E-2</v>
      </c>
      <c r="BY121" s="369">
        <f t="shared" ref="BY121" si="164">BX121</f>
        <v>3.4816391899259259E-2</v>
      </c>
      <c r="BZ121" s="369">
        <f t="shared" ref="BZ121" si="165">BY121</f>
        <v>3.4816391899259259E-2</v>
      </c>
      <c r="CA121" s="369">
        <f t="shared" ref="CA121" si="166">BZ121</f>
        <v>3.4816391899259259E-2</v>
      </c>
      <c r="CB121" s="369">
        <f t="shared" ref="CB121" si="167">CA121</f>
        <v>3.4816391899259259E-2</v>
      </c>
      <c r="CC121" s="369">
        <f t="shared" ref="CC121" si="168">CB121</f>
        <v>3.4816391899259259E-2</v>
      </c>
      <c r="CD121" s="369">
        <f t="shared" ref="CD121" si="169">CC121</f>
        <v>3.4816391899259259E-2</v>
      </c>
      <c r="CE121" s="369">
        <f t="shared" ref="CE121" si="170">CD121</f>
        <v>3.4816391899259259E-2</v>
      </c>
      <c r="CF121" s="369">
        <f t="shared" ref="CF121" si="171">CE121</f>
        <v>3.4816391899259259E-2</v>
      </c>
      <c r="CG121" s="369">
        <f t="shared" ref="CG121" si="172">CF121</f>
        <v>3.4816391899259259E-2</v>
      </c>
      <c r="CH121" s="369">
        <f t="shared" ref="CH121" si="173">CG121</f>
        <v>3.4816391899259259E-2</v>
      </c>
      <c r="CI121" s="369">
        <f t="shared" ref="CI121" si="174">CH121</f>
        <v>3.4816391899259259E-2</v>
      </c>
      <c r="CJ121" s="369">
        <f t="shared" ref="CJ121" si="175">CI121</f>
        <v>3.4816391899259259E-2</v>
      </c>
      <c r="CK121" s="369">
        <f t="shared" ref="CK121" si="176">CJ121</f>
        <v>3.4816391899259259E-2</v>
      </c>
      <c r="CL121" s="369">
        <f t="shared" ref="CL121" si="177">CK121</f>
        <v>3.4816391899259259E-2</v>
      </c>
      <c r="CM121" s="369">
        <f t="shared" ref="CM121" si="178">CL121</f>
        <v>3.4816391899259259E-2</v>
      </c>
      <c r="CN121" s="369">
        <f t="shared" ref="CN121" si="179">CM121</f>
        <v>3.4816391899259259E-2</v>
      </c>
      <c r="CO121" s="369">
        <f t="shared" ref="CO121" si="180">CN121</f>
        <v>3.4816391899259259E-2</v>
      </c>
      <c r="CP121" s="369">
        <f t="shared" ref="CP121" si="181">CO121</f>
        <v>3.4816391899259259E-2</v>
      </c>
      <c r="CQ121" s="369">
        <f t="shared" ref="CQ121" si="182">CP121</f>
        <v>3.4816391899259259E-2</v>
      </c>
      <c r="CR121" s="369">
        <f t="shared" ref="CR121" si="183">CQ121</f>
        <v>3.4816391899259259E-2</v>
      </c>
      <c r="CS121" s="369">
        <f t="shared" ref="CS121" si="184">CR121</f>
        <v>3.4816391899259259E-2</v>
      </c>
      <c r="CT121" s="369">
        <f t="shared" ref="CT121" si="185">CS121</f>
        <v>3.4816391899259259E-2</v>
      </c>
      <c r="CU121" s="369">
        <f t="shared" ref="CU121" si="186">CT121</f>
        <v>3.4816391899259259E-2</v>
      </c>
      <c r="CV121" s="369">
        <f t="shared" ref="CV121" si="187">CU121</f>
        <v>3.4816391899259259E-2</v>
      </c>
      <c r="CW121" s="369">
        <f t="shared" ref="CW121" si="188">CV121</f>
        <v>3.4816391899259259E-2</v>
      </c>
      <c r="CX121" s="369">
        <f t="shared" ref="CX121" si="189">CW121</f>
        <v>3.4816391899259259E-2</v>
      </c>
      <c r="CY121" s="369">
        <f t="shared" ref="CY121" si="190">CX121</f>
        <v>3.4816391899259259E-2</v>
      </c>
      <c r="CZ121" s="369">
        <f t="shared" ref="CZ121" si="191">CY121</f>
        <v>3.4816391899259259E-2</v>
      </c>
      <c r="DA121" s="369">
        <f t="shared" ref="DA121" si="192">CZ121</f>
        <v>3.4816391899259259E-2</v>
      </c>
      <c r="DB121" s="369">
        <f t="shared" ref="DB121" si="193">DA121</f>
        <v>3.4816391899259259E-2</v>
      </c>
      <c r="DC121" s="369">
        <f t="shared" ref="DC121" si="194">DB121</f>
        <v>3.4816391899259259E-2</v>
      </c>
      <c r="DD121" s="369">
        <f t="shared" ref="DD121" si="195">DC121</f>
        <v>3.4816391899259259E-2</v>
      </c>
      <c r="DE121" s="369">
        <f t="shared" ref="DE121" si="196">DD121</f>
        <v>3.4816391899259259E-2</v>
      </c>
      <c r="DF121" s="344"/>
      <c r="DG121" s="344"/>
      <c r="DH121" s="344"/>
      <c r="DI121" s="344"/>
      <c r="DJ121" s="344"/>
      <c r="DK121" s="344"/>
      <c r="DL121" s="344"/>
    </row>
    <row r="122" spans="1:116" ht="15.75" customHeight="1" x14ac:dyDescent="0.25">
      <c r="A122" s="751"/>
      <c r="B122" s="751"/>
      <c r="C122" s="321" t="s">
        <v>261</v>
      </c>
      <c r="D122" s="279" t="s">
        <v>262</v>
      </c>
      <c r="E122" s="280"/>
      <c r="F122" s="280"/>
      <c r="G122" s="279"/>
      <c r="H122" s="511">
        <f t="shared" ref="H122:DE122" si="197">H121*H98</f>
        <v>69.630476190476216</v>
      </c>
      <c r="I122" s="298">
        <f t="shared" si="197"/>
        <v>77.2898285714286</v>
      </c>
      <c r="J122" s="298">
        <f t="shared" si="197"/>
        <v>85.791709714285744</v>
      </c>
      <c r="K122" s="298">
        <f t="shared" si="197"/>
        <v>95.228797782857185</v>
      </c>
      <c r="L122" s="298">
        <f t="shared" si="197"/>
        <v>105.70396553897149</v>
      </c>
      <c r="M122" s="298">
        <f t="shared" si="197"/>
        <v>117.33140174825836</v>
      </c>
      <c r="N122" s="298">
        <f t="shared" si="197"/>
        <v>130.23785594056679</v>
      </c>
      <c r="O122" s="298">
        <f t="shared" si="197"/>
        <v>144.56402009402913</v>
      </c>
      <c r="P122" s="298">
        <f t="shared" si="197"/>
        <v>160.46606230437234</v>
      </c>
      <c r="Q122" s="298">
        <f t="shared" si="197"/>
        <v>178.11732915785333</v>
      </c>
      <c r="R122" s="298">
        <f t="shared" si="197"/>
        <v>197.71023536521722</v>
      </c>
      <c r="S122" s="298">
        <f t="shared" si="197"/>
        <v>219.45836125539114</v>
      </c>
      <c r="T122" s="298">
        <f t="shared" si="197"/>
        <v>243.59878099348416</v>
      </c>
      <c r="U122" s="298">
        <f t="shared" si="197"/>
        <v>270.39464690276742</v>
      </c>
      <c r="V122" s="298">
        <f t="shared" si="197"/>
        <v>300.13805806207188</v>
      </c>
      <c r="W122" s="298">
        <f t="shared" si="197"/>
        <v>333.15324444889978</v>
      </c>
      <c r="X122" s="298">
        <f t="shared" si="197"/>
        <v>369.80010133827881</v>
      </c>
      <c r="Y122" s="298">
        <f t="shared" si="197"/>
        <v>410.47811248548953</v>
      </c>
      <c r="Z122" s="298">
        <f t="shared" si="197"/>
        <v>455.63070485889341</v>
      </c>
      <c r="AA122" s="298">
        <f t="shared" si="197"/>
        <v>505.75008239337177</v>
      </c>
      <c r="AB122" s="298">
        <f t="shared" si="197"/>
        <v>561.38259145664279</v>
      </c>
      <c r="AC122" s="298">
        <f t="shared" si="197"/>
        <v>623.13467651687358</v>
      </c>
      <c r="AD122" s="298">
        <f t="shared" si="197"/>
        <v>691.67949093372965</v>
      </c>
      <c r="AE122" s="298">
        <f t="shared" si="197"/>
        <v>767.76423493643995</v>
      </c>
      <c r="AF122" s="298">
        <f t="shared" si="197"/>
        <v>852.21830077944844</v>
      </c>
      <c r="AG122" s="298">
        <f t="shared" si="197"/>
        <v>945.96231386518775</v>
      </c>
      <c r="AH122" s="298">
        <f t="shared" si="197"/>
        <v>1050.0181683903586</v>
      </c>
      <c r="AI122" s="298">
        <f t="shared" si="197"/>
        <v>1050.0181683903586</v>
      </c>
      <c r="AJ122" s="298">
        <f t="shared" si="197"/>
        <v>1050.0181683903586</v>
      </c>
      <c r="AK122" s="298">
        <f t="shared" si="197"/>
        <v>1050.0181683903586</v>
      </c>
      <c r="AL122" s="298">
        <f t="shared" si="197"/>
        <v>1050.0181683903586</v>
      </c>
      <c r="AM122" s="298">
        <f t="shared" si="197"/>
        <v>1050.0181683903586</v>
      </c>
      <c r="AN122" s="298">
        <f t="shared" si="197"/>
        <v>1050.0181683903586</v>
      </c>
      <c r="AO122" s="298">
        <f t="shared" si="197"/>
        <v>1050.0181683903586</v>
      </c>
      <c r="AP122" s="298">
        <f t="shared" si="197"/>
        <v>1050.0181683903586</v>
      </c>
      <c r="AQ122" s="298">
        <f t="shared" si="197"/>
        <v>1050.0181683903586</v>
      </c>
      <c r="AR122" s="298">
        <f t="shared" si="197"/>
        <v>1050.0181683903586</v>
      </c>
      <c r="AS122" s="298">
        <f t="shared" si="197"/>
        <v>1050.0181683903586</v>
      </c>
      <c r="AT122" s="298">
        <f t="shared" si="197"/>
        <v>1050.0181683903586</v>
      </c>
      <c r="AU122" s="298">
        <f t="shared" si="197"/>
        <v>1050.0181683903586</v>
      </c>
      <c r="AV122" s="298">
        <f t="shared" si="197"/>
        <v>1050.0181683903586</v>
      </c>
      <c r="AW122" s="298">
        <f t="shared" si="197"/>
        <v>1050.0181683903586</v>
      </c>
      <c r="AX122" s="298">
        <f t="shared" si="197"/>
        <v>1050.0181683903586</v>
      </c>
      <c r="AY122" s="298">
        <f t="shared" si="197"/>
        <v>1050.0181683903586</v>
      </c>
      <c r="AZ122" s="298">
        <f t="shared" si="197"/>
        <v>1050.0181683903586</v>
      </c>
      <c r="BA122" s="298">
        <f t="shared" si="197"/>
        <v>1050.0181683903586</v>
      </c>
      <c r="BB122" s="298">
        <f t="shared" si="197"/>
        <v>1050.0181683903586</v>
      </c>
      <c r="BC122" s="298">
        <f t="shared" si="197"/>
        <v>1050.0181683903586</v>
      </c>
      <c r="BD122" s="298">
        <f t="shared" si="197"/>
        <v>1050.0181683903586</v>
      </c>
      <c r="BE122" s="298">
        <f t="shared" si="197"/>
        <v>1050.0181683903586</v>
      </c>
      <c r="BF122" s="298">
        <f t="shared" si="197"/>
        <v>1050.0181683903586</v>
      </c>
      <c r="BG122" s="298">
        <f t="shared" si="197"/>
        <v>1050.0181683903586</v>
      </c>
      <c r="BH122" s="298">
        <f t="shared" si="197"/>
        <v>1050.0181683903586</v>
      </c>
      <c r="BI122" s="298">
        <f t="shared" si="197"/>
        <v>1050.0181683903586</v>
      </c>
      <c r="BJ122" s="298">
        <f t="shared" si="197"/>
        <v>1050.0181683903586</v>
      </c>
      <c r="BK122" s="298">
        <f t="shared" si="197"/>
        <v>1050.0181683903586</v>
      </c>
      <c r="BL122" s="298">
        <f t="shared" si="197"/>
        <v>1050.0181683903586</v>
      </c>
      <c r="BM122" s="298">
        <f t="shared" si="197"/>
        <v>1050.0181683903586</v>
      </c>
      <c r="BN122" s="298">
        <f t="shared" si="197"/>
        <v>1050.0181683903586</v>
      </c>
      <c r="BO122" s="298">
        <f t="shared" si="197"/>
        <v>1050.0181683903586</v>
      </c>
      <c r="BP122" s="298">
        <f t="shared" si="197"/>
        <v>1050.0181683903586</v>
      </c>
      <c r="BQ122" s="298">
        <f t="shared" si="197"/>
        <v>1050.0181683903586</v>
      </c>
      <c r="BR122" s="298">
        <f t="shared" si="197"/>
        <v>1050.0181683903586</v>
      </c>
      <c r="BS122" s="298">
        <f t="shared" si="197"/>
        <v>1050.0181683903586</v>
      </c>
      <c r="BT122" s="298">
        <f t="shared" si="197"/>
        <v>1050.0181683903586</v>
      </c>
      <c r="BU122" s="298">
        <f t="shared" si="197"/>
        <v>1050.0181683903586</v>
      </c>
      <c r="BV122" s="298">
        <f t="shared" si="197"/>
        <v>1050.0181683903586</v>
      </c>
      <c r="BW122" s="298">
        <f t="shared" si="197"/>
        <v>1050.0181683903586</v>
      </c>
      <c r="BX122" s="298">
        <f t="shared" si="197"/>
        <v>1050.0181683903586</v>
      </c>
      <c r="BY122" s="298">
        <f t="shared" si="197"/>
        <v>1050.0181683903586</v>
      </c>
      <c r="BZ122" s="298">
        <f t="shared" si="197"/>
        <v>1050.0181683903586</v>
      </c>
      <c r="CA122" s="298">
        <f t="shared" si="197"/>
        <v>1050.0181683903586</v>
      </c>
      <c r="CB122" s="298">
        <f t="shared" si="197"/>
        <v>1050.0181683903586</v>
      </c>
      <c r="CC122" s="298">
        <f t="shared" si="197"/>
        <v>1050.0181683903586</v>
      </c>
      <c r="CD122" s="298">
        <f t="shared" si="197"/>
        <v>1050.0181683903586</v>
      </c>
      <c r="CE122" s="298">
        <f t="shared" si="197"/>
        <v>1050.0181683903586</v>
      </c>
      <c r="CF122" s="298">
        <f t="shared" si="197"/>
        <v>1050.0181683903586</v>
      </c>
      <c r="CG122" s="298">
        <f t="shared" si="197"/>
        <v>1050.0181683903586</v>
      </c>
      <c r="CH122" s="298">
        <f t="shared" si="197"/>
        <v>1050.0181683903586</v>
      </c>
      <c r="CI122" s="298">
        <f t="shared" si="197"/>
        <v>1050.0181683903586</v>
      </c>
      <c r="CJ122" s="298">
        <f t="shared" si="197"/>
        <v>1050.0181683903586</v>
      </c>
      <c r="CK122" s="298">
        <f t="shared" si="197"/>
        <v>1050.0181683903586</v>
      </c>
      <c r="CL122" s="298">
        <f t="shared" si="197"/>
        <v>1050.0181683903586</v>
      </c>
      <c r="CM122" s="298">
        <f t="shared" si="197"/>
        <v>1050.0181683903586</v>
      </c>
      <c r="CN122" s="298">
        <f t="shared" si="197"/>
        <v>1050.0181683903586</v>
      </c>
      <c r="CO122" s="298">
        <f t="shared" si="197"/>
        <v>1050.0181683903586</v>
      </c>
      <c r="CP122" s="298">
        <f t="shared" si="197"/>
        <v>1050.0181683903586</v>
      </c>
      <c r="CQ122" s="298">
        <f t="shared" si="197"/>
        <v>1050.0181683903586</v>
      </c>
      <c r="CR122" s="298">
        <f t="shared" si="197"/>
        <v>1050.0181683903586</v>
      </c>
      <c r="CS122" s="298">
        <f t="shared" si="197"/>
        <v>1050.0181683903586</v>
      </c>
      <c r="CT122" s="298">
        <f t="shared" si="197"/>
        <v>1050.0181683903586</v>
      </c>
      <c r="CU122" s="298">
        <f t="shared" si="197"/>
        <v>1050.0181683903586</v>
      </c>
      <c r="CV122" s="298">
        <f t="shared" si="197"/>
        <v>1050.0181683903586</v>
      </c>
      <c r="CW122" s="298">
        <f t="shared" si="197"/>
        <v>1050.0181683903586</v>
      </c>
      <c r="CX122" s="298">
        <f t="shared" si="197"/>
        <v>1050.0181683903586</v>
      </c>
      <c r="CY122" s="298">
        <f t="shared" si="197"/>
        <v>1050.0181683903586</v>
      </c>
      <c r="CZ122" s="298">
        <f t="shared" si="197"/>
        <v>1050.0181683903586</v>
      </c>
      <c r="DA122" s="298">
        <f t="shared" si="197"/>
        <v>1050.0181683903586</v>
      </c>
      <c r="DB122" s="298">
        <f t="shared" si="197"/>
        <v>1050.0181683903586</v>
      </c>
      <c r="DC122" s="298">
        <f t="shared" si="197"/>
        <v>1050.0181683903586</v>
      </c>
      <c r="DD122" s="298">
        <f t="shared" si="197"/>
        <v>1050.0181683903586</v>
      </c>
      <c r="DE122" s="298">
        <f t="shared" si="197"/>
        <v>1050.0181683903586</v>
      </c>
      <c r="DF122" s="346"/>
      <c r="DG122" s="346"/>
      <c r="DH122" s="346"/>
      <c r="DI122" s="346"/>
      <c r="DJ122" s="346"/>
      <c r="DK122" s="346"/>
      <c r="DL122" s="346"/>
    </row>
    <row r="123" spans="1:116" ht="15.75" customHeight="1" x14ac:dyDescent="0.25">
      <c r="A123" s="751"/>
      <c r="B123" s="751"/>
      <c r="C123" s="321" t="s">
        <v>263</v>
      </c>
      <c r="D123" s="279"/>
      <c r="E123" s="280"/>
      <c r="F123" s="280"/>
      <c r="G123" s="279"/>
      <c r="H123" s="511">
        <f t="shared" ref="H123:DE123" si="198">H122*H118</f>
        <v>1490.092190476191</v>
      </c>
      <c r="I123" s="298">
        <f t="shared" si="198"/>
        <v>1654.002331428572</v>
      </c>
      <c r="J123" s="298">
        <f t="shared" si="198"/>
        <v>1835.9425878857148</v>
      </c>
      <c r="K123" s="298">
        <f t="shared" si="198"/>
        <v>2037.8962725531437</v>
      </c>
      <c r="L123" s="298">
        <f t="shared" si="198"/>
        <v>2262.0648625339895</v>
      </c>
      <c r="M123" s="298">
        <f t="shared" si="198"/>
        <v>2510.8919974127289</v>
      </c>
      <c r="N123" s="298">
        <f t="shared" si="198"/>
        <v>2787.0901171281289</v>
      </c>
      <c r="O123" s="298">
        <f t="shared" si="198"/>
        <v>3093.6700300122234</v>
      </c>
      <c r="P123" s="298">
        <f t="shared" si="198"/>
        <v>3433.9737333135681</v>
      </c>
      <c r="Q123" s="298">
        <f t="shared" si="198"/>
        <v>3811.7108439780609</v>
      </c>
      <c r="R123" s="298">
        <f t="shared" si="198"/>
        <v>4230.9990368156477</v>
      </c>
      <c r="S123" s="298">
        <f t="shared" si="198"/>
        <v>4696.4089308653702</v>
      </c>
      <c r="T123" s="298">
        <f t="shared" si="198"/>
        <v>5213.0139132605609</v>
      </c>
      <c r="U123" s="298">
        <f t="shared" si="198"/>
        <v>5786.4454437192226</v>
      </c>
      <c r="V123" s="298">
        <f t="shared" si="198"/>
        <v>6422.9544425283375</v>
      </c>
      <c r="W123" s="298">
        <f t="shared" si="198"/>
        <v>7129.479431206455</v>
      </c>
      <c r="X123" s="298">
        <f t="shared" si="198"/>
        <v>7913.7221686391658</v>
      </c>
      <c r="Y123" s="298">
        <f t="shared" si="198"/>
        <v>8784.2316071894747</v>
      </c>
      <c r="Z123" s="298">
        <f t="shared" si="198"/>
        <v>9750.4970839803191</v>
      </c>
      <c r="AA123" s="298">
        <f t="shared" si="198"/>
        <v>10823.051763218155</v>
      </c>
      <c r="AB123" s="298">
        <f t="shared" si="198"/>
        <v>12013.587457172154</v>
      </c>
      <c r="AC123" s="298">
        <f t="shared" si="198"/>
        <v>13335.082077461093</v>
      </c>
      <c r="AD123" s="298">
        <f t="shared" si="198"/>
        <v>14801.941105981814</v>
      </c>
      <c r="AE123" s="298">
        <f t="shared" si="198"/>
        <v>16430.154627639815</v>
      </c>
      <c r="AF123" s="298">
        <f t="shared" si="198"/>
        <v>18237.471636680195</v>
      </c>
      <c r="AG123" s="298">
        <f t="shared" si="198"/>
        <v>20243.593516715016</v>
      </c>
      <c r="AH123" s="298">
        <f t="shared" si="198"/>
        <v>22470.388803553673</v>
      </c>
      <c r="AI123" s="298">
        <f t="shared" si="198"/>
        <v>22470.388803553673</v>
      </c>
      <c r="AJ123" s="298">
        <f t="shared" si="198"/>
        <v>22470.388803553673</v>
      </c>
      <c r="AK123" s="298">
        <f t="shared" si="198"/>
        <v>22470.388803553673</v>
      </c>
      <c r="AL123" s="298">
        <f t="shared" si="198"/>
        <v>22470.388803553673</v>
      </c>
      <c r="AM123" s="298">
        <f t="shared" si="198"/>
        <v>22470.388803553673</v>
      </c>
      <c r="AN123" s="298">
        <f t="shared" si="198"/>
        <v>22470.388803553673</v>
      </c>
      <c r="AO123" s="298">
        <f t="shared" si="198"/>
        <v>22470.388803553673</v>
      </c>
      <c r="AP123" s="298">
        <f t="shared" si="198"/>
        <v>22470.388803553673</v>
      </c>
      <c r="AQ123" s="298">
        <f t="shared" si="198"/>
        <v>22470.388803553673</v>
      </c>
      <c r="AR123" s="298">
        <f t="shared" si="198"/>
        <v>22470.388803553673</v>
      </c>
      <c r="AS123" s="298">
        <f t="shared" si="198"/>
        <v>22470.388803553673</v>
      </c>
      <c r="AT123" s="298">
        <f t="shared" si="198"/>
        <v>22470.388803553673</v>
      </c>
      <c r="AU123" s="298">
        <f t="shared" si="198"/>
        <v>22470.388803553673</v>
      </c>
      <c r="AV123" s="298">
        <f t="shared" si="198"/>
        <v>22470.388803553673</v>
      </c>
      <c r="AW123" s="298">
        <f t="shared" si="198"/>
        <v>22470.388803553673</v>
      </c>
      <c r="AX123" s="298">
        <f t="shared" si="198"/>
        <v>22470.388803553673</v>
      </c>
      <c r="AY123" s="298">
        <f t="shared" si="198"/>
        <v>22470.388803553673</v>
      </c>
      <c r="AZ123" s="298">
        <f t="shared" si="198"/>
        <v>22470.388803553673</v>
      </c>
      <c r="BA123" s="298">
        <f t="shared" si="198"/>
        <v>22470.388803553673</v>
      </c>
      <c r="BB123" s="298">
        <f t="shared" si="198"/>
        <v>22470.388803553673</v>
      </c>
      <c r="BC123" s="298">
        <f t="shared" si="198"/>
        <v>22470.388803553673</v>
      </c>
      <c r="BD123" s="298">
        <f t="shared" si="198"/>
        <v>22470.388803553673</v>
      </c>
      <c r="BE123" s="298">
        <f t="shared" si="198"/>
        <v>22470.388803553673</v>
      </c>
      <c r="BF123" s="298">
        <f t="shared" si="198"/>
        <v>22470.388803553673</v>
      </c>
      <c r="BG123" s="298">
        <f t="shared" si="198"/>
        <v>22470.388803553673</v>
      </c>
      <c r="BH123" s="298">
        <f t="shared" si="198"/>
        <v>22470.388803553673</v>
      </c>
      <c r="BI123" s="298">
        <f t="shared" si="198"/>
        <v>22470.388803553673</v>
      </c>
      <c r="BJ123" s="298">
        <f t="shared" si="198"/>
        <v>22470.388803553673</v>
      </c>
      <c r="BK123" s="298">
        <f t="shared" si="198"/>
        <v>22470.388803553673</v>
      </c>
      <c r="BL123" s="298">
        <f t="shared" si="198"/>
        <v>22470.388803553673</v>
      </c>
      <c r="BM123" s="298">
        <f t="shared" si="198"/>
        <v>22470.388803553673</v>
      </c>
      <c r="BN123" s="298">
        <f t="shared" si="198"/>
        <v>22470.388803553673</v>
      </c>
      <c r="BO123" s="298">
        <f t="shared" si="198"/>
        <v>22470.388803553673</v>
      </c>
      <c r="BP123" s="298">
        <f t="shared" si="198"/>
        <v>22470.388803553673</v>
      </c>
      <c r="BQ123" s="298">
        <f t="shared" si="198"/>
        <v>22470.388803553673</v>
      </c>
      <c r="BR123" s="298">
        <f t="shared" si="198"/>
        <v>22470.388803553673</v>
      </c>
      <c r="BS123" s="298">
        <f t="shared" si="198"/>
        <v>22470.388803553673</v>
      </c>
      <c r="BT123" s="298">
        <f t="shared" si="198"/>
        <v>22470.388803553673</v>
      </c>
      <c r="BU123" s="298">
        <f t="shared" si="198"/>
        <v>22470.388803553673</v>
      </c>
      <c r="BV123" s="298">
        <f t="shared" si="198"/>
        <v>22470.388803553673</v>
      </c>
      <c r="BW123" s="298">
        <f t="shared" si="198"/>
        <v>22470.388803553673</v>
      </c>
      <c r="BX123" s="298">
        <f t="shared" si="198"/>
        <v>22470.388803553673</v>
      </c>
      <c r="BY123" s="298">
        <f t="shared" si="198"/>
        <v>22470.388803553673</v>
      </c>
      <c r="BZ123" s="298">
        <f t="shared" si="198"/>
        <v>22470.388803553673</v>
      </c>
      <c r="CA123" s="298">
        <f t="shared" si="198"/>
        <v>22470.388803553673</v>
      </c>
      <c r="CB123" s="298">
        <f t="shared" si="198"/>
        <v>22470.388803553673</v>
      </c>
      <c r="CC123" s="298">
        <f t="shared" si="198"/>
        <v>22470.388803553673</v>
      </c>
      <c r="CD123" s="298">
        <f t="shared" si="198"/>
        <v>22470.388803553673</v>
      </c>
      <c r="CE123" s="298">
        <f t="shared" si="198"/>
        <v>22470.388803553673</v>
      </c>
      <c r="CF123" s="298">
        <f t="shared" si="198"/>
        <v>22470.388803553673</v>
      </c>
      <c r="CG123" s="298">
        <f t="shared" si="198"/>
        <v>22470.388803553673</v>
      </c>
      <c r="CH123" s="298">
        <f t="shared" si="198"/>
        <v>22470.388803553673</v>
      </c>
      <c r="CI123" s="298">
        <f t="shared" si="198"/>
        <v>22470.388803553673</v>
      </c>
      <c r="CJ123" s="298">
        <f t="shared" si="198"/>
        <v>22470.388803553673</v>
      </c>
      <c r="CK123" s="298">
        <f t="shared" si="198"/>
        <v>22470.388803553673</v>
      </c>
      <c r="CL123" s="298">
        <f t="shared" si="198"/>
        <v>22470.388803553673</v>
      </c>
      <c r="CM123" s="298">
        <f t="shared" si="198"/>
        <v>22470.388803553673</v>
      </c>
      <c r="CN123" s="298">
        <f t="shared" si="198"/>
        <v>22470.388803553673</v>
      </c>
      <c r="CO123" s="298">
        <f t="shared" si="198"/>
        <v>22470.388803553673</v>
      </c>
      <c r="CP123" s="298">
        <f t="shared" si="198"/>
        <v>22470.388803553673</v>
      </c>
      <c r="CQ123" s="298">
        <f t="shared" si="198"/>
        <v>22470.388803553673</v>
      </c>
      <c r="CR123" s="298">
        <f t="shared" si="198"/>
        <v>22470.388803553673</v>
      </c>
      <c r="CS123" s="298">
        <f t="shared" si="198"/>
        <v>22470.388803553673</v>
      </c>
      <c r="CT123" s="298">
        <f t="shared" si="198"/>
        <v>22470.388803553673</v>
      </c>
      <c r="CU123" s="298">
        <f t="shared" si="198"/>
        <v>22470.388803553673</v>
      </c>
      <c r="CV123" s="298">
        <f t="shared" si="198"/>
        <v>22470.388803553673</v>
      </c>
      <c r="CW123" s="298">
        <f t="shared" si="198"/>
        <v>22470.388803553673</v>
      </c>
      <c r="CX123" s="298">
        <f t="shared" si="198"/>
        <v>22470.388803553673</v>
      </c>
      <c r="CY123" s="298">
        <f t="shared" si="198"/>
        <v>22470.388803553673</v>
      </c>
      <c r="CZ123" s="298">
        <f t="shared" si="198"/>
        <v>22470.388803553673</v>
      </c>
      <c r="DA123" s="298">
        <f t="shared" si="198"/>
        <v>22470.388803553673</v>
      </c>
      <c r="DB123" s="298">
        <f t="shared" si="198"/>
        <v>22470.388803553673</v>
      </c>
      <c r="DC123" s="298">
        <f t="shared" si="198"/>
        <v>22470.388803553673</v>
      </c>
      <c r="DD123" s="298">
        <f t="shared" si="198"/>
        <v>22470.388803553673</v>
      </c>
      <c r="DE123" s="298">
        <f t="shared" si="198"/>
        <v>22470.388803553673</v>
      </c>
      <c r="DF123" s="346"/>
      <c r="DG123" s="346"/>
      <c r="DH123" s="346"/>
      <c r="DI123" s="346"/>
      <c r="DJ123" s="346"/>
      <c r="DK123" s="346"/>
      <c r="DL123" s="346"/>
    </row>
    <row r="124" spans="1:116" ht="15.75" customHeight="1" x14ac:dyDescent="0.25">
      <c r="A124" s="751"/>
      <c r="B124" s="751"/>
      <c r="C124" s="321" t="s">
        <v>244</v>
      </c>
      <c r="D124" s="279"/>
      <c r="E124" s="280"/>
      <c r="F124" s="280"/>
      <c r="G124" s="279"/>
      <c r="H124" s="512">
        <f>'Unit Costs and Indicators'!$A$132*H123</f>
        <v>39153.780576677847</v>
      </c>
      <c r="I124" s="296">
        <f>'Unit Costs and Indicators'!$A$132*I123</f>
        <v>43460.696440112406</v>
      </c>
      <c r="J124" s="296">
        <f>'Unit Costs and Indicators'!$A$132*J123</f>
        <v>48241.373048524772</v>
      </c>
      <c r="K124" s="296">
        <f>'Unit Costs and Indicators'!$A$132*K123</f>
        <v>53547.924083862505</v>
      </c>
      <c r="L124" s="296">
        <f>'Unit Costs and Indicators'!$A$132*L123</f>
        <v>59438.195733087377</v>
      </c>
      <c r="M124" s="296">
        <f>'Unit Costs and Indicators'!$A$132*M123</f>
        <v>65976.397263727005</v>
      </c>
      <c r="N124" s="296">
        <f>'Unit Costs and Indicators'!$A$132*N123</f>
        <v>73233.800962736961</v>
      </c>
      <c r="O124" s="296">
        <f>'Unit Costs and Indicators'!$A$132*O123</f>
        <v>81289.519068638037</v>
      </c>
      <c r="P124" s="296">
        <f>'Unit Costs and Indicators'!$A$132*P123</f>
        <v>90231.366166188236</v>
      </c>
      <c r="Q124" s="296">
        <f>'Unit Costs and Indicators'!$A$132*Q123</f>
        <v>100156.81644446895</v>
      </c>
      <c r="R124" s="296">
        <f>'Unit Costs and Indicators'!$A$132*R123</f>
        <v>111174.06625336054</v>
      </c>
      <c r="S124" s="296">
        <f>'Unit Costs and Indicators'!$A$132*S123</f>
        <v>123403.21354123022</v>
      </c>
      <c r="T124" s="296">
        <f>'Unit Costs and Indicators'!$A$132*T123</f>
        <v>136977.56703076555</v>
      </c>
      <c r="U124" s="296">
        <f>'Unit Costs and Indicators'!$A$132*U123</f>
        <v>152045.09940414975</v>
      </c>
      <c r="V124" s="296">
        <f>'Unit Costs and Indicators'!$A$132*V123</f>
        <v>168770.06033860624</v>
      </c>
      <c r="W124" s="296">
        <f>'Unit Costs and Indicators'!$A$132*W123</f>
        <v>187334.76697585292</v>
      </c>
      <c r="X124" s="296">
        <f>'Unit Costs and Indicators'!$A$132*X123</f>
        <v>207941.59134319678</v>
      </c>
      <c r="Y124" s="296">
        <f>'Unit Costs and Indicators'!$A$132*Y123</f>
        <v>230815.16639094843</v>
      </c>
      <c r="Z124" s="296">
        <f>'Unit Costs and Indicators'!$A$132*Z123</f>
        <v>256204.83469395281</v>
      </c>
      <c r="AA124" s="296">
        <f>'Unit Costs and Indicators'!$A$132*AA123</f>
        <v>284387.36651028763</v>
      </c>
      <c r="AB124" s="296">
        <f>'Unit Costs and Indicators'!$A$132*AB123</f>
        <v>315669.97682641936</v>
      </c>
      <c r="AC124" s="296">
        <f>'Unit Costs and Indicators'!$A$132*AC123</f>
        <v>350393.67427732551</v>
      </c>
      <c r="AD124" s="296">
        <f>'Unit Costs and Indicators'!$A$132*AD123</f>
        <v>388936.97844783135</v>
      </c>
      <c r="AE124" s="296">
        <f>'Unit Costs and Indicators'!$A$132*AE123</f>
        <v>431720.04607709282</v>
      </c>
      <c r="AF124" s="296">
        <f>'Unit Costs and Indicators'!$A$132*AF123</f>
        <v>479209.25114557304</v>
      </c>
      <c r="AG124" s="296">
        <f>'Unit Costs and Indicators'!$A$132*AG123</f>
        <v>531922.26877158612</v>
      </c>
      <c r="AH124" s="296">
        <f>'Unit Costs and Indicators'!$A$132*AH123</f>
        <v>590433.71833646065</v>
      </c>
      <c r="AI124" s="296">
        <f>'Unit Costs and Indicators'!$A$132*AI123</f>
        <v>590433.71833646065</v>
      </c>
      <c r="AJ124" s="296">
        <f>'Unit Costs and Indicators'!$A$132*AJ123</f>
        <v>590433.71833646065</v>
      </c>
      <c r="AK124" s="296">
        <f>'Unit Costs and Indicators'!$A$132*AK123</f>
        <v>590433.71833646065</v>
      </c>
      <c r="AL124" s="296">
        <f>'Unit Costs and Indicators'!$A$132*AL123</f>
        <v>590433.71833646065</v>
      </c>
      <c r="AM124" s="296">
        <f>'Unit Costs and Indicators'!$A$132*AM123</f>
        <v>590433.71833646065</v>
      </c>
      <c r="AN124" s="296">
        <f>'Unit Costs and Indicators'!$A$132*AN123</f>
        <v>590433.71833646065</v>
      </c>
      <c r="AO124" s="296">
        <f>'Unit Costs and Indicators'!$A$132*AO123</f>
        <v>590433.71833646065</v>
      </c>
      <c r="AP124" s="296">
        <f>'Unit Costs and Indicators'!$A$132*AP123</f>
        <v>590433.71833646065</v>
      </c>
      <c r="AQ124" s="296">
        <f>'Unit Costs and Indicators'!$A$132*AQ123</f>
        <v>590433.71833646065</v>
      </c>
      <c r="AR124" s="296">
        <f>'Unit Costs and Indicators'!$A$132*AR123</f>
        <v>590433.71833646065</v>
      </c>
      <c r="AS124" s="296">
        <f>'Unit Costs and Indicators'!$A$132*AS123</f>
        <v>590433.71833646065</v>
      </c>
      <c r="AT124" s="296">
        <f>'Unit Costs and Indicators'!$A$132*AT123</f>
        <v>590433.71833646065</v>
      </c>
      <c r="AU124" s="296">
        <f>'Unit Costs and Indicators'!$A$132*AU123</f>
        <v>590433.71833646065</v>
      </c>
      <c r="AV124" s="296">
        <f>'Unit Costs and Indicators'!$A$132*AV123</f>
        <v>590433.71833646065</v>
      </c>
      <c r="AW124" s="296">
        <f>'Unit Costs and Indicators'!$A$132*AW123</f>
        <v>590433.71833646065</v>
      </c>
      <c r="AX124" s="296">
        <f>'Unit Costs and Indicators'!$A$132*AX123</f>
        <v>590433.71833646065</v>
      </c>
      <c r="AY124" s="296">
        <f>'Unit Costs and Indicators'!$A$132*AY123</f>
        <v>590433.71833646065</v>
      </c>
      <c r="AZ124" s="296">
        <f>'Unit Costs and Indicators'!$A$132*AZ123</f>
        <v>590433.71833646065</v>
      </c>
      <c r="BA124" s="296">
        <f>'Unit Costs and Indicators'!$A$132*BA123</f>
        <v>590433.71833646065</v>
      </c>
      <c r="BB124" s="296">
        <f>'Unit Costs and Indicators'!$A$132*BB123</f>
        <v>590433.71833646065</v>
      </c>
      <c r="BC124" s="296">
        <f>'Unit Costs and Indicators'!$A$132*BC123</f>
        <v>590433.71833646065</v>
      </c>
      <c r="BD124" s="296">
        <f>'Unit Costs and Indicators'!$A$132*BD123</f>
        <v>590433.71833646065</v>
      </c>
      <c r="BE124" s="296">
        <f>'Unit Costs and Indicators'!$A$132*BE123</f>
        <v>590433.71833646065</v>
      </c>
      <c r="BF124" s="296">
        <f>'Unit Costs and Indicators'!$A$132*BF123</f>
        <v>590433.71833646065</v>
      </c>
      <c r="BG124" s="296">
        <f>'Unit Costs and Indicators'!$A$132*BG123</f>
        <v>590433.71833646065</v>
      </c>
      <c r="BH124" s="296">
        <f>'Unit Costs and Indicators'!$A$132*BH123</f>
        <v>590433.71833646065</v>
      </c>
      <c r="BI124" s="296">
        <f>'Unit Costs and Indicators'!$A$132*BI123</f>
        <v>590433.71833646065</v>
      </c>
      <c r="BJ124" s="296">
        <f>'Unit Costs and Indicators'!$A$132*BJ123</f>
        <v>590433.71833646065</v>
      </c>
      <c r="BK124" s="296">
        <f>'Unit Costs and Indicators'!$A$132*BK123</f>
        <v>590433.71833646065</v>
      </c>
      <c r="BL124" s="296">
        <f>'Unit Costs and Indicators'!$A$132*BL123</f>
        <v>590433.71833646065</v>
      </c>
      <c r="BM124" s="296">
        <f>'Unit Costs and Indicators'!$A$132*BM123</f>
        <v>590433.71833646065</v>
      </c>
      <c r="BN124" s="296">
        <f>'Unit Costs and Indicators'!$A$132*BN123</f>
        <v>590433.71833646065</v>
      </c>
      <c r="BO124" s="296">
        <f>'Unit Costs and Indicators'!$A$132*BO123</f>
        <v>590433.71833646065</v>
      </c>
      <c r="BP124" s="296">
        <f>'Unit Costs and Indicators'!$A$132*BP123</f>
        <v>590433.71833646065</v>
      </c>
      <c r="BQ124" s="296">
        <f>'Unit Costs and Indicators'!$A$132*BQ123</f>
        <v>590433.71833646065</v>
      </c>
      <c r="BR124" s="296">
        <f>'Unit Costs and Indicators'!$A$132*BR123</f>
        <v>590433.71833646065</v>
      </c>
      <c r="BS124" s="296">
        <f>'Unit Costs and Indicators'!$A$132*BS123</f>
        <v>590433.71833646065</v>
      </c>
      <c r="BT124" s="296">
        <f>'Unit Costs and Indicators'!$A$132*BT123</f>
        <v>590433.71833646065</v>
      </c>
      <c r="BU124" s="296">
        <f>'Unit Costs and Indicators'!$A$132*BU123</f>
        <v>590433.71833646065</v>
      </c>
      <c r="BV124" s="296">
        <f>'Unit Costs and Indicators'!$A$132*BV123</f>
        <v>590433.71833646065</v>
      </c>
      <c r="BW124" s="296">
        <f>'Unit Costs and Indicators'!$A$132*BW123</f>
        <v>590433.71833646065</v>
      </c>
      <c r="BX124" s="296">
        <f>'Unit Costs and Indicators'!$A$132*BX123</f>
        <v>590433.71833646065</v>
      </c>
      <c r="BY124" s="296">
        <f>'Unit Costs and Indicators'!$A$132*BY123</f>
        <v>590433.71833646065</v>
      </c>
      <c r="BZ124" s="296">
        <f>'Unit Costs and Indicators'!$A$132*BZ123</f>
        <v>590433.71833646065</v>
      </c>
      <c r="CA124" s="296">
        <f>'Unit Costs and Indicators'!$A$132*CA123</f>
        <v>590433.71833646065</v>
      </c>
      <c r="CB124" s="296">
        <f>'Unit Costs and Indicators'!$A$132*CB123</f>
        <v>590433.71833646065</v>
      </c>
      <c r="CC124" s="296">
        <f>'Unit Costs and Indicators'!$A$132*CC123</f>
        <v>590433.71833646065</v>
      </c>
      <c r="CD124" s="296">
        <f>'Unit Costs and Indicators'!$A$132*CD123</f>
        <v>590433.71833646065</v>
      </c>
      <c r="CE124" s="296">
        <f>'Unit Costs and Indicators'!$A$132*CE123</f>
        <v>590433.71833646065</v>
      </c>
      <c r="CF124" s="296">
        <f>'Unit Costs and Indicators'!$A$132*CF123</f>
        <v>590433.71833646065</v>
      </c>
      <c r="CG124" s="296">
        <f>'Unit Costs and Indicators'!$A$132*CG123</f>
        <v>590433.71833646065</v>
      </c>
      <c r="CH124" s="296">
        <f>'Unit Costs and Indicators'!$A$132*CH123</f>
        <v>590433.71833646065</v>
      </c>
      <c r="CI124" s="296">
        <f>'Unit Costs and Indicators'!$A$132*CI123</f>
        <v>590433.71833646065</v>
      </c>
      <c r="CJ124" s="296">
        <f>'Unit Costs and Indicators'!$A$132*CJ123</f>
        <v>590433.71833646065</v>
      </c>
      <c r="CK124" s="296">
        <f>'Unit Costs and Indicators'!$A$132*CK123</f>
        <v>590433.71833646065</v>
      </c>
      <c r="CL124" s="296">
        <f>'Unit Costs and Indicators'!$A$132*CL123</f>
        <v>590433.71833646065</v>
      </c>
      <c r="CM124" s="296">
        <f>'Unit Costs and Indicators'!$A$132*CM123</f>
        <v>590433.71833646065</v>
      </c>
      <c r="CN124" s="296">
        <f>'Unit Costs and Indicators'!$A$132*CN123</f>
        <v>590433.71833646065</v>
      </c>
      <c r="CO124" s="296">
        <f>'Unit Costs and Indicators'!$A$132*CO123</f>
        <v>590433.71833646065</v>
      </c>
      <c r="CP124" s="296">
        <f>'Unit Costs and Indicators'!$A$132*CP123</f>
        <v>590433.71833646065</v>
      </c>
      <c r="CQ124" s="296">
        <f>'Unit Costs and Indicators'!$A$132*CQ123</f>
        <v>590433.71833646065</v>
      </c>
      <c r="CR124" s="296">
        <f>'Unit Costs and Indicators'!$A$132*CR123</f>
        <v>590433.71833646065</v>
      </c>
      <c r="CS124" s="296">
        <f>'Unit Costs and Indicators'!$A$132*CS123</f>
        <v>590433.71833646065</v>
      </c>
      <c r="CT124" s="296">
        <f>'Unit Costs and Indicators'!$A$132*CT123</f>
        <v>590433.71833646065</v>
      </c>
      <c r="CU124" s="296">
        <f>'Unit Costs and Indicators'!$A$132*CU123</f>
        <v>590433.71833646065</v>
      </c>
      <c r="CV124" s="296">
        <f>'Unit Costs and Indicators'!$A$132*CV123</f>
        <v>590433.71833646065</v>
      </c>
      <c r="CW124" s="296">
        <f>'Unit Costs and Indicators'!$A$132*CW123</f>
        <v>590433.71833646065</v>
      </c>
      <c r="CX124" s="296">
        <f>'Unit Costs and Indicators'!$A$132*CX123</f>
        <v>590433.71833646065</v>
      </c>
      <c r="CY124" s="296">
        <f>'Unit Costs and Indicators'!$A$132*CY123</f>
        <v>590433.71833646065</v>
      </c>
      <c r="CZ124" s="296">
        <f>'Unit Costs and Indicators'!$A$132*CZ123</f>
        <v>590433.71833646065</v>
      </c>
      <c r="DA124" s="296">
        <f>'Unit Costs and Indicators'!$A$132*DA123</f>
        <v>590433.71833646065</v>
      </c>
      <c r="DB124" s="296">
        <f>'Unit Costs and Indicators'!$A$132*DB123</f>
        <v>590433.71833646065</v>
      </c>
      <c r="DC124" s="296">
        <f>'Unit Costs and Indicators'!$A$132*DC123</f>
        <v>590433.71833646065</v>
      </c>
      <c r="DD124" s="296">
        <f>'Unit Costs and Indicators'!$A$132*DD123</f>
        <v>590433.71833646065</v>
      </c>
      <c r="DE124" s="296">
        <f>'Unit Costs and Indicators'!$A$132*DE123</f>
        <v>590433.71833646065</v>
      </c>
      <c r="DF124" s="353"/>
      <c r="DG124" s="353"/>
      <c r="DH124" s="353"/>
      <c r="DI124" s="353"/>
      <c r="DJ124" s="353"/>
      <c r="DK124" s="353"/>
      <c r="DL124" s="353"/>
    </row>
    <row r="125" spans="1:116" ht="15.75" customHeight="1" x14ac:dyDescent="0.25">
      <c r="A125" s="751"/>
      <c r="B125" s="751"/>
      <c r="C125" s="347" t="s">
        <v>387</v>
      </c>
      <c r="D125" s="348"/>
      <c r="E125" s="293" t="s">
        <v>388</v>
      </c>
      <c r="F125" s="349"/>
      <c r="G125" s="348"/>
      <c r="H125" s="350">
        <f>211200000*'Unit Costs and Indicators'!$L$10</f>
        <v>17676.767676767675</v>
      </c>
      <c r="I125" s="513">
        <f>211200000*'Unit Costs and Indicators'!$L$10</f>
        <v>17676.767676767675</v>
      </c>
      <c r="J125" s="513">
        <f>211200000*'Unit Costs and Indicators'!$L$10</f>
        <v>17676.767676767675</v>
      </c>
      <c r="K125" s="513">
        <f>211200000*'Unit Costs and Indicators'!$L$10</f>
        <v>17676.767676767675</v>
      </c>
      <c r="L125" s="513">
        <f>211200000*'Unit Costs and Indicators'!$L$10</f>
        <v>17676.767676767675</v>
      </c>
      <c r="M125" s="513">
        <f>211200000*'Unit Costs and Indicators'!$L$10</f>
        <v>17676.767676767675</v>
      </c>
      <c r="N125" s="513">
        <f>211200000*'Unit Costs and Indicators'!$L$10</f>
        <v>17676.767676767675</v>
      </c>
      <c r="O125" s="513">
        <f>211200000*'Unit Costs and Indicators'!$L$10</f>
        <v>17676.767676767675</v>
      </c>
      <c r="P125" s="513">
        <f>211200000*'Unit Costs and Indicators'!$L$10</f>
        <v>17676.767676767675</v>
      </c>
      <c r="Q125" s="513">
        <f>211200000*'Unit Costs and Indicators'!$L$10</f>
        <v>17676.767676767675</v>
      </c>
      <c r="R125" s="513">
        <f>211200000*'Unit Costs and Indicators'!$L$10</f>
        <v>17676.767676767675</v>
      </c>
      <c r="S125" s="513">
        <f>211200000*'Unit Costs and Indicators'!$L$10</f>
        <v>17676.767676767675</v>
      </c>
      <c r="T125" s="513">
        <f>211200000*'Unit Costs and Indicators'!$L$10</f>
        <v>17676.767676767675</v>
      </c>
      <c r="U125" s="513">
        <f>211200000*'Unit Costs and Indicators'!$L$10</f>
        <v>17676.767676767675</v>
      </c>
      <c r="V125" s="513">
        <f>211200000*'Unit Costs and Indicators'!$L$10</f>
        <v>17676.767676767675</v>
      </c>
      <c r="W125" s="513">
        <f>211200000*'Unit Costs and Indicators'!$L$10</f>
        <v>17676.767676767675</v>
      </c>
      <c r="X125" s="513">
        <f>211200000*'Unit Costs and Indicators'!$L$10</f>
        <v>17676.767676767675</v>
      </c>
      <c r="Y125" s="513">
        <f>211200000*'Unit Costs and Indicators'!$L$10</f>
        <v>17676.767676767675</v>
      </c>
      <c r="Z125" s="513">
        <f>211200000*'Unit Costs and Indicators'!$L$10</f>
        <v>17676.767676767675</v>
      </c>
      <c r="AA125" s="513">
        <f>211200000*'Unit Costs and Indicators'!$L$10</f>
        <v>17676.767676767675</v>
      </c>
      <c r="AB125" s="513">
        <f>211200000*'Unit Costs and Indicators'!$L$10</f>
        <v>17676.767676767675</v>
      </c>
      <c r="AC125" s="513">
        <f>211200000*'Unit Costs and Indicators'!$L$10</f>
        <v>17676.767676767675</v>
      </c>
      <c r="AD125" s="513">
        <f>211200000*'Unit Costs and Indicators'!$L$10</f>
        <v>17676.767676767675</v>
      </c>
      <c r="AE125" s="513">
        <f>211200000*'Unit Costs and Indicators'!$L$10</f>
        <v>17676.767676767675</v>
      </c>
      <c r="AF125" s="513">
        <f>211200000*'Unit Costs and Indicators'!$L$10</f>
        <v>17676.767676767675</v>
      </c>
      <c r="AG125" s="513">
        <f>211200000*'Unit Costs and Indicators'!$L$10</f>
        <v>17676.767676767675</v>
      </c>
      <c r="AH125" s="513">
        <f>211200000*'Unit Costs and Indicators'!$L$10</f>
        <v>17676.767676767675</v>
      </c>
      <c r="AI125" s="513">
        <f>211200000*'Unit Costs and Indicators'!$L$10</f>
        <v>17676.767676767675</v>
      </c>
      <c r="AJ125" s="513">
        <f>211200000*'Unit Costs and Indicators'!$L$10</f>
        <v>17676.767676767675</v>
      </c>
      <c r="AK125" s="513">
        <f>211200000*'Unit Costs and Indicators'!$L$10</f>
        <v>17676.767676767675</v>
      </c>
      <c r="AL125" s="513">
        <f>211200000*'Unit Costs and Indicators'!$L$10</f>
        <v>17676.767676767675</v>
      </c>
      <c r="AM125" s="513">
        <f>211200000*'Unit Costs and Indicators'!$L$10</f>
        <v>17676.767676767675</v>
      </c>
      <c r="AN125" s="513">
        <f>211200000*'Unit Costs and Indicators'!$L$10</f>
        <v>17676.767676767675</v>
      </c>
      <c r="AO125" s="513">
        <f>211200000*'Unit Costs and Indicators'!$L$10</f>
        <v>17676.767676767675</v>
      </c>
      <c r="AP125" s="513">
        <f>211200000*'Unit Costs and Indicators'!$L$10</f>
        <v>17676.767676767675</v>
      </c>
      <c r="AQ125" s="513">
        <f>211200000*'Unit Costs and Indicators'!$L$10</f>
        <v>17676.767676767675</v>
      </c>
      <c r="AR125" s="513">
        <f>211200000*'Unit Costs and Indicators'!$L$10</f>
        <v>17676.767676767675</v>
      </c>
      <c r="AS125" s="513">
        <f>211200000*'Unit Costs and Indicators'!$L$10</f>
        <v>17676.767676767675</v>
      </c>
      <c r="AT125" s="513">
        <f>211200000*'Unit Costs and Indicators'!$L$10</f>
        <v>17676.767676767675</v>
      </c>
      <c r="AU125" s="513">
        <f>211200000*'Unit Costs and Indicators'!$L$10</f>
        <v>17676.767676767675</v>
      </c>
      <c r="AV125" s="513">
        <f>211200000*'Unit Costs and Indicators'!$L$10</f>
        <v>17676.767676767675</v>
      </c>
      <c r="AW125" s="513">
        <f>211200000*'Unit Costs and Indicators'!$L$10</f>
        <v>17676.767676767675</v>
      </c>
      <c r="AX125" s="513">
        <f>211200000*'Unit Costs and Indicators'!$L$10</f>
        <v>17676.767676767675</v>
      </c>
      <c r="AY125" s="513">
        <f>211200000*'Unit Costs and Indicators'!$L$10</f>
        <v>17676.767676767675</v>
      </c>
      <c r="AZ125" s="513">
        <f>211200000*'Unit Costs and Indicators'!$L$10</f>
        <v>17676.767676767675</v>
      </c>
      <c r="BA125" s="513">
        <f>211200000*'Unit Costs and Indicators'!$L$10</f>
        <v>17676.767676767675</v>
      </c>
      <c r="BB125" s="513">
        <f>211200000*'Unit Costs and Indicators'!$L$10</f>
        <v>17676.767676767675</v>
      </c>
      <c r="BC125" s="513">
        <f>211200000*'Unit Costs and Indicators'!$L$10</f>
        <v>17676.767676767675</v>
      </c>
      <c r="BD125" s="513">
        <f>211200000*'Unit Costs and Indicators'!$L$10</f>
        <v>17676.767676767675</v>
      </c>
      <c r="BE125" s="513">
        <f>211200000*'Unit Costs and Indicators'!$L$10</f>
        <v>17676.767676767675</v>
      </c>
      <c r="BF125" s="513">
        <f>211200000*'Unit Costs and Indicators'!$L$10</f>
        <v>17676.767676767675</v>
      </c>
      <c r="BG125" s="513">
        <f>211200000*'Unit Costs and Indicators'!$L$10</f>
        <v>17676.767676767675</v>
      </c>
      <c r="BH125" s="513">
        <f>211200000*'Unit Costs and Indicators'!$L$10</f>
        <v>17676.767676767675</v>
      </c>
      <c r="BI125" s="513">
        <f>211200000*'Unit Costs and Indicators'!$L$10</f>
        <v>17676.767676767675</v>
      </c>
      <c r="BJ125" s="513">
        <f>211200000*'Unit Costs and Indicators'!$L$10</f>
        <v>17676.767676767675</v>
      </c>
      <c r="BK125" s="513">
        <f>211200000*'Unit Costs and Indicators'!$L$10</f>
        <v>17676.767676767675</v>
      </c>
      <c r="BL125" s="513">
        <f>211200000*'Unit Costs and Indicators'!$L$10</f>
        <v>17676.767676767675</v>
      </c>
      <c r="BM125" s="513">
        <f>211200000*'Unit Costs and Indicators'!$L$10</f>
        <v>17676.767676767675</v>
      </c>
      <c r="BN125" s="513">
        <f>211200000*'Unit Costs and Indicators'!$L$10</f>
        <v>17676.767676767675</v>
      </c>
      <c r="BO125" s="513">
        <f>211200000*'Unit Costs and Indicators'!$L$10</f>
        <v>17676.767676767675</v>
      </c>
      <c r="BP125" s="513">
        <f>211200000*'Unit Costs and Indicators'!$L$10</f>
        <v>17676.767676767675</v>
      </c>
      <c r="BQ125" s="513">
        <f>211200000*'Unit Costs and Indicators'!$L$10</f>
        <v>17676.767676767675</v>
      </c>
      <c r="BR125" s="513">
        <f>211200000*'Unit Costs and Indicators'!$L$10</f>
        <v>17676.767676767675</v>
      </c>
      <c r="BS125" s="513">
        <f>211200000*'Unit Costs and Indicators'!$L$10</f>
        <v>17676.767676767675</v>
      </c>
      <c r="BT125" s="513">
        <f>211200000*'Unit Costs and Indicators'!$L$10</f>
        <v>17676.767676767675</v>
      </c>
      <c r="BU125" s="513">
        <f>211200000*'Unit Costs and Indicators'!$L$10</f>
        <v>17676.767676767675</v>
      </c>
      <c r="BV125" s="513">
        <f>211200000*'Unit Costs and Indicators'!$L$10</f>
        <v>17676.767676767675</v>
      </c>
      <c r="BW125" s="513">
        <f>211200000*'Unit Costs and Indicators'!$L$10</f>
        <v>17676.767676767675</v>
      </c>
      <c r="BX125" s="513">
        <f>211200000*'Unit Costs and Indicators'!$L$10</f>
        <v>17676.767676767675</v>
      </c>
      <c r="BY125" s="513">
        <f>211200000*'Unit Costs and Indicators'!$L$10</f>
        <v>17676.767676767675</v>
      </c>
      <c r="BZ125" s="513">
        <f>211200000*'Unit Costs and Indicators'!$L$10</f>
        <v>17676.767676767675</v>
      </c>
      <c r="CA125" s="513">
        <f>211200000*'Unit Costs and Indicators'!$L$10</f>
        <v>17676.767676767675</v>
      </c>
      <c r="CB125" s="513">
        <f>211200000*'Unit Costs and Indicators'!$L$10</f>
        <v>17676.767676767675</v>
      </c>
      <c r="CC125" s="513">
        <f>211200000*'Unit Costs and Indicators'!$L$10</f>
        <v>17676.767676767675</v>
      </c>
      <c r="CD125" s="513">
        <f>211200000*'Unit Costs and Indicators'!$L$10</f>
        <v>17676.767676767675</v>
      </c>
      <c r="CE125" s="513">
        <f>211200000*'Unit Costs and Indicators'!$L$10</f>
        <v>17676.767676767675</v>
      </c>
      <c r="CF125" s="513">
        <f>211200000*'Unit Costs and Indicators'!$L$10</f>
        <v>17676.767676767675</v>
      </c>
      <c r="CG125" s="513">
        <f>211200000*'Unit Costs and Indicators'!$L$10</f>
        <v>17676.767676767675</v>
      </c>
      <c r="CH125" s="513">
        <f>211200000*'Unit Costs and Indicators'!$L$10</f>
        <v>17676.767676767675</v>
      </c>
      <c r="CI125" s="513">
        <f>211200000*'Unit Costs and Indicators'!$L$10</f>
        <v>17676.767676767675</v>
      </c>
      <c r="CJ125" s="513">
        <f>211200000*'Unit Costs and Indicators'!$L$10</f>
        <v>17676.767676767675</v>
      </c>
      <c r="CK125" s="513">
        <f>211200000*'Unit Costs and Indicators'!$L$10</f>
        <v>17676.767676767675</v>
      </c>
      <c r="CL125" s="513">
        <f>211200000*'Unit Costs and Indicators'!$L$10</f>
        <v>17676.767676767675</v>
      </c>
      <c r="CM125" s="513">
        <f>211200000*'Unit Costs and Indicators'!$L$10</f>
        <v>17676.767676767675</v>
      </c>
      <c r="CN125" s="513">
        <f>211200000*'Unit Costs and Indicators'!$L$10</f>
        <v>17676.767676767675</v>
      </c>
      <c r="CO125" s="513">
        <f>211200000*'Unit Costs and Indicators'!$L$10</f>
        <v>17676.767676767675</v>
      </c>
      <c r="CP125" s="513">
        <f>211200000*'Unit Costs and Indicators'!$L$10</f>
        <v>17676.767676767675</v>
      </c>
      <c r="CQ125" s="513">
        <f>211200000*'Unit Costs and Indicators'!$L$10</f>
        <v>17676.767676767675</v>
      </c>
      <c r="CR125" s="513">
        <f>211200000*'Unit Costs and Indicators'!$L$10</f>
        <v>17676.767676767675</v>
      </c>
      <c r="CS125" s="513">
        <f>211200000*'Unit Costs and Indicators'!$L$10</f>
        <v>17676.767676767675</v>
      </c>
      <c r="CT125" s="513">
        <f>211200000*'Unit Costs and Indicators'!$L$10</f>
        <v>17676.767676767675</v>
      </c>
      <c r="CU125" s="513">
        <f>211200000*'Unit Costs and Indicators'!$L$10</f>
        <v>17676.767676767675</v>
      </c>
      <c r="CV125" s="513">
        <f>211200000*'Unit Costs and Indicators'!$L$10</f>
        <v>17676.767676767675</v>
      </c>
      <c r="CW125" s="513">
        <f>211200000*'Unit Costs and Indicators'!$L$10</f>
        <v>17676.767676767675</v>
      </c>
      <c r="CX125" s="513">
        <f>211200000*'Unit Costs and Indicators'!$L$10</f>
        <v>17676.767676767675</v>
      </c>
      <c r="CY125" s="513">
        <f>211200000*'Unit Costs and Indicators'!$L$10</f>
        <v>17676.767676767675</v>
      </c>
      <c r="CZ125" s="513">
        <f>211200000*'Unit Costs and Indicators'!$L$10</f>
        <v>17676.767676767675</v>
      </c>
      <c r="DA125" s="513">
        <f>211200000*'Unit Costs and Indicators'!$L$10</f>
        <v>17676.767676767675</v>
      </c>
      <c r="DB125" s="513">
        <f>211200000*'Unit Costs and Indicators'!$L$10</f>
        <v>17676.767676767675</v>
      </c>
      <c r="DC125" s="513">
        <f>211200000*'Unit Costs and Indicators'!$L$10</f>
        <v>17676.767676767675</v>
      </c>
      <c r="DD125" s="513">
        <f>211200000*'Unit Costs and Indicators'!$L$10</f>
        <v>17676.767676767675</v>
      </c>
      <c r="DE125" s="513">
        <f>211200000*'Unit Costs and Indicators'!$L$10</f>
        <v>17676.767676767675</v>
      </c>
      <c r="DF125" s="353"/>
      <c r="DG125" s="353"/>
      <c r="DH125" s="353"/>
      <c r="DI125" s="353"/>
      <c r="DJ125" s="353"/>
      <c r="DK125" s="353"/>
      <c r="DL125" s="353"/>
    </row>
    <row r="126" spans="1:116" ht="15.75" customHeight="1" x14ac:dyDescent="0.25">
      <c r="A126" s="751"/>
      <c r="B126" s="354"/>
      <c r="C126" s="355" t="s">
        <v>244</v>
      </c>
      <c r="D126" s="356" t="s">
        <v>247</v>
      </c>
      <c r="E126" s="357"/>
      <c r="F126" s="316" t="s">
        <v>14</v>
      </c>
      <c r="G126" s="317">
        <f t="array" ref="G126">NPV($C$4,J126:DE126)+I126</f>
        <v>17678.486737011364</v>
      </c>
      <c r="H126" s="359">
        <f t="shared" ref="H126:I126" si="199">H120+H125</f>
        <v>17678.486737011364</v>
      </c>
      <c r="I126" s="514">
        <f t="shared" si="199"/>
        <v>17678.486737011364</v>
      </c>
      <c r="J126" s="514">
        <f t="shared" ref="J126:DE126" si="200">(J120+J125)*(1 + $C$3)^(J94 - $I$5)</f>
        <v>8.5219007247524595E-14</v>
      </c>
      <c r="K126" s="514">
        <f t="shared" si="200"/>
        <v>7.0815161353030289E-14</v>
      </c>
      <c r="L126" s="514">
        <f t="shared" si="200"/>
        <v>7.0817863719234661E-14</v>
      </c>
      <c r="M126" s="514">
        <f t="shared" si="200"/>
        <v>7.0820620239001299E-14</v>
      </c>
      <c r="N126" s="514">
        <f t="shared" si="200"/>
        <v>7.082343199969913E-14</v>
      </c>
      <c r="O126" s="514">
        <f t="shared" si="200"/>
        <v>7.0826300110616484E-14</v>
      </c>
      <c r="P126" s="514">
        <f t="shared" si="200"/>
        <v>7.0829225703408974E-14</v>
      </c>
      <c r="Q126" s="514">
        <f t="shared" si="200"/>
        <v>7.0832209932552423E-14</v>
      </c>
      <c r="R126" s="514">
        <f t="shared" si="200"/>
        <v>7.083525397580989E-14</v>
      </c>
      <c r="S126" s="514">
        <f t="shared" si="200"/>
        <v>7.0838359034702322E-14</v>
      </c>
      <c r="T126" s="514">
        <f t="shared" si="200"/>
        <v>7.0841526334993552E-14</v>
      </c>
      <c r="U126" s="514">
        <f t="shared" si="200"/>
        <v>7.0844757127182704E-14</v>
      </c>
      <c r="V126" s="514">
        <f t="shared" si="200"/>
        <v>7.0848052687008151E-14</v>
      </c>
      <c r="W126" s="514">
        <f t="shared" si="200"/>
        <v>7.0851414315962944E-14</v>
      </c>
      <c r="X126" s="514">
        <f t="shared" si="200"/>
        <v>7.0854843341818278E-14</v>
      </c>
      <c r="Y126" s="514">
        <f t="shared" si="200"/>
        <v>7.0858341119158553E-14</v>
      </c>
      <c r="Z126" s="514">
        <f t="shared" si="200"/>
        <v>7.0861909029929513E-14</v>
      </c>
      <c r="AA126" s="514">
        <f t="shared" si="200"/>
        <v>7.086554848399551E-14</v>
      </c>
      <c r="AB126" s="514">
        <f t="shared" si="200"/>
        <v>7.0869260919709465E-14</v>
      </c>
      <c r="AC126" s="514">
        <f t="shared" si="200"/>
        <v>7.0873047804495061E-14</v>
      </c>
      <c r="AD126" s="514">
        <f t="shared" si="200"/>
        <v>7.0876910635438589E-14</v>
      </c>
      <c r="AE126" s="514">
        <f t="shared" si="200"/>
        <v>7.0880850939897143E-14</v>
      </c>
      <c r="AF126" s="514">
        <f t="shared" si="200"/>
        <v>7.0884870276115684E-14</v>
      </c>
      <c r="AG126" s="514">
        <f t="shared" si="200"/>
        <v>7.0888970233861385E-14</v>
      </c>
      <c r="AH126" s="514">
        <f t="shared" si="200"/>
        <v>7.0893152435063885E-14</v>
      </c>
      <c r="AI126" s="514">
        <f t="shared" si="200"/>
        <v>7.0897418534476605E-14</v>
      </c>
      <c r="AJ126" s="514">
        <f t="shared" si="200"/>
        <v>7.0901770220349452E-14</v>
      </c>
      <c r="AK126" s="514">
        <f t="shared" si="200"/>
        <v>7.0906209215113677E-14</v>
      </c>
      <c r="AL126" s="514">
        <f t="shared" si="200"/>
        <v>7.0910737276081208E-14</v>
      </c>
      <c r="AM126" s="514">
        <f t="shared" si="200"/>
        <v>7.0915356196161881E-14</v>
      </c>
      <c r="AN126" s="514">
        <f t="shared" si="200"/>
        <v>7.0920067804594057E-14</v>
      </c>
      <c r="AO126" s="514">
        <f t="shared" si="200"/>
        <v>7.0924873967686852E-14</v>
      </c>
      <c r="AP126" s="514">
        <f t="shared" si="200"/>
        <v>7.0929776589585916E-14</v>
      </c>
      <c r="AQ126" s="514">
        <f t="shared" si="200"/>
        <v>7.0934777613047411E-14</v>
      </c>
      <c r="AR126" s="514">
        <f t="shared" si="200"/>
        <v>7.0939879020232555E-14</v>
      </c>
      <c r="AS126" s="514">
        <f t="shared" si="200"/>
        <v>7.09450828335182E-14</v>
      </c>
      <c r="AT126" s="514">
        <f t="shared" si="200"/>
        <v>7.0950391116325027E-14</v>
      </c>
      <c r="AU126" s="514">
        <f t="shared" si="200"/>
        <v>7.0955805973961802E-14</v>
      </c>
      <c r="AV126" s="514">
        <f t="shared" si="200"/>
        <v>7.0961329554487606E-14</v>
      </c>
      <c r="AW126" s="514">
        <f t="shared" si="200"/>
        <v>7.0966964049595171E-14</v>
      </c>
      <c r="AX126" s="514">
        <f t="shared" si="200"/>
        <v>7.0972711695508327E-14</v>
      </c>
      <c r="AY126" s="514">
        <f t="shared" si="200"/>
        <v>7.0978574773902785E-14</v>
      </c>
      <c r="AZ126" s="514">
        <f t="shared" si="200"/>
        <v>7.0984555612843203E-14</v>
      </c>
      <c r="BA126" s="514">
        <f t="shared" si="200"/>
        <v>7.0990656587743762E-14</v>
      </c>
      <c r="BB126" s="514">
        <f t="shared" si="200"/>
        <v>7.0996880122344697E-14</v>
      </c>
      <c r="BC126" s="514">
        <f t="shared" si="200"/>
        <v>7.1003228689713042E-14</v>
      </c>
      <c r="BD126" s="514">
        <f t="shared" si="200"/>
        <v>7.1009704813264596E-14</v>
      </c>
      <c r="BE126" s="514">
        <f t="shared" si="200"/>
        <v>7.1016311067805736E-14</v>
      </c>
      <c r="BF126" s="514">
        <f t="shared" si="200"/>
        <v>7.1023050080599739E-14</v>
      </c>
      <c r="BG126" s="514">
        <f t="shared" si="200"/>
        <v>7.1029924532454103E-14</v>
      </c>
      <c r="BH126" s="514">
        <f t="shared" si="200"/>
        <v>7.103693715883074E-14</v>
      </c>
      <c r="BI126" s="514">
        <f t="shared" si="200"/>
        <v>7.1044090750986331E-14</v>
      </c>
      <c r="BJ126" s="514">
        <f t="shared" si="200"/>
        <v>7.1051388157124381E-14</v>
      </c>
      <c r="BK126" s="514">
        <f t="shared" si="200"/>
        <v>7.1058832283587138E-14</v>
      </c>
      <c r="BL126" s="514">
        <f t="shared" si="200"/>
        <v>7.1066426096062464E-14</v>
      </c>
      <c r="BM126" s="514">
        <f t="shared" si="200"/>
        <v>7.1074172620820583E-14</v>
      </c>
      <c r="BN126" s="514">
        <f t="shared" si="200"/>
        <v>7.1082074945977414E-14</v>
      </c>
      <c r="BO126" s="514">
        <f t="shared" si="200"/>
        <v>7.1090136222786541E-14</v>
      </c>
      <c r="BP126" s="514">
        <f t="shared" si="200"/>
        <v>7.1098359666954664E-14</v>
      </c>
      <c r="BQ126" s="514">
        <f t="shared" si="200"/>
        <v>7.1106748559992267E-14</v>
      </c>
      <c r="BR126" s="514">
        <f t="shared" si="200"/>
        <v>7.1115306250588852E-14</v>
      </c>
      <c r="BS126" s="514">
        <f t="shared" si="200"/>
        <v>7.1124036156019695E-14</v>
      </c>
      <c r="BT126" s="514">
        <f t="shared" si="200"/>
        <v>7.1132941763580857E-14</v>
      </c>
      <c r="BU126" s="514">
        <f t="shared" si="200"/>
        <v>7.1142026632062016E-14</v>
      </c>
      <c r="BV126" s="514">
        <f t="shared" si="200"/>
        <v>7.1151294393244876E-14</v>
      </c>
      <c r="BW126" s="514">
        <f t="shared" si="200"/>
        <v>7.1160748753436331E-14</v>
      </c>
      <c r="BX126" s="514">
        <f t="shared" si="200"/>
        <v>7.1170393495037405E-14</v>
      </c>
      <c r="BY126" s="514">
        <f t="shared" si="200"/>
        <v>7.1180232478145282E-14</v>
      </c>
      <c r="BZ126" s="514">
        <f t="shared" si="200"/>
        <v>7.1190269642188887E-14</v>
      </c>
      <c r="CA126" s="514">
        <f t="shared" si="200"/>
        <v>7.1200509007604965E-14</v>
      </c>
      <c r="CB126" s="514">
        <f t="shared" si="200"/>
        <v>7.1210954677544628E-14</v>
      </c>
      <c r="CC126" s="514">
        <f t="shared" si="200"/>
        <v>7.1221610839626249E-14</v>
      </c>
      <c r="CD126" s="514">
        <f t="shared" si="200"/>
        <v>7.123248176771969E-14</v>
      </c>
      <c r="CE126" s="514">
        <f t="shared" si="200"/>
        <v>7.1243571823774364E-14</v>
      </c>
      <c r="CF126" s="514">
        <f t="shared" si="200"/>
        <v>7.1254885459685264E-14</v>
      </c>
      <c r="CG126" s="514">
        <f t="shared" si="200"/>
        <v>7.1266427219204505E-14</v>
      </c>
      <c r="CH126" s="514">
        <f t="shared" si="200"/>
        <v>7.1278201739893572E-14</v>
      </c>
      <c r="CI126" s="514">
        <f t="shared" si="200"/>
        <v>7.1290213755114683E-14</v>
      </c>
      <c r="CJ126" s="514">
        <f t="shared" si="200"/>
        <v>7.1302468096077156E-14</v>
      </c>
      <c r="CK126" s="514">
        <f t="shared" si="200"/>
        <v>7.1314969693920848E-14</v>
      </c>
      <c r="CL126" s="514">
        <f t="shared" si="200"/>
        <v>7.1327723581849134E-14</v>
      </c>
      <c r="CM126" s="514">
        <f t="shared" si="200"/>
        <v>7.134073489731235E-14</v>
      </c>
      <c r="CN126" s="514">
        <f t="shared" si="200"/>
        <v>7.1354008884238358E-14</v>
      </c>
      <c r="CO126" s="514">
        <f t="shared" si="200"/>
        <v>7.1367550895313837E-14</v>
      </c>
      <c r="CP126" s="514">
        <f t="shared" si="200"/>
        <v>7.1381366394318587E-14</v>
      </c>
      <c r="CQ126" s="514">
        <f t="shared" si="200"/>
        <v>7.1395460958512247E-14</v>
      </c>
      <c r="CR126" s="514">
        <f t="shared" si="200"/>
        <v>7.1409840281074333E-14</v>
      </c>
      <c r="CS126" s="514">
        <f t="shared" si="200"/>
        <v>7.1424510173603972E-14</v>
      </c>
      <c r="CT126" s="514">
        <f t="shared" si="200"/>
        <v>7.1439476568671957E-14</v>
      </c>
      <c r="CU126" s="514">
        <f t="shared" si="200"/>
        <v>7.1454745522435212E-14</v>
      </c>
      <c r="CV126" s="514">
        <f t="shared" si="200"/>
        <v>7.1470323217311271E-14</v>
      </c>
      <c r="CW126" s="514">
        <f t="shared" si="200"/>
        <v>7.1486215964709815E-14</v>
      </c>
      <c r="CX126" s="514">
        <f t="shared" si="200"/>
        <v>7.1502430207836402E-14</v>
      </c>
      <c r="CY126" s="514">
        <f t="shared" si="200"/>
        <v>7.1518972524551787E-14</v>
      </c>
      <c r="CZ126" s="514">
        <f t="shared" si="200"/>
        <v>7.1535849630304887E-14</v>
      </c>
      <c r="DA126" s="514">
        <f t="shared" si="200"/>
        <v>7.1553068381129032E-14</v>
      </c>
      <c r="DB126" s="514">
        <f t="shared" si="200"/>
        <v>7.1570635776713732E-14</v>
      </c>
      <c r="DC126" s="514">
        <f t="shared" si="200"/>
        <v>7.158855896354193E-14</v>
      </c>
      <c r="DD126" s="514">
        <f t="shared" si="200"/>
        <v>7.1606845238106914E-14</v>
      </c>
      <c r="DE126" s="514">
        <f t="shared" si="200"/>
        <v>7.1625502050202031E-14</v>
      </c>
      <c r="DF126" s="515"/>
      <c r="DG126" s="515"/>
      <c r="DH126" s="515"/>
      <c r="DI126" s="515"/>
      <c r="DJ126" s="515"/>
      <c r="DK126" s="515"/>
      <c r="DL126" s="515"/>
    </row>
    <row r="127" spans="1:116" ht="15.75" customHeight="1" x14ac:dyDescent="0.25">
      <c r="A127" s="751"/>
      <c r="B127" s="758" t="s">
        <v>389</v>
      </c>
      <c r="C127" s="321" t="s">
        <v>266</v>
      </c>
      <c r="D127" s="279"/>
      <c r="E127" s="280"/>
      <c r="F127" s="280"/>
      <c r="G127" s="279"/>
      <c r="H127" s="343">
        <f t="shared" ref="H127:DE127" si="201">((H141*8)+H119)/40</f>
        <v>2.8226857431639628E-3</v>
      </c>
      <c r="I127" s="369">
        <f t="shared" si="201"/>
        <v>2.8226857431639628E-3</v>
      </c>
      <c r="J127" s="369">
        <f t="shared" si="201"/>
        <v>2.8226857431639628E-3</v>
      </c>
      <c r="K127" s="369">
        <f t="shared" si="201"/>
        <v>2.8226857431639628E-3</v>
      </c>
      <c r="L127" s="369">
        <f t="shared" si="201"/>
        <v>2.8226857431639628E-3</v>
      </c>
      <c r="M127" s="369">
        <f t="shared" si="201"/>
        <v>2.8226857431639628E-3</v>
      </c>
      <c r="N127" s="369">
        <f t="shared" si="201"/>
        <v>2.8226857431639628E-3</v>
      </c>
      <c r="O127" s="369">
        <f t="shared" si="201"/>
        <v>2.8226857431639628E-3</v>
      </c>
      <c r="P127" s="369">
        <f t="shared" si="201"/>
        <v>2.8226857431639628E-3</v>
      </c>
      <c r="Q127" s="369">
        <f t="shared" si="201"/>
        <v>2.8226857431639628E-3</v>
      </c>
      <c r="R127" s="369">
        <f t="shared" si="201"/>
        <v>2.8226857431639628E-3</v>
      </c>
      <c r="S127" s="369">
        <f t="shared" si="201"/>
        <v>2.8226857431639628E-3</v>
      </c>
      <c r="T127" s="369">
        <f t="shared" si="201"/>
        <v>2.8226857431639628E-3</v>
      </c>
      <c r="U127" s="369">
        <f t="shared" si="201"/>
        <v>2.8226857431639628E-3</v>
      </c>
      <c r="V127" s="369">
        <f t="shared" si="201"/>
        <v>2.8226857431639628E-3</v>
      </c>
      <c r="W127" s="369">
        <f t="shared" si="201"/>
        <v>2.8226857431639628E-3</v>
      </c>
      <c r="X127" s="369">
        <f t="shared" si="201"/>
        <v>2.8226857431639628E-3</v>
      </c>
      <c r="Y127" s="369">
        <f t="shared" si="201"/>
        <v>2.8226857431639628E-3</v>
      </c>
      <c r="Z127" s="369">
        <f t="shared" si="201"/>
        <v>2.8226857431639628E-3</v>
      </c>
      <c r="AA127" s="369">
        <f t="shared" si="201"/>
        <v>2.8226857431639628E-3</v>
      </c>
      <c r="AB127" s="369">
        <f t="shared" si="201"/>
        <v>2.8226857431639628E-3</v>
      </c>
      <c r="AC127" s="369">
        <f t="shared" si="201"/>
        <v>2.8226857431639628E-3</v>
      </c>
      <c r="AD127" s="369">
        <f t="shared" si="201"/>
        <v>2.8226857431639628E-3</v>
      </c>
      <c r="AE127" s="369">
        <f t="shared" si="201"/>
        <v>2.8226857431639628E-3</v>
      </c>
      <c r="AF127" s="369">
        <f t="shared" si="201"/>
        <v>2.8226857431639628E-3</v>
      </c>
      <c r="AG127" s="369">
        <f t="shared" si="201"/>
        <v>2.8226857431639628E-3</v>
      </c>
      <c r="AH127" s="369">
        <f t="shared" si="201"/>
        <v>2.8226857431639628E-3</v>
      </c>
      <c r="AI127" s="369">
        <f t="shared" si="201"/>
        <v>2.8226857431639628E-3</v>
      </c>
      <c r="AJ127" s="369">
        <f t="shared" si="201"/>
        <v>2.8226857431639628E-3</v>
      </c>
      <c r="AK127" s="369">
        <f t="shared" si="201"/>
        <v>2.8226857431639628E-3</v>
      </c>
      <c r="AL127" s="369">
        <f t="shared" si="201"/>
        <v>2.8226857431639628E-3</v>
      </c>
      <c r="AM127" s="369">
        <f t="shared" si="201"/>
        <v>2.8226857431639628E-3</v>
      </c>
      <c r="AN127" s="369">
        <f t="shared" si="201"/>
        <v>2.8226857431639628E-3</v>
      </c>
      <c r="AO127" s="369">
        <f t="shared" si="201"/>
        <v>2.8226857431639628E-3</v>
      </c>
      <c r="AP127" s="369">
        <f t="shared" si="201"/>
        <v>2.8226857431639628E-3</v>
      </c>
      <c r="AQ127" s="369">
        <f t="shared" si="201"/>
        <v>2.8226857431639628E-3</v>
      </c>
      <c r="AR127" s="369">
        <f t="shared" si="201"/>
        <v>2.8226857431639628E-3</v>
      </c>
      <c r="AS127" s="369">
        <f t="shared" si="201"/>
        <v>2.8226857431639628E-3</v>
      </c>
      <c r="AT127" s="369">
        <f t="shared" si="201"/>
        <v>2.8226857431639628E-3</v>
      </c>
      <c r="AU127" s="369">
        <f t="shared" si="201"/>
        <v>2.8226857431639628E-3</v>
      </c>
      <c r="AV127" s="369">
        <f t="shared" si="201"/>
        <v>2.8226857431639628E-3</v>
      </c>
      <c r="AW127" s="369">
        <f t="shared" si="201"/>
        <v>2.8226857431639628E-3</v>
      </c>
      <c r="AX127" s="369">
        <f t="shared" si="201"/>
        <v>2.8226857431639628E-3</v>
      </c>
      <c r="AY127" s="369">
        <f t="shared" si="201"/>
        <v>2.8226857431639628E-3</v>
      </c>
      <c r="AZ127" s="369">
        <f t="shared" si="201"/>
        <v>2.8226857431639628E-3</v>
      </c>
      <c r="BA127" s="369">
        <f t="shared" si="201"/>
        <v>2.8226857431639628E-3</v>
      </c>
      <c r="BB127" s="369">
        <f t="shared" si="201"/>
        <v>2.8226857431639628E-3</v>
      </c>
      <c r="BC127" s="369">
        <f t="shared" si="201"/>
        <v>2.8226857431639628E-3</v>
      </c>
      <c r="BD127" s="369">
        <f t="shared" si="201"/>
        <v>2.8226857431639628E-3</v>
      </c>
      <c r="BE127" s="369">
        <f t="shared" si="201"/>
        <v>2.8226857431639628E-3</v>
      </c>
      <c r="BF127" s="369">
        <f t="shared" si="201"/>
        <v>2.8226857431639628E-3</v>
      </c>
      <c r="BG127" s="369">
        <f t="shared" si="201"/>
        <v>2.8226857431639628E-3</v>
      </c>
      <c r="BH127" s="369">
        <f t="shared" si="201"/>
        <v>2.8226857431639628E-3</v>
      </c>
      <c r="BI127" s="369">
        <f t="shared" si="201"/>
        <v>2.8226857431639628E-3</v>
      </c>
      <c r="BJ127" s="369">
        <f t="shared" si="201"/>
        <v>2.8226857431639628E-3</v>
      </c>
      <c r="BK127" s="369">
        <f t="shared" si="201"/>
        <v>2.8226857431639628E-3</v>
      </c>
      <c r="BL127" s="369">
        <f t="shared" si="201"/>
        <v>2.8226857431639628E-3</v>
      </c>
      <c r="BM127" s="369">
        <f t="shared" si="201"/>
        <v>2.8226857431639628E-3</v>
      </c>
      <c r="BN127" s="369">
        <f t="shared" si="201"/>
        <v>2.8226857431639628E-3</v>
      </c>
      <c r="BO127" s="369">
        <f t="shared" si="201"/>
        <v>2.8226857431639628E-3</v>
      </c>
      <c r="BP127" s="369">
        <f t="shared" si="201"/>
        <v>2.8226857431639628E-3</v>
      </c>
      <c r="BQ127" s="369">
        <f t="shared" si="201"/>
        <v>2.8226857431639628E-3</v>
      </c>
      <c r="BR127" s="369">
        <f t="shared" si="201"/>
        <v>2.8226857431639628E-3</v>
      </c>
      <c r="BS127" s="369">
        <f t="shared" si="201"/>
        <v>2.8226857431639628E-3</v>
      </c>
      <c r="BT127" s="369">
        <f t="shared" si="201"/>
        <v>2.8226857431639628E-3</v>
      </c>
      <c r="BU127" s="369">
        <f t="shared" si="201"/>
        <v>2.8226857431639628E-3</v>
      </c>
      <c r="BV127" s="369">
        <f t="shared" si="201"/>
        <v>2.8226857431639628E-3</v>
      </c>
      <c r="BW127" s="369">
        <f t="shared" si="201"/>
        <v>2.8226857431639628E-3</v>
      </c>
      <c r="BX127" s="369">
        <f t="shared" si="201"/>
        <v>2.8226857431639628E-3</v>
      </c>
      <c r="BY127" s="369">
        <f t="shared" si="201"/>
        <v>2.8226857431639628E-3</v>
      </c>
      <c r="BZ127" s="369">
        <f t="shared" si="201"/>
        <v>2.8226857431639628E-3</v>
      </c>
      <c r="CA127" s="369">
        <f t="shared" si="201"/>
        <v>2.8226857431639628E-3</v>
      </c>
      <c r="CB127" s="369">
        <f t="shared" si="201"/>
        <v>2.8226857431639628E-3</v>
      </c>
      <c r="CC127" s="369">
        <f t="shared" si="201"/>
        <v>2.8226857431639628E-3</v>
      </c>
      <c r="CD127" s="369">
        <f t="shared" si="201"/>
        <v>2.8226857431639628E-3</v>
      </c>
      <c r="CE127" s="369">
        <f t="shared" si="201"/>
        <v>2.8226857431639628E-3</v>
      </c>
      <c r="CF127" s="369">
        <f t="shared" si="201"/>
        <v>2.8226857431639628E-3</v>
      </c>
      <c r="CG127" s="369">
        <f t="shared" si="201"/>
        <v>2.8226857431639628E-3</v>
      </c>
      <c r="CH127" s="369">
        <f t="shared" si="201"/>
        <v>2.8226857431639628E-3</v>
      </c>
      <c r="CI127" s="369">
        <f t="shared" si="201"/>
        <v>2.8226857431639628E-3</v>
      </c>
      <c r="CJ127" s="369">
        <f t="shared" si="201"/>
        <v>2.8226857431639628E-3</v>
      </c>
      <c r="CK127" s="369">
        <f t="shared" si="201"/>
        <v>2.8226857431639628E-3</v>
      </c>
      <c r="CL127" s="369">
        <f t="shared" si="201"/>
        <v>2.8226857431639628E-3</v>
      </c>
      <c r="CM127" s="369">
        <f t="shared" si="201"/>
        <v>2.8226857431639628E-3</v>
      </c>
      <c r="CN127" s="369">
        <f t="shared" si="201"/>
        <v>2.8226857431639628E-3</v>
      </c>
      <c r="CO127" s="369">
        <f t="shared" si="201"/>
        <v>2.8226857431639628E-3</v>
      </c>
      <c r="CP127" s="369">
        <f t="shared" si="201"/>
        <v>2.8226857431639628E-3</v>
      </c>
      <c r="CQ127" s="369">
        <f t="shared" si="201"/>
        <v>2.8226857431639628E-3</v>
      </c>
      <c r="CR127" s="369">
        <f t="shared" si="201"/>
        <v>2.8226857431639628E-3</v>
      </c>
      <c r="CS127" s="369">
        <f t="shared" si="201"/>
        <v>2.8226857431639628E-3</v>
      </c>
      <c r="CT127" s="369">
        <f t="shared" si="201"/>
        <v>2.8226857431639628E-3</v>
      </c>
      <c r="CU127" s="369">
        <f t="shared" si="201"/>
        <v>2.8226857431639628E-3</v>
      </c>
      <c r="CV127" s="369">
        <f t="shared" si="201"/>
        <v>2.8226857431639628E-3</v>
      </c>
      <c r="CW127" s="369">
        <f t="shared" si="201"/>
        <v>2.8226857431639628E-3</v>
      </c>
      <c r="CX127" s="369">
        <f t="shared" si="201"/>
        <v>2.8226857431639628E-3</v>
      </c>
      <c r="CY127" s="369">
        <f t="shared" si="201"/>
        <v>2.8226857431639628E-3</v>
      </c>
      <c r="CZ127" s="369">
        <f t="shared" si="201"/>
        <v>2.8226857431639628E-3</v>
      </c>
      <c r="DA127" s="369">
        <f t="shared" si="201"/>
        <v>2.8226857431639628E-3</v>
      </c>
      <c r="DB127" s="369">
        <f t="shared" si="201"/>
        <v>2.8226857431639628E-3</v>
      </c>
      <c r="DC127" s="369">
        <f t="shared" si="201"/>
        <v>2.8226857431639628E-3</v>
      </c>
      <c r="DD127" s="369">
        <f t="shared" si="201"/>
        <v>2.8226857431639628E-3</v>
      </c>
      <c r="DE127" s="369">
        <f t="shared" si="201"/>
        <v>2.8226857431639628E-3</v>
      </c>
      <c r="DF127" s="344"/>
      <c r="DG127" s="344"/>
      <c r="DH127" s="344"/>
      <c r="DI127" s="344"/>
      <c r="DJ127" s="344"/>
      <c r="DK127" s="344"/>
      <c r="DL127" s="344"/>
    </row>
    <row r="128" spans="1:116" ht="15.75" customHeight="1" x14ac:dyDescent="0.25">
      <c r="A128" s="751"/>
      <c r="B128" s="751"/>
      <c r="C128" s="321" t="s">
        <v>390</v>
      </c>
      <c r="D128" s="279" t="s">
        <v>38</v>
      </c>
      <c r="E128" s="367" t="s">
        <v>268</v>
      </c>
      <c r="F128" s="280"/>
      <c r="G128" s="279" t="s">
        <v>269</v>
      </c>
      <c r="H128" s="368">
        <v>3.4999999999999997E-5</v>
      </c>
      <c r="I128" s="369">
        <v>3.4999999999999997E-5</v>
      </c>
      <c r="J128" s="369">
        <v>3.4999999999999997E-5</v>
      </c>
      <c r="K128" s="369">
        <v>3.4999999999999997E-5</v>
      </c>
      <c r="L128" s="369">
        <v>3.4999999999999997E-5</v>
      </c>
      <c r="M128" s="369">
        <v>3.4999999999999997E-5</v>
      </c>
      <c r="N128" s="369">
        <v>3.4999999999999997E-5</v>
      </c>
      <c r="O128" s="369">
        <v>3.4999999999999997E-5</v>
      </c>
      <c r="P128" s="369">
        <v>3.4999999999999997E-5</v>
      </c>
      <c r="Q128" s="369">
        <v>3.4999999999999997E-5</v>
      </c>
      <c r="R128" s="369">
        <v>3.4999999999999997E-5</v>
      </c>
      <c r="S128" s="369">
        <v>3.4999999999999997E-5</v>
      </c>
      <c r="T128" s="369">
        <v>3.4999999999999997E-5</v>
      </c>
      <c r="U128" s="369">
        <v>3.4999999999999997E-5</v>
      </c>
      <c r="V128" s="369">
        <v>3.4999999999999997E-5</v>
      </c>
      <c r="W128" s="369">
        <v>3.4999999999999997E-5</v>
      </c>
      <c r="X128" s="369">
        <v>3.4999999999999997E-5</v>
      </c>
      <c r="Y128" s="369">
        <v>3.4999999999999997E-5</v>
      </c>
      <c r="Z128" s="369">
        <v>3.4999999999999997E-5</v>
      </c>
      <c r="AA128" s="369">
        <v>3.4999999999999997E-5</v>
      </c>
      <c r="AB128" s="369">
        <v>3.4999999999999997E-5</v>
      </c>
      <c r="AC128" s="369">
        <v>3.4999999999999997E-5</v>
      </c>
      <c r="AD128" s="369">
        <v>3.4999999999999997E-5</v>
      </c>
      <c r="AE128" s="369">
        <v>3.4999999999999997E-5</v>
      </c>
      <c r="AF128" s="369">
        <v>3.4999999999999997E-5</v>
      </c>
      <c r="AG128" s="369">
        <v>3.4999999999999997E-5</v>
      </c>
      <c r="AH128" s="369">
        <v>3.4999999999999997E-5</v>
      </c>
      <c r="AI128" s="369">
        <v>3.4999999999999997E-5</v>
      </c>
      <c r="AJ128" s="369">
        <v>3.4999999999999997E-5</v>
      </c>
      <c r="AK128" s="369">
        <v>3.4999999999999997E-5</v>
      </c>
      <c r="AL128" s="369">
        <v>3.4999999999999997E-5</v>
      </c>
      <c r="AM128" s="369">
        <v>3.4999999999999997E-5</v>
      </c>
      <c r="AN128" s="369">
        <v>3.4999999999999997E-5</v>
      </c>
      <c r="AO128" s="369">
        <v>3.4999999999999997E-5</v>
      </c>
      <c r="AP128" s="369">
        <v>3.4999999999999997E-5</v>
      </c>
      <c r="AQ128" s="369">
        <v>3.4999999999999997E-5</v>
      </c>
      <c r="AR128" s="369">
        <v>3.4999999999999997E-5</v>
      </c>
      <c r="AS128" s="369">
        <v>3.4999999999999997E-5</v>
      </c>
      <c r="AT128" s="369">
        <v>3.4999999999999997E-5</v>
      </c>
      <c r="AU128" s="369">
        <v>3.4999999999999997E-5</v>
      </c>
      <c r="AV128" s="369">
        <v>3.4999999999999997E-5</v>
      </c>
      <c r="AW128" s="369">
        <v>3.4999999999999997E-5</v>
      </c>
      <c r="AX128" s="369">
        <v>3.4999999999999997E-5</v>
      </c>
      <c r="AY128" s="369">
        <v>3.4999999999999997E-5</v>
      </c>
      <c r="AZ128" s="369">
        <v>3.4999999999999997E-5</v>
      </c>
      <c r="BA128" s="369">
        <v>3.4999999999999997E-5</v>
      </c>
      <c r="BB128" s="369">
        <v>3.4999999999999997E-5</v>
      </c>
      <c r="BC128" s="369">
        <v>3.4999999999999997E-5</v>
      </c>
      <c r="BD128" s="369">
        <v>3.4999999999999997E-5</v>
      </c>
      <c r="BE128" s="369">
        <v>3.4999999999999997E-5</v>
      </c>
      <c r="BF128" s="369">
        <v>3.4999999999999997E-5</v>
      </c>
      <c r="BG128" s="369">
        <v>3.4999999999999997E-5</v>
      </c>
      <c r="BH128" s="369">
        <v>3.4999999999999997E-5</v>
      </c>
      <c r="BI128" s="369">
        <v>3.4999999999999997E-5</v>
      </c>
      <c r="BJ128" s="369">
        <v>3.4999999999999997E-5</v>
      </c>
      <c r="BK128" s="369">
        <v>3.4999999999999997E-5</v>
      </c>
      <c r="BL128" s="369">
        <v>3.4999999999999997E-5</v>
      </c>
      <c r="BM128" s="369">
        <v>3.4999999999999997E-5</v>
      </c>
      <c r="BN128" s="369">
        <v>3.4999999999999997E-5</v>
      </c>
      <c r="BO128" s="369">
        <v>3.4999999999999997E-5</v>
      </c>
      <c r="BP128" s="369">
        <v>3.4999999999999997E-5</v>
      </c>
      <c r="BQ128" s="369">
        <v>3.4999999999999997E-5</v>
      </c>
      <c r="BR128" s="369">
        <v>3.4999999999999997E-5</v>
      </c>
      <c r="BS128" s="369">
        <v>3.4999999999999997E-5</v>
      </c>
      <c r="BT128" s="369">
        <v>3.4999999999999997E-5</v>
      </c>
      <c r="BU128" s="369">
        <v>3.4999999999999997E-5</v>
      </c>
      <c r="BV128" s="369">
        <v>3.4999999999999997E-5</v>
      </c>
      <c r="BW128" s="369">
        <v>3.4999999999999997E-5</v>
      </c>
      <c r="BX128" s="369">
        <v>3.4999999999999997E-5</v>
      </c>
      <c r="BY128" s="369">
        <v>3.4999999999999997E-5</v>
      </c>
      <c r="BZ128" s="369">
        <v>3.4999999999999997E-5</v>
      </c>
      <c r="CA128" s="369">
        <v>3.4999999999999997E-5</v>
      </c>
      <c r="CB128" s="369">
        <v>3.4999999999999997E-5</v>
      </c>
      <c r="CC128" s="369">
        <v>3.4999999999999997E-5</v>
      </c>
      <c r="CD128" s="369">
        <v>3.4999999999999997E-5</v>
      </c>
      <c r="CE128" s="369">
        <v>3.4999999999999997E-5</v>
      </c>
      <c r="CF128" s="369">
        <v>3.4999999999999997E-5</v>
      </c>
      <c r="CG128" s="369">
        <v>3.4999999999999997E-5</v>
      </c>
      <c r="CH128" s="369">
        <v>3.4999999999999997E-5</v>
      </c>
      <c r="CI128" s="369">
        <v>3.4999999999999997E-5</v>
      </c>
      <c r="CJ128" s="369">
        <v>3.4999999999999997E-5</v>
      </c>
      <c r="CK128" s="369">
        <v>3.4999999999999997E-5</v>
      </c>
      <c r="CL128" s="369">
        <v>3.4999999999999997E-5</v>
      </c>
      <c r="CM128" s="369">
        <v>3.4999999999999997E-5</v>
      </c>
      <c r="CN128" s="369">
        <v>3.4999999999999997E-5</v>
      </c>
      <c r="CO128" s="369">
        <v>3.4999999999999997E-5</v>
      </c>
      <c r="CP128" s="369">
        <v>3.4999999999999997E-5</v>
      </c>
      <c r="CQ128" s="369">
        <v>3.4999999999999997E-5</v>
      </c>
      <c r="CR128" s="369">
        <v>3.4999999999999997E-5</v>
      </c>
      <c r="CS128" s="369">
        <v>3.4999999999999997E-5</v>
      </c>
      <c r="CT128" s="369">
        <v>3.4999999999999997E-5</v>
      </c>
      <c r="CU128" s="369">
        <v>3.4999999999999997E-5</v>
      </c>
      <c r="CV128" s="369">
        <v>3.4999999999999997E-5</v>
      </c>
      <c r="CW128" s="369">
        <v>3.4999999999999997E-5</v>
      </c>
      <c r="CX128" s="369">
        <v>3.4999999999999997E-5</v>
      </c>
      <c r="CY128" s="369">
        <v>3.4999999999999997E-5</v>
      </c>
      <c r="CZ128" s="369">
        <v>3.4999999999999997E-5</v>
      </c>
      <c r="DA128" s="369">
        <v>3.4999999999999997E-5</v>
      </c>
      <c r="DB128" s="369">
        <v>3.4999999999999997E-5</v>
      </c>
      <c r="DC128" s="369">
        <v>3.4999999999999997E-5</v>
      </c>
      <c r="DD128" s="369">
        <v>3.4999999999999997E-5</v>
      </c>
      <c r="DE128" s="369">
        <v>3.4999999999999997E-5</v>
      </c>
      <c r="DF128" s="369"/>
      <c r="DG128" s="369"/>
      <c r="DH128" s="369"/>
      <c r="DI128" s="369"/>
      <c r="DJ128" s="369"/>
      <c r="DK128" s="369"/>
      <c r="DL128" s="369"/>
    </row>
    <row r="129" spans="1:116" ht="15.75" customHeight="1" x14ac:dyDescent="0.25">
      <c r="A129" s="751"/>
      <c r="B129" s="751"/>
      <c r="C129" s="321" t="s">
        <v>391</v>
      </c>
      <c r="D129" s="279"/>
      <c r="E129" s="280"/>
      <c r="F129" s="280"/>
      <c r="G129" s="279"/>
      <c r="H129" s="516">
        <f t="shared" ref="H129:DE129" si="202">H127*H128</f>
        <v>9.8794001010738692E-8</v>
      </c>
      <c r="I129" s="408">
        <f t="shared" si="202"/>
        <v>9.8794001010738692E-8</v>
      </c>
      <c r="J129" s="408">
        <f t="shared" si="202"/>
        <v>9.8794001010738692E-8</v>
      </c>
      <c r="K129" s="408">
        <f t="shared" si="202"/>
        <v>9.8794001010738692E-8</v>
      </c>
      <c r="L129" s="408">
        <f t="shared" si="202"/>
        <v>9.8794001010738692E-8</v>
      </c>
      <c r="M129" s="408">
        <f t="shared" si="202"/>
        <v>9.8794001010738692E-8</v>
      </c>
      <c r="N129" s="408">
        <f t="shared" si="202"/>
        <v>9.8794001010738692E-8</v>
      </c>
      <c r="O129" s="408">
        <f t="shared" si="202"/>
        <v>9.8794001010738692E-8</v>
      </c>
      <c r="P129" s="408">
        <f t="shared" si="202"/>
        <v>9.8794001010738692E-8</v>
      </c>
      <c r="Q129" s="408">
        <f t="shared" si="202"/>
        <v>9.8794001010738692E-8</v>
      </c>
      <c r="R129" s="408">
        <f t="shared" si="202"/>
        <v>9.8794001010738692E-8</v>
      </c>
      <c r="S129" s="408">
        <f t="shared" si="202"/>
        <v>9.8794001010738692E-8</v>
      </c>
      <c r="T129" s="408">
        <f t="shared" si="202"/>
        <v>9.8794001010738692E-8</v>
      </c>
      <c r="U129" s="408">
        <f t="shared" si="202"/>
        <v>9.8794001010738692E-8</v>
      </c>
      <c r="V129" s="408">
        <f t="shared" si="202"/>
        <v>9.8794001010738692E-8</v>
      </c>
      <c r="W129" s="408">
        <f t="shared" si="202"/>
        <v>9.8794001010738692E-8</v>
      </c>
      <c r="X129" s="408">
        <f t="shared" si="202"/>
        <v>9.8794001010738692E-8</v>
      </c>
      <c r="Y129" s="408">
        <f t="shared" si="202"/>
        <v>9.8794001010738692E-8</v>
      </c>
      <c r="Z129" s="408">
        <f t="shared" si="202"/>
        <v>9.8794001010738692E-8</v>
      </c>
      <c r="AA129" s="408">
        <f t="shared" si="202"/>
        <v>9.8794001010738692E-8</v>
      </c>
      <c r="AB129" s="408">
        <f t="shared" si="202"/>
        <v>9.8794001010738692E-8</v>
      </c>
      <c r="AC129" s="408">
        <f t="shared" si="202"/>
        <v>9.8794001010738692E-8</v>
      </c>
      <c r="AD129" s="408">
        <f t="shared" si="202"/>
        <v>9.8794001010738692E-8</v>
      </c>
      <c r="AE129" s="408">
        <f t="shared" si="202"/>
        <v>9.8794001010738692E-8</v>
      </c>
      <c r="AF129" s="408">
        <f t="shared" si="202"/>
        <v>9.8794001010738692E-8</v>
      </c>
      <c r="AG129" s="408">
        <f t="shared" si="202"/>
        <v>9.8794001010738692E-8</v>
      </c>
      <c r="AH129" s="408">
        <f t="shared" si="202"/>
        <v>9.8794001010738692E-8</v>
      </c>
      <c r="AI129" s="408">
        <f t="shared" si="202"/>
        <v>9.8794001010738692E-8</v>
      </c>
      <c r="AJ129" s="408">
        <f t="shared" si="202"/>
        <v>9.8794001010738692E-8</v>
      </c>
      <c r="AK129" s="408">
        <f t="shared" si="202"/>
        <v>9.8794001010738692E-8</v>
      </c>
      <c r="AL129" s="408">
        <f t="shared" si="202"/>
        <v>9.8794001010738692E-8</v>
      </c>
      <c r="AM129" s="408">
        <f t="shared" si="202"/>
        <v>9.8794001010738692E-8</v>
      </c>
      <c r="AN129" s="408">
        <f t="shared" si="202"/>
        <v>9.8794001010738692E-8</v>
      </c>
      <c r="AO129" s="408">
        <f t="shared" si="202"/>
        <v>9.8794001010738692E-8</v>
      </c>
      <c r="AP129" s="408">
        <f t="shared" si="202"/>
        <v>9.8794001010738692E-8</v>
      </c>
      <c r="AQ129" s="408">
        <f t="shared" si="202"/>
        <v>9.8794001010738692E-8</v>
      </c>
      <c r="AR129" s="408">
        <f t="shared" si="202"/>
        <v>9.8794001010738692E-8</v>
      </c>
      <c r="AS129" s="408">
        <f t="shared" si="202"/>
        <v>9.8794001010738692E-8</v>
      </c>
      <c r="AT129" s="408">
        <f t="shared" si="202"/>
        <v>9.8794001010738692E-8</v>
      </c>
      <c r="AU129" s="408">
        <f t="shared" si="202"/>
        <v>9.8794001010738692E-8</v>
      </c>
      <c r="AV129" s="408">
        <f t="shared" si="202"/>
        <v>9.8794001010738692E-8</v>
      </c>
      <c r="AW129" s="408">
        <f t="shared" si="202"/>
        <v>9.8794001010738692E-8</v>
      </c>
      <c r="AX129" s="408">
        <f t="shared" si="202"/>
        <v>9.8794001010738692E-8</v>
      </c>
      <c r="AY129" s="408">
        <f t="shared" si="202"/>
        <v>9.8794001010738692E-8</v>
      </c>
      <c r="AZ129" s="408">
        <f t="shared" si="202"/>
        <v>9.8794001010738692E-8</v>
      </c>
      <c r="BA129" s="408">
        <f t="shared" si="202"/>
        <v>9.8794001010738692E-8</v>
      </c>
      <c r="BB129" s="408">
        <f t="shared" si="202"/>
        <v>9.8794001010738692E-8</v>
      </c>
      <c r="BC129" s="408">
        <f t="shared" si="202"/>
        <v>9.8794001010738692E-8</v>
      </c>
      <c r="BD129" s="408">
        <f t="shared" si="202"/>
        <v>9.8794001010738692E-8</v>
      </c>
      <c r="BE129" s="408">
        <f t="shared" si="202"/>
        <v>9.8794001010738692E-8</v>
      </c>
      <c r="BF129" s="408">
        <f t="shared" si="202"/>
        <v>9.8794001010738692E-8</v>
      </c>
      <c r="BG129" s="408">
        <f t="shared" si="202"/>
        <v>9.8794001010738692E-8</v>
      </c>
      <c r="BH129" s="408">
        <f t="shared" si="202"/>
        <v>9.8794001010738692E-8</v>
      </c>
      <c r="BI129" s="408">
        <f t="shared" si="202"/>
        <v>9.8794001010738692E-8</v>
      </c>
      <c r="BJ129" s="408">
        <f t="shared" si="202"/>
        <v>9.8794001010738692E-8</v>
      </c>
      <c r="BK129" s="408">
        <f t="shared" si="202"/>
        <v>9.8794001010738692E-8</v>
      </c>
      <c r="BL129" s="408">
        <f t="shared" si="202"/>
        <v>9.8794001010738692E-8</v>
      </c>
      <c r="BM129" s="408">
        <f t="shared" si="202"/>
        <v>9.8794001010738692E-8</v>
      </c>
      <c r="BN129" s="408">
        <f t="shared" si="202"/>
        <v>9.8794001010738692E-8</v>
      </c>
      <c r="BO129" s="408">
        <f t="shared" si="202"/>
        <v>9.8794001010738692E-8</v>
      </c>
      <c r="BP129" s="408">
        <f t="shared" si="202"/>
        <v>9.8794001010738692E-8</v>
      </c>
      <c r="BQ129" s="408">
        <f t="shared" si="202"/>
        <v>9.8794001010738692E-8</v>
      </c>
      <c r="BR129" s="408">
        <f t="shared" si="202"/>
        <v>9.8794001010738692E-8</v>
      </c>
      <c r="BS129" s="408">
        <f t="shared" si="202"/>
        <v>9.8794001010738692E-8</v>
      </c>
      <c r="BT129" s="408">
        <f t="shared" si="202"/>
        <v>9.8794001010738692E-8</v>
      </c>
      <c r="BU129" s="408">
        <f t="shared" si="202"/>
        <v>9.8794001010738692E-8</v>
      </c>
      <c r="BV129" s="408">
        <f t="shared" si="202"/>
        <v>9.8794001010738692E-8</v>
      </c>
      <c r="BW129" s="408">
        <f t="shared" si="202"/>
        <v>9.8794001010738692E-8</v>
      </c>
      <c r="BX129" s="408">
        <f t="shared" si="202"/>
        <v>9.8794001010738692E-8</v>
      </c>
      <c r="BY129" s="408">
        <f t="shared" si="202"/>
        <v>9.8794001010738692E-8</v>
      </c>
      <c r="BZ129" s="408">
        <f t="shared" si="202"/>
        <v>9.8794001010738692E-8</v>
      </c>
      <c r="CA129" s="408">
        <f t="shared" si="202"/>
        <v>9.8794001010738692E-8</v>
      </c>
      <c r="CB129" s="408">
        <f t="shared" si="202"/>
        <v>9.8794001010738692E-8</v>
      </c>
      <c r="CC129" s="408">
        <f t="shared" si="202"/>
        <v>9.8794001010738692E-8</v>
      </c>
      <c r="CD129" s="408">
        <f t="shared" si="202"/>
        <v>9.8794001010738692E-8</v>
      </c>
      <c r="CE129" s="408">
        <f t="shared" si="202"/>
        <v>9.8794001010738692E-8</v>
      </c>
      <c r="CF129" s="408">
        <f t="shared" si="202"/>
        <v>9.8794001010738692E-8</v>
      </c>
      <c r="CG129" s="408">
        <f t="shared" si="202"/>
        <v>9.8794001010738692E-8</v>
      </c>
      <c r="CH129" s="408">
        <f t="shared" si="202"/>
        <v>9.8794001010738692E-8</v>
      </c>
      <c r="CI129" s="408">
        <f t="shared" si="202"/>
        <v>9.8794001010738692E-8</v>
      </c>
      <c r="CJ129" s="408">
        <f t="shared" si="202"/>
        <v>9.8794001010738692E-8</v>
      </c>
      <c r="CK129" s="408">
        <f t="shared" si="202"/>
        <v>9.8794001010738692E-8</v>
      </c>
      <c r="CL129" s="408">
        <f t="shared" si="202"/>
        <v>9.8794001010738692E-8</v>
      </c>
      <c r="CM129" s="408">
        <f t="shared" si="202"/>
        <v>9.8794001010738692E-8</v>
      </c>
      <c r="CN129" s="408">
        <f t="shared" si="202"/>
        <v>9.8794001010738692E-8</v>
      </c>
      <c r="CO129" s="408">
        <f t="shared" si="202"/>
        <v>9.8794001010738692E-8</v>
      </c>
      <c r="CP129" s="408">
        <f t="shared" si="202"/>
        <v>9.8794001010738692E-8</v>
      </c>
      <c r="CQ129" s="408">
        <f t="shared" si="202"/>
        <v>9.8794001010738692E-8</v>
      </c>
      <c r="CR129" s="408">
        <f t="shared" si="202"/>
        <v>9.8794001010738692E-8</v>
      </c>
      <c r="CS129" s="408">
        <f t="shared" si="202"/>
        <v>9.8794001010738692E-8</v>
      </c>
      <c r="CT129" s="408">
        <f t="shared" si="202"/>
        <v>9.8794001010738692E-8</v>
      </c>
      <c r="CU129" s="408">
        <f t="shared" si="202"/>
        <v>9.8794001010738692E-8</v>
      </c>
      <c r="CV129" s="408">
        <f t="shared" si="202"/>
        <v>9.8794001010738692E-8</v>
      </c>
      <c r="CW129" s="408">
        <f t="shared" si="202"/>
        <v>9.8794001010738692E-8</v>
      </c>
      <c r="CX129" s="408">
        <f t="shared" si="202"/>
        <v>9.8794001010738692E-8</v>
      </c>
      <c r="CY129" s="408">
        <f t="shared" si="202"/>
        <v>9.8794001010738692E-8</v>
      </c>
      <c r="CZ129" s="408">
        <f t="shared" si="202"/>
        <v>9.8794001010738692E-8</v>
      </c>
      <c r="DA129" s="408">
        <f t="shared" si="202"/>
        <v>9.8794001010738692E-8</v>
      </c>
      <c r="DB129" s="408">
        <f t="shared" si="202"/>
        <v>9.8794001010738692E-8</v>
      </c>
      <c r="DC129" s="408">
        <f t="shared" si="202"/>
        <v>9.8794001010738692E-8</v>
      </c>
      <c r="DD129" s="408">
        <f t="shared" si="202"/>
        <v>9.8794001010738692E-8</v>
      </c>
      <c r="DE129" s="408">
        <f t="shared" si="202"/>
        <v>9.8794001010738692E-8</v>
      </c>
      <c r="DF129" s="408"/>
      <c r="DG129" s="408"/>
      <c r="DH129" s="408"/>
      <c r="DI129" s="408"/>
      <c r="DJ129" s="408"/>
      <c r="DK129" s="408"/>
      <c r="DL129" s="408"/>
    </row>
    <row r="130" spans="1:116" ht="15.75" customHeight="1" x14ac:dyDescent="0.25">
      <c r="A130" s="751"/>
      <c r="B130" s="751"/>
      <c r="C130" s="347" t="s">
        <v>271</v>
      </c>
      <c r="D130" s="348" t="s">
        <v>239</v>
      </c>
      <c r="E130" s="517" t="s">
        <v>272</v>
      </c>
      <c r="F130" s="349"/>
      <c r="G130" s="371">
        <f>SUM(H130:BT130)</f>
        <v>0.17615906374339091</v>
      </c>
      <c r="H130" s="518">
        <f>H129*'Unit Costs and Indicators'!$A$133*0.5</f>
        <v>2.710139442206013E-3</v>
      </c>
      <c r="I130" s="519">
        <f>I129*'Unit Costs and Indicators'!$A$133*0.5</f>
        <v>2.710139442206013E-3</v>
      </c>
      <c r="J130" s="519">
        <f>J129*'Unit Costs and Indicators'!$A$133*0.5</f>
        <v>2.710139442206013E-3</v>
      </c>
      <c r="K130" s="519">
        <f>K129*'Unit Costs and Indicators'!$A$133*0.5</f>
        <v>2.710139442206013E-3</v>
      </c>
      <c r="L130" s="519">
        <f>L129*'Unit Costs and Indicators'!$A$133*0.5</f>
        <v>2.710139442206013E-3</v>
      </c>
      <c r="M130" s="519">
        <f>M129*'Unit Costs and Indicators'!$A$133*0.5</f>
        <v>2.710139442206013E-3</v>
      </c>
      <c r="N130" s="519">
        <f>N129*'Unit Costs and Indicators'!$A$133*0.5</f>
        <v>2.710139442206013E-3</v>
      </c>
      <c r="O130" s="519">
        <f>O129*'Unit Costs and Indicators'!$A$133*0.5</f>
        <v>2.710139442206013E-3</v>
      </c>
      <c r="P130" s="519">
        <f>P129*'Unit Costs and Indicators'!$A$133*0.5</f>
        <v>2.710139442206013E-3</v>
      </c>
      <c r="Q130" s="519">
        <f>Q129*'Unit Costs and Indicators'!$A$133*0.5</f>
        <v>2.710139442206013E-3</v>
      </c>
      <c r="R130" s="519">
        <f>R129*'Unit Costs and Indicators'!$A$133*0.5</f>
        <v>2.710139442206013E-3</v>
      </c>
      <c r="S130" s="519">
        <f>S129*'Unit Costs and Indicators'!$A$133*0.5</f>
        <v>2.710139442206013E-3</v>
      </c>
      <c r="T130" s="519">
        <f>T129*'Unit Costs and Indicators'!$A$133*0.5</f>
        <v>2.710139442206013E-3</v>
      </c>
      <c r="U130" s="519">
        <f>U129*'Unit Costs and Indicators'!$A$133*0.5</f>
        <v>2.710139442206013E-3</v>
      </c>
      <c r="V130" s="519">
        <f>V129*'Unit Costs and Indicators'!$A$133*0.5</f>
        <v>2.710139442206013E-3</v>
      </c>
      <c r="W130" s="519">
        <f>W129*'Unit Costs and Indicators'!$A$133*0.5</f>
        <v>2.710139442206013E-3</v>
      </c>
      <c r="X130" s="519">
        <f>X129*'Unit Costs and Indicators'!$A$133*0.5</f>
        <v>2.710139442206013E-3</v>
      </c>
      <c r="Y130" s="519">
        <f>Y129*'Unit Costs and Indicators'!$A$133*0.5</f>
        <v>2.710139442206013E-3</v>
      </c>
      <c r="Z130" s="519">
        <f>Z129*'Unit Costs and Indicators'!$A$133*0.5</f>
        <v>2.710139442206013E-3</v>
      </c>
      <c r="AA130" s="519">
        <f>AA129*'Unit Costs and Indicators'!$A$133*0.5</f>
        <v>2.710139442206013E-3</v>
      </c>
      <c r="AB130" s="519">
        <f>AB129*'Unit Costs and Indicators'!$A$133*0.5</f>
        <v>2.710139442206013E-3</v>
      </c>
      <c r="AC130" s="519">
        <f>AC129*'Unit Costs and Indicators'!$A$133*0.5</f>
        <v>2.710139442206013E-3</v>
      </c>
      <c r="AD130" s="519">
        <f>AD129*'Unit Costs and Indicators'!$A$133*0.5</f>
        <v>2.710139442206013E-3</v>
      </c>
      <c r="AE130" s="519">
        <f>AE129*'Unit Costs and Indicators'!$A$133*0.5</f>
        <v>2.710139442206013E-3</v>
      </c>
      <c r="AF130" s="519">
        <f>AF129*'Unit Costs and Indicators'!$A$133*0.5</f>
        <v>2.710139442206013E-3</v>
      </c>
      <c r="AG130" s="519">
        <f>AG129*'Unit Costs and Indicators'!$A$133*0.5</f>
        <v>2.710139442206013E-3</v>
      </c>
      <c r="AH130" s="519">
        <f>AH129*'Unit Costs and Indicators'!$A$133*0.5</f>
        <v>2.710139442206013E-3</v>
      </c>
      <c r="AI130" s="519">
        <f>AI129*'Unit Costs and Indicators'!$A$133*0.5</f>
        <v>2.710139442206013E-3</v>
      </c>
      <c r="AJ130" s="519">
        <f>AJ129*'Unit Costs and Indicators'!$A$133*0.5</f>
        <v>2.710139442206013E-3</v>
      </c>
      <c r="AK130" s="519">
        <f>AK129*'Unit Costs and Indicators'!$A$133*0.5</f>
        <v>2.710139442206013E-3</v>
      </c>
      <c r="AL130" s="519">
        <f>AL129*'Unit Costs and Indicators'!$A$133*0.5</f>
        <v>2.710139442206013E-3</v>
      </c>
      <c r="AM130" s="519">
        <f>AM129*'Unit Costs and Indicators'!$A$133*0.5</f>
        <v>2.710139442206013E-3</v>
      </c>
      <c r="AN130" s="519">
        <f>AN129*'Unit Costs and Indicators'!$A$133*0.5</f>
        <v>2.710139442206013E-3</v>
      </c>
      <c r="AO130" s="519">
        <f>AO129*'Unit Costs and Indicators'!$A$133*0.5</f>
        <v>2.710139442206013E-3</v>
      </c>
      <c r="AP130" s="519">
        <f>AP129*'Unit Costs and Indicators'!$A$133*0.5</f>
        <v>2.710139442206013E-3</v>
      </c>
      <c r="AQ130" s="519">
        <f>AQ129*'Unit Costs and Indicators'!$A$133*0.5</f>
        <v>2.710139442206013E-3</v>
      </c>
      <c r="AR130" s="519">
        <f>AR129*'Unit Costs and Indicators'!$A$133*0.5</f>
        <v>2.710139442206013E-3</v>
      </c>
      <c r="AS130" s="519">
        <f>AS129*'Unit Costs and Indicators'!$A$133*0.5</f>
        <v>2.710139442206013E-3</v>
      </c>
      <c r="AT130" s="519">
        <f>AT129*'Unit Costs and Indicators'!$A$133*0.5</f>
        <v>2.710139442206013E-3</v>
      </c>
      <c r="AU130" s="519">
        <f>AU129*'Unit Costs and Indicators'!$A$133*0.5</f>
        <v>2.710139442206013E-3</v>
      </c>
      <c r="AV130" s="519">
        <f>AV129*'Unit Costs and Indicators'!$A$133*0.5</f>
        <v>2.710139442206013E-3</v>
      </c>
      <c r="AW130" s="519">
        <f>AW129*'Unit Costs and Indicators'!$A$133*0.5</f>
        <v>2.710139442206013E-3</v>
      </c>
      <c r="AX130" s="519">
        <f>AX129*'Unit Costs and Indicators'!$A$133*0.5</f>
        <v>2.710139442206013E-3</v>
      </c>
      <c r="AY130" s="519">
        <f>AY129*'Unit Costs and Indicators'!$A$133*0.5</f>
        <v>2.710139442206013E-3</v>
      </c>
      <c r="AZ130" s="519">
        <f>AZ129*'Unit Costs and Indicators'!$A$133*0.5</f>
        <v>2.710139442206013E-3</v>
      </c>
      <c r="BA130" s="519">
        <f>BA129*'Unit Costs and Indicators'!$A$133*0.5</f>
        <v>2.710139442206013E-3</v>
      </c>
      <c r="BB130" s="519">
        <f>BB129*'Unit Costs and Indicators'!$A$133*0.5</f>
        <v>2.710139442206013E-3</v>
      </c>
      <c r="BC130" s="519">
        <f>BC129*'Unit Costs and Indicators'!$A$133*0.5</f>
        <v>2.710139442206013E-3</v>
      </c>
      <c r="BD130" s="519">
        <f>BD129*'Unit Costs and Indicators'!$A$133*0.5</f>
        <v>2.710139442206013E-3</v>
      </c>
      <c r="BE130" s="519">
        <f>BE129*'Unit Costs and Indicators'!$A$133*0.5</f>
        <v>2.710139442206013E-3</v>
      </c>
      <c r="BF130" s="519">
        <f>BF129*'Unit Costs and Indicators'!$A$133*0.5</f>
        <v>2.710139442206013E-3</v>
      </c>
      <c r="BG130" s="519">
        <f>BG129*'Unit Costs and Indicators'!$A$133*0.5</f>
        <v>2.710139442206013E-3</v>
      </c>
      <c r="BH130" s="519">
        <f>BH129*'Unit Costs and Indicators'!$A$133*0.5</f>
        <v>2.710139442206013E-3</v>
      </c>
      <c r="BI130" s="519">
        <f>BI129*'Unit Costs and Indicators'!$A$133*0.5</f>
        <v>2.710139442206013E-3</v>
      </c>
      <c r="BJ130" s="519">
        <f>BJ129*'Unit Costs and Indicators'!$A$133*0.5</f>
        <v>2.710139442206013E-3</v>
      </c>
      <c r="BK130" s="519">
        <f>BK129*'Unit Costs and Indicators'!$A$133*0.5</f>
        <v>2.710139442206013E-3</v>
      </c>
      <c r="BL130" s="519">
        <f>BL129*'Unit Costs and Indicators'!$A$133*0.5</f>
        <v>2.710139442206013E-3</v>
      </c>
      <c r="BM130" s="519">
        <f>BM129*'Unit Costs and Indicators'!$A$133*0.5</f>
        <v>2.710139442206013E-3</v>
      </c>
      <c r="BN130" s="519">
        <f>BN129*'Unit Costs and Indicators'!$A$133*0.5</f>
        <v>2.710139442206013E-3</v>
      </c>
      <c r="BO130" s="519">
        <f>BO129*'Unit Costs and Indicators'!$A$133*0.5</f>
        <v>2.710139442206013E-3</v>
      </c>
      <c r="BP130" s="519">
        <f>BP129*'Unit Costs and Indicators'!$A$133*0.5</f>
        <v>2.710139442206013E-3</v>
      </c>
      <c r="BQ130" s="519">
        <f>BQ129*'Unit Costs and Indicators'!$A$133*0.5</f>
        <v>2.710139442206013E-3</v>
      </c>
      <c r="BR130" s="519">
        <f>BR129*'Unit Costs and Indicators'!$A$133*0.5</f>
        <v>2.710139442206013E-3</v>
      </c>
      <c r="BS130" s="519">
        <f>BS129*'Unit Costs and Indicators'!$A$133*0.5</f>
        <v>2.710139442206013E-3</v>
      </c>
      <c r="BT130" s="519">
        <f>BT129*'Unit Costs and Indicators'!$A$133*0.5</f>
        <v>2.710139442206013E-3</v>
      </c>
      <c r="BU130" s="519">
        <f>BU129*'Unit Costs and Indicators'!$A$133*0.5</f>
        <v>2.710139442206013E-3</v>
      </c>
      <c r="BV130" s="519">
        <f>BV129*'Unit Costs and Indicators'!$A$133*0.5</f>
        <v>2.710139442206013E-3</v>
      </c>
      <c r="BW130" s="519">
        <f>BW129*'Unit Costs and Indicators'!$A$133*0.5</f>
        <v>2.710139442206013E-3</v>
      </c>
      <c r="BX130" s="519">
        <f>BX129*'Unit Costs and Indicators'!$A$133*0.5</f>
        <v>2.710139442206013E-3</v>
      </c>
      <c r="BY130" s="519">
        <f>BY129*'Unit Costs and Indicators'!$A$133*0.5</f>
        <v>2.710139442206013E-3</v>
      </c>
      <c r="BZ130" s="519">
        <f>BZ129*'Unit Costs and Indicators'!$A$133*0.5</f>
        <v>2.710139442206013E-3</v>
      </c>
      <c r="CA130" s="519">
        <f>CA129*'Unit Costs and Indicators'!$A$133*0.5</f>
        <v>2.710139442206013E-3</v>
      </c>
      <c r="CB130" s="519">
        <f>CB129*'Unit Costs and Indicators'!$A$133*0.5</f>
        <v>2.710139442206013E-3</v>
      </c>
      <c r="CC130" s="519">
        <f>CC129*'Unit Costs and Indicators'!$A$133*0.5</f>
        <v>2.710139442206013E-3</v>
      </c>
      <c r="CD130" s="519">
        <f>CD129*'Unit Costs and Indicators'!$A$133*0.5</f>
        <v>2.710139442206013E-3</v>
      </c>
      <c r="CE130" s="519">
        <f>CE129*'Unit Costs and Indicators'!$A$133*0.5</f>
        <v>2.710139442206013E-3</v>
      </c>
      <c r="CF130" s="519">
        <f>CF129*'Unit Costs and Indicators'!$A$133*0.5</f>
        <v>2.710139442206013E-3</v>
      </c>
      <c r="CG130" s="519">
        <f>CG129*'Unit Costs and Indicators'!$A$133*0.5</f>
        <v>2.710139442206013E-3</v>
      </c>
      <c r="CH130" s="519">
        <f>CH129*'Unit Costs and Indicators'!$A$133*0.5</f>
        <v>2.710139442206013E-3</v>
      </c>
      <c r="CI130" s="519">
        <f>CI129*'Unit Costs and Indicators'!$A$133*0.5</f>
        <v>2.710139442206013E-3</v>
      </c>
      <c r="CJ130" s="519">
        <f>CJ129*'Unit Costs and Indicators'!$A$133*0.5</f>
        <v>2.710139442206013E-3</v>
      </c>
      <c r="CK130" s="519">
        <f>CK129*'Unit Costs and Indicators'!$A$133*0.5</f>
        <v>2.710139442206013E-3</v>
      </c>
      <c r="CL130" s="519">
        <f>CL129*'Unit Costs and Indicators'!$A$133*0.5</f>
        <v>2.710139442206013E-3</v>
      </c>
      <c r="CM130" s="519">
        <f>CM129*'Unit Costs and Indicators'!$A$133*0.5</f>
        <v>2.710139442206013E-3</v>
      </c>
      <c r="CN130" s="519">
        <f>CN129*'Unit Costs and Indicators'!$A$133*0.5</f>
        <v>2.710139442206013E-3</v>
      </c>
      <c r="CO130" s="519">
        <f>CO129*'Unit Costs and Indicators'!$A$133*0.5</f>
        <v>2.710139442206013E-3</v>
      </c>
      <c r="CP130" s="519">
        <f>CP129*'Unit Costs and Indicators'!$A$133*0.5</f>
        <v>2.710139442206013E-3</v>
      </c>
      <c r="CQ130" s="519">
        <f>CQ129*'Unit Costs and Indicators'!$A$133*0.5</f>
        <v>2.710139442206013E-3</v>
      </c>
      <c r="CR130" s="519">
        <f>CR129*'Unit Costs and Indicators'!$A$133*0.5</f>
        <v>2.710139442206013E-3</v>
      </c>
      <c r="CS130" s="519">
        <f>CS129*'Unit Costs and Indicators'!$A$133*0.5</f>
        <v>2.710139442206013E-3</v>
      </c>
      <c r="CT130" s="519">
        <f>CT129*'Unit Costs and Indicators'!$A$133*0.5</f>
        <v>2.710139442206013E-3</v>
      </c>
      <c r="CU130" s="519">
        <f>CU129*'Unit Costs and Indicators'!$A$133*0.5</f>
        <v>2.710139442206013E-3</v>
      </c>
      <c r="CV130" s="519">
        <f>CV129*'Unit Costs and Indicators'!$A$133*0.5</f>
        <v>2.710139442206013E-3</v>
      </c>
      <c r="CW130" s="519">
        <f>CW129*'Unit Costs and Indicators'!$A$133*0.5</f>
        <v>2.710139442206013E-3</v>
      </c>
      <c r="CX130" s="519">
        <f>CX129*'Unit Costs and Indicators'!$A$133*0.5</f>
        <v>2.710139442206013E-3</v>
      </c>
      <c r="CY130" s="519">
        <f>CY129*'Unit Costs and Indicators'!$A$133*0.5</f>
        <v>2.710139442206013E-3</v>
      </c>
      <c r="CZ130" s="519">
        <f>CZ129*'Unit Costs and Indicators'!$A$133*0.5</f>
        <v>2.710139442206013E-3</v>
      </c>
      <c r="DA130" s="519">
        <f>DA129*'Unit Costs and Indicators'!$A$133*0.5</f>
        <v>2.710139442206013E-3</v>
      </c>
      <c r="DB130" s="519">
        <f>DB129*'Unit Costs and Indicators'!$A$133*0.5</f>
        <v>2.710139442206013E-3</v>
      </c>
      <c r="DC130" s="519">
        <f>DC129*'Unit Costs and Indicators'!$A$133*0.5</f>
        <v>2.710139442206013E-3</v>
      </c>
      <c r="DD130" s="519">
        <f>DD129*'Unit Costs and Indicators'!$A$133*0.5</f>
        <v>2.710139442206013E-3</v>
      </c>
      <c r="DE130" s="519">
        <f>DE129*'Unit Costs and Indicators'!$A$133*0.5</f>
        <v>2.710139442206013E-3</v>
      </c>
      <c r="DF130" s="520"/>
      <c r="DG130" s="520"/>
      <c r="DH130" s="520"/>
      <c r="DI130" s="520"/>
      <c r="DJ130" s="520"/>
      <c r="DK130" s="520"/>
      <c r="DL130" s="520"/>
    </row>
    <row r="131" spans="1:116" ht="15.75" customHeight="1" x14ac:dyDescent="0.25">
      <c r="A131" s="751"/>
      <c r="B131" s="751"/>
      <c r="C131" s="374" t="s">
        <v>273</v>
      </c>
      <c r="D131" s="279"/>
      <c r="E131" s="280"/>
      <c r="F131" s="280"/>
      <c r="G131" s="310"/>
      <c r="H131" s="286">
        <v>170</v>
      </c>
      <c r="I131" s="287">
        <f>H131*(1+'Unit Costs and Indicators'!C260)</f>
        <v>170</v>
      </c>
      <c r="J131" s="287">
        <f>I131*(1+'Unit Costs and Indicators'!D260)</f>
        <v>170</v>
      </c>
      <c r="K131" s="287">
        <f>J131*(1+'Unit Costs and Indicators'!E260)</f>
        <v>170</v>
      </c>
      <c r="L131" s="287">
        <f>K131*(1+'Unit Costs and Indicators'!F260)</f>
        <v>170</v>
      </c>
      <c r="M131" s="287">
        <f>L131*(1+'Unit Costs and Indicators'!G260)</f>
        <v>170</v>
      </c>
      <c r="N131" s="287">
        <f>M131*(1+'Unit Costs and Indicators'!H260)</f>
        <v>170</v>
      </c>
      <c r="O131" s="287">
        <f>N131*(1+'Unit Costs and Indicators'!I260)</f>
        <v>170</v>
      </c>
      <c r="P131" s="287">
        <f>O131*(1+'Unit Costs and Indicators'!J260)</f>
        <v>170</v>
      </c>
      <c r="Q131" s="287">
        <f>P131*(1+'Unit Costs and Indicators'!K260)</f>
        <v>170</v>
      </c>
      <c r="R131" s="287">
        <f>Q131*(1+'Unit Costs and Indicators'!L260)</f>
        <v>170</v>
      </c>
      <c r="S131" s="287">
        <f>R131*(1+'Unit Costs and Indicators'!M260)</f>
        <v>170</v>
      </c>
      <c r="T131" s="287">
        <f>S131*(1+'Unit Costs and Indicators'!N260)</f>
        <v>170</v>
      </c>
      <c r="U131" s="287">
        <f>T131*(1+'Unit Costs and Indicators'!O260)</f>
        <v>170</v>
      </c>
      <c r="V131" s="287">
        <f>U131*(1+'Unit Costs and Indicators'!P260)</f>
        <v>170</v>
      </c>
      <c r="W131" s="287">
        <f>V131*(1+'Unit Costs and Indicators'!Q260)</f>
        <v>170</v>
      </c>
      <c r="X131" s="287">
        <f>W131*(1+'Unit Costs and Indicators'!R260)</f>
        <v>170</v>
      </c>
      <c r="Y131" s="287">
        <f>X131*(1+'Unit Costs and Indicators'!S260)</f>
        <v>170</v>
      </c>
      <c r="Z131" s="287">
        <f>Y131*(1+'Unit Costs and Indicators'!T260)</f>
        <v>170</v>
      </c>
      <c r="AA131" s="287">
        <f>Z131*(1+'Unit Costs and Indicators'!U260)</f>
        <v>170</v>
      </c>
      <c r="AB131" s="287">
        <f>AA131*(1+'Unit Costs and Indicators'!V260)</f>
        <v>170</v>
      </c>
      <c r="AC131" s="287">
        <f>AB131*(1+'Unit Costs and Indicators'!W260)</f>
        <v>170</v>
      </c>
      <c r="AD131" s="287">
        <f>AC131*(1+'Unit Costs and Indicators'!X260)</f>
        <v>170</v>
      </c>
      <c r="AE131" s="287">
        <f>AD131*(1+'Unit Costs and Indicators'!Y260)</f>
        <v>170</v>
      </c>
      <c r="AF131" s="287">
        <f>AE131*(1+'Unit Costs and Indicators'!Z260)</f>
        <v>170</v>
      </c>
      <c r="AG131" s="287">
        <f>AF131*(1+'Unit Costs and Indicators'!AA260)</f>
        <v>170</v>
      </c>
      <c r="AH131" s="287">
        <f>AG131*(1+'Unit Costs and Indicators'!AB260)</f>
        <v>170</v>
      </c>
      <c r="AI131" s="287">
        <f>AH131*(1+'Unit Costs and Indicators'!AC260)</f>
        <v>170</v>
      </c>
      <c r="AJ131" s="287">
        <f>AI131*(1+'Unit Costs and Indicators'!AD260)</f>
        <v>170</v>
      </c>
      <c r="AK131" s="287">
        <f>AJ131*(1+'Unit Costs and Indicators'!AE260)</f>
        <v>170</v>
      </c>
      <c r="AL131" s="287">
        <f>AK131*(1+'Unit Costs and Indicators'!AF260)</f>
        <v>170</v>
      </c>
      <c r="AM131" s="287">
        <f>AL131*(1+'Unit Costs and Indicators'!AG260)</f>
        <v>170</v>
      </c>
      <c r="AN131" s="287">
        <f>AM131*(1+'Unit Costs and Indicators'!AH260)</f>
        <v>170</v>
      </c>
      <c r="AO131" s="287">
        <f>AN131*(1+'Unit Costs and Indicators'!AI260)</f>
        <v>170</v>
      </c>
      <c r="AP131" s="287">
        <f>AO131*(1+'Unit Costs and Indicators'!AJ260)</f>
        <v>170</v>
      </c>
      <c r="AQ131" s="287">
        <f>AP131*(1+'Unit Costs and Indicators'!AK260)</f>
        <v>170</v>
      </c>
      <c r="AR131" s="287">
        <f>AQ131*(1+'Unit Costs and Indicators'!AL260)</f>
        <v>170</v>
      </c>
      <c r="AS131" s="287">
        <f>AR131*(1+'Unit Costs and Indicators'!AM260)</f>
        <v>170</v>
      </c>
      <c r="AT131" s="287">
        <f>AS131*(1+'Unit Costs and Indicators'!AN260)</f>
        <v>170</v>
      </c>
      <c r="AU131" s="287">
        <f>AT131*(1+'Unit Costs and Indicators'!AO260)</f>
        <v>170</v>
      </c>
      <c r="AV131" s="287">
        <f>AU131*(1+'Unit Costs and Indicators'!AP260)</f>
        <v>170</v>
      </c>
      <c r="AW131" s="287">
        <f>AV131*(1+'Unit Costs and Indicators'!AQ260)</f>
        <v>170</v>
      </c>
      <c r="AX131" s="287">
        <f>AW131*(1+'Unit Costs and Indicators'!AR260)</f>
        <v>170</v>
      </c>
      <c r="AY131" s="287">
        <f>AX131*(1+'Unit Costs and Indicators'!AS260)</f>
        <v>170</v>
      </c>
      <c r="AZ131" s="287">
        <f>AY131*(1+'Unit Costs and Indicators'!AT260)</f>
        <v>170</v>
      </c>
      <c r="BA131" s="287">
        <f>AZ131*(1+'Unit Costs and Indicators'!AU260)</f>
        <v>170</v>
      </c>
      <c r="BB131" s="287">
        <f>BA131*(1+'Unit Costs and Indicators'!AV260)</f>
        <v>170</v>
      </c>
      <c r="BC131" s="287">
        <f>BB131*(1+'Unit Costs and Indicators'!AW260)</f>
        <v>170</v>
      </c>
      <c r="BD131" s="287">
        <f>BC131*(1+'Unit Costs and Indicators'!AX260)</f>
        <v>170</v>
      </c>
      <c r="BE131" s="287">
        <f>BD131*(1+'Unit Costs and Indicators'!AY260)</f>
        <v>170</v>
      </c>
      <c r="BF131" s="287">
        <f>BE131*(1+'Unit Costs and Indicators'!AZ260)</f>
        <v>170</v>
      </c>
      <c r="BG131" s="287">
        <f>BF131*(1+'Unit Costs and Indicators'!BA260)</f>
        <v>170</v>
      </c>
      <c r="BH131" s="287">
        <f>BG131*(1+'Unit Costs and Indicators'!BB260)</f>
        <v>170</v>
      </c>
      <c r="BI131" s="287">
        <f>BH131*(1+'Unit Costs and Indicators'!BC260)</f>
        <v>170</v>
      </c>
      <c r="BJ131" s="287">
        <f>BI131*(1+'Unit Costs and Indicators'!BD260)</f>
        <v>170</v>
      </c>
      <c r="BK131" s="287">
        <f>BJ131*(1+'Unit Costs and Indicators'!BE260)</f>
        <v>170</v>
      </c>
      <c r="BL131" s="287">
        <f>BK131*(1+'Unit Costs and Indicators'!BF260)</f>
        <v>170</v>
      </c>
      <c r="BM131" s="287">
        <f>BL131*(1+'Unit Costs and Indicators'!BG260)</f>
        <v>170</v>
      </c>
      <c r="BN131" s="287">
        <f>BM131*(1+'Unit Costs and Indicators'!BH260)</f>
        <v>170</v>
      </c>
      <c r="BO131" s="287">
        <f>BN131*(1+'Unit Costs and Indicators'!BI260)</f>
        <v>170</v>
      </c>
      <c r="BP131" s="287">
        <f>BO131*(1+'Unit Costs and Indicators'!BJ260)</f>
        <v>170</v>
      </c>
      <c r="BQ131" s="287">
        <f>BP131*(1+'Unit Costs and Indicators'!BK260)</f>
        <v>170</v>
      </c>
      <c r="BR131" s="287">
        <f>BQ131*(1+'Unit Costs and Indicators'!BL260)</f>
        <v>170</v>
      </c>
      <c r="BS131" s="287">
        <f>BR131*(1+'Unit Costs and Indicators'!BM260)</f>
        <v>170</v>
      </c>
      <c r="BT131" s="287">
        <f>BS131*(1+'Unit Costs and Indicators'!BN260)</f>
        <v>170</v>
      </c>
      <c r="BU131" s="287">
        <f>BT131*(1+'Unit Costs and Indicators'!BO260)</f>
        <v>170</v>
      </c>
      <c r="BV131" s="287">
        <f>BU131*(1+'Unit Costs and Indicators'!BP260)</f>
        <v>170</v>
      </c>
      <c r="BW131" s="287">
        <f>BV131*(1+'Unit Costs and Indicators'!BQ260)</f>
        <v>170</v>
      </c>
      <c r="BX131" s="287">
        <f>BW131*(1+'Unit Costs and Indicators'!BR260)</f>
        <v>170</v>
      </c>
      <c r="BY131" s="287">
        <f>BX131*(1+'Unit Costs and Indicators'!BS260)</f>
        <v>170</v>
      </c>
      <c r="BZ131" s="287">
        <f>BY131*(1+'Unit Costs and Indicators'!BT260)</f>
        <v>170</v>
      </c>
      <c r="CA131" s="287">
        <f>BZ131*(1+'Unit Costs and Indicators'!BU260)</f>
        <v>170</v>
      </c>
      <c r="CB131" s="287">
        <f>CA131*(1+'Unit Costs and Indicators'!BV260)</f>
        <v>170</v>
      </c>
      <c r="CC131" s="287">
        <f>CB131*(1+'Unit Costs and Indicators'!BW260)</f>
        <v>170</v>
      </c>
      <c r="CD131" s="287">
        <f>CC131*(1+'Unit Costs and Indicators'!BX260)</f>
        <v>170</v>
      </c>
      <c r="CE131" s="287">
        <f>CD131*(1+'Unit Costs and Indicators'!BY260)</f>
        <v>170</v>
      </c>
      <c r="CF131" s="287">
        <f>CE131*(1+'Unit Costs and Indicators'!BZ260)</f>
        <v>170</v>
      </c>
      <c r="CG131" s="287">
        <f>CF131*(1+'Unit Costs and Indicators'!CA260)</f>
        <v>170</v>
      </c>
      <c r="CH131" s="287">
        <f>CG131*(1+'Unit Costs and Indicators'!CB260)</f>
        <v>170</v>
      </c>
      <c r="CI131" s="287">
        <f>CH131*(1+'Unit Costs and Indicators'!CC260)</f>
        <v>170</v>
      </c>
      <c r="CJ131" s="287">
        <f>CI131*(1+'Unit Costs and Indicators'!CD260)</f>
        <v>170</v>
      </c>
      <c r="CK131" s="287">
        <f>CJ131*(1+'Unit Costs and Indicators'!CE260)</f>
        <v>170</v>
      </c>
      <c r="CL131" s="287">
        <f>CK131*(1+'Unit Costs and Indicators'!CF260)</f>
        <v>170</v>
      </c>
      <c r="CM131" s="287">
        <f>CL131*(1+'Unit Costs and Indicators'!CG260)</f>
        <v>170</v>
      </c>
      <c r="CN131" s="287">
        <f>CM131*(1+'Unit Costs and Indicators'!CH260)</f>
        <v>170</v>
      </c>
      <c r="CO131" s="287">
        <f>CN131*(1+'Unit Costs and Indicators'!CI260)</f>
        <v>170</v>
      </c>
      <c r="CP131" s="287">
        <f>CO131*(1+'Unit Costs and Indicators'!CJ260)</f>
        <v>170</v>
      </c>
      <c r="CQ131" s="287">
        <f>CP131*(1+'Unit Costs and Indicators'!CK260)</f>
        <v>170</v>
      </c>
      <c r="CR131" s="287">
        <f>CQ131*(1+'Unit Costs and Indicators'!CL260)</f>
        <v>170</v>
      </c>
      <c r="CS131" s="287">
        <f>CR131*(1+'Unit Costs and Indicators'!CM260)</f>
        <v>170</v>
      </c>
      <c r="CT131" s="287">
        <f>CS131*(1+'Unit Costs and Indicators'!CN260)</f>
        <v>170</v>
      </c>
      <c r="CU131" s="287">
        <f>CT131*(1+'Unit Costs and Indicators'!CO260)</f>
        <v>170</v>
      </c>
      <c r="CV131" s="287">
        <f>CU131*(1+'Unit Costs and Indicators'!CP260)</f>
        <v>170</v>
      </c>
      <c r="CW131" s="287">
        <f>CV131*(1+'Unit Costs and Indicators'!CQ260)</f>
        <v>170</v>
      </c>
      <c r="CX131" s="287">
        <f>CW131*(1+'Unit Costs and Indicators'!CR260)</f>
        <v>170</v>
      </c>
      <c r="CY131" s="287">
        <f>CX131*(1+'Unit Costs and Indicators'!CS260)</f>
        <v>170</v>
      </c>
      <c r="CZ131" s="287">
        <f>CY131*(1+'Unit Costs and Indicators'!CT260)</f>
        <v>170</v>
      </c>
      <c r="DA131" s="287">
        <f>CZ131*(1+'Unit Costs and Indicators'!CU260)</f>
        <v>170</v>
      </c>
      <c r="DB131" s="287">
        <f>DA131*(1+'Unit Costs and Indicators'!CV260)</f>
        <v>170</v>
      </c>
      <c r="DC131" s="287">
        <f>DB131*(1+'Unit Costs and Indicators'!CW260)</f>
        <v>170</v>
      </c>
      <c r="DD131" s="287">
        <f>DC131*(1+'Unit Costs and Indicators'!CX260)</f>
        <v>170</v>
      </c>
      <c r="DE131" s="287">
        <f>DD131*(1+'Unit Costs and Indicators'!CY260)</f>
        <v>170</v>
      </c>
      <c r="DF131" s="312"/>
      <c r="DG131" s="312"/>
      <c r="DH131" s="312"/>
      <c r="DI131" s="312"/>
      <c r="DJ131" s="312"/>
      <c r="DK131" s="312"/>
      <c r="DL131" s="312"/>
    </row>
    <row r="132" spans="1:116" ht="15.75" customHeight="1" x14ac:dyDescent="0.25">
      <c r="A132" s="751"/>
      <c r="B132" s="751"/>
      <c r="C132" s="374" t="s">
        <v>274</v>
      </c>
      <c r="D132" s="279"/>
      <c r="E132" s="280"/>
      <c r="F132" s="280"/>
      <c r="G132" s="310"/>
      <c r="H132" s="313">
        <f>((3.49/100)*'Unit Costs and Indicators'!$A$133)*H131</f>
        <v>325510.80320880003</v>
      </c>
      <c r="I132" s="296">
        <f>((3.49/100)*'Unit Costs and Indicators'!$A$133)*I131</f>
        <v>325510.80320880003</v>
      </c>
      <c r="J132" s="296">
        <f>((3.49/100)*'Unit Costs and Indicators'!$A$133)*J131</f>
        <v>325510.80320880003</v>
      </c>
      <c r="K132" s="296">
        <f>((3.49/100)*'Unit Costs and Indicators'!$A$133)*K131</f>
        <v>325510.80320880003</v>
      </c>
      <c r="L132" s="296">
        <f>((3.49/100)*'Unit Costs and Indicators'!$A$133)*L131</f>
        <v>325510.80320880003</v>
      </c>
      <c r="M132" s="296">
        <f>((3.49/100)*'Unit Costs and Indicators'!$A$133)*M131</f>
        <v>325510.80320880003</v>
      </c>
      <c r="N132" s="296">
        <f>((3.49/100)*'Unit Costs and Indicators'!$A$133)*N131</f>
        <v>325510.80320880003</v>
      </c>
      <c r="O132" s="296">
        <f>((3.49/100)*'Unit Costs and Indicators'!$A$133)*O131</f>
        <v>325510.80320880003</v>
      </c>
      <c r="P132" s="296">
        <f>((3.49/100)*'Unit Costs and Indicators'!$A$133)*P131</f>
        <v>325510.80320880003</v>
      </c>
      <c r="Q132" s="296">
        <f>((3.49/100)*'Unit Costs and Indicators'!$A$133)*Q131</f>
        <v>325510.80320880003</v>
      </c>
      <c r="R132" s="296">
        <f>((3.49/100)*'Unit Costs and Indicators'!$A$133)*R131</f>
        <v>325510.80320880003</v>
      </c>
      <c r="S132" s="296">
        <f>((3.49/100)*'Unit Costs and Indicators'!$A$133)*S131</f>
        <v>325510.80320880003</v>
      </c>
      <c r="T132" s="296">
        <f>((3.49/100)*'Unit Costs and Indicators'!$A$133)*T131</f>
        <v>325510.80320880003</v>
      </c>
      <c r="U132" s="296">
        <f>((3.49/100)*'Unit Costs and Indicators'!$A$133)*U131</f>
        <v>325510.80320880003</v>
      </c>
      <c r="V132" s="296">
        <f>((3.49/100)*'Unit Costs and Indicators'!$A$133)*V131</f>
        <v>325510.80320880003</v>
      </c>
      <c r="W132" s="296">
        <f>((3.49/100)*'Unit Costs and Indicators'!$A$133)*W131</f>
        <v>325510.80320880003</v>
      </c>
      <c r="X132" s="296">
        <f>((3.49/100)*'Unit Costs and Indicators'!$A$133)*X131</f>
        <v>325510.80320880003</v>
      </c>
      <c r="Y132" s="296">
        <f>((3.49/100)*'Unit Costs and Indicators'!$A$133)*Y131</f>
        <v>325510.80320880003</v>
      </c>
      <c r="Z132" s="296">
        <f>((3.49/100)*'Unit Costs and Indicators'!$A$133)*Z131</f>
        <v>325510.80320880003</v>
      </c>
      <c r="AA132" s="296">
        <f>((3.49/100)*'Unit Costs and Indicators'!$A$133)*AA131</f>
        <v>325510.80320880003</v>
      </c>
      <c r="AB132" s="296">
        <f>((3.49/100)*'Unit Costs and Indicators'!$A$133)*AB131</f>
        <v>325510.80320880003</v>
      </c>
      <c r="AC132" s="296">
        <f>((3.49/100)*'Unit Costs and Indicators'!$A$133)*AC131</f>
        <v>325510.80320880003</v>
      </c>
      <c r="AD132" s="296">
        <f>((3.49/100)*'Unit Costs and Indicators'!$A$133)*AD131</f>
        <v>325510.80320880003</v>
      </c>
      <c r="AE132" s="296">
        <f>((3.49/100)*'Unit Costs and Indicators'!$A$133)*AE131</f>
        <v>325510.80320880003</v>
      </c>
      <c r="AF132" s="296">
        <f>((3.49/100)*'Unit Costs and Indicators'!$A$133)*AF131</f>
        <v>325510.80320880003</v>
      </c>
      <c r="AG132" s="296">
        <f>((3.49/100)*'Unit Costs and Indicators'!$A$133)*AG131</f>
        <v>325510.80320880003</v>
      </c>
      <c r="AH132" s="296">
        <f>((3.49/100)*'Unit Costs and Indicators'!$A$133)*AH131</f>
        <v>325510.80320880003</v>
      </c>
      <c r="AI132" s="296">
        <f>((3.49/100)*'Unit Costs and Indicators'!$A$133)*AI131</f>
        <v>325510.80320880003</v>
      </c>
      <c r="AJ132" s="296">
        <f>((3.49/100)*'Unit Costs and Indicators'!$A$133)*AJ131</f>
        <v>325510.80320880003</v>
      </c>
      <c r="AK132" s="296">
        <f>((3.49/100)*'Unit Costs and Indicators'!$A$133)*AK131</f>
        <v>325510.80320880003</v>
      </c>
      <c r="AL132" s="296">
        <f>((3.49/100)*'Unit Costs and Indicators'!$A$133)*AL131</f>
        <v>325510.80320880003</v>
      </c>
      <c r="AM132" s="296">
        <f>((3.49/100)*'Unit Costs and Indicators'!$A$133)*AM131</f>
        <v>325510.80320880003</v>
      </c>
      <c r="AN132" s="296">
        <f>((3.49/100)*'Unit Costs and Indicators'!$A$133)*AN131</f>
        <v>325510.80320880003</v>
      </c>
      <c r="AO132" s="296">
        <f>((3.49/100)*'Unit Costs and Indicators'!$A$133)*AO131</f>
        <v>325510.80320880003</v>
      </c>
      <c r="AP132" s="296">
        <f>((3.49/100)*'Unit Costs and Indicators'!$A$133)*AP131</f>
        <v>325510.80320880003</v>
      </c>
      <c r="AQ132" s="296">
        <f>((3.49/100)*'Unit Costs and Indicators'!$A$133)*AQ131</f>
        <v>325510.80320880003</v>
      </c>
      <c r="AR132" s="296">
        <f>((3.49/100)*'Unit Costs and Indicators'!$A$133)*AR131</f>
        <v>325510.80320880003</v>
      </c>
      <c r="AS132" s="296">
        <f>((3.49/100)*'Unit Costs and Indicators'!$A$133)*AS131</f>
        <v>325510.80320880003</v>
      </c>
      <c r="AT132" s="296">
        <f>((3.49/100)*'Unit Costs and Indicators'!$A$133)*AT131</f>
        <v>325510.80320880003</v>
      </c>
      <c r="AU132" s="296">
        <f>((3.49/100)*'Unit Costs and Indicators'!$A$133)*AU131</f>
        <v>325510.80320880003</v>
      </c>
      <c r="AV132" s="296">
        <f>((3.49/100)*'Unit Costs and Indicators'!$A$133)*AV131</f>
        <v>325510.80320880003</v>
      </c>
      <c r="AW132" s="296">
        <f>((3.49/100)*'Unit Costs and Indicators'!$A$133)*AW131</f>
        <v>325510.80320880003</v>
      </c>
      <c r="AX132" s="296">
        <f>((3.49/100)*'Unit Costs and Indicators'!$A$133)*AX131</f>
        <v>325510.80320880003</v>
      </c>
      <c r="AY132" s="296">
        <f>((3.49/100)*'Unit Costs and Indicators'!$A$133)*AY131</f>
        <v>325510.80320880003</v>
      </c>
      <c r="AZ132" s="296">
        <f>((3.49/100)*'Unit Costs and Indicators'!$A$133)*AZ131</f>
        <v>325510.80320880003</v>
      </c>
      <c r="BA132" s="296">
        <f>((3.49/100)*'Unit Costs and Indicators'!$A$133)*BA131</f>
        <v>325510.80320880003</v>
      </c>
      <c r="BB132" s="296">
        <f>((3.49/100)*'Unit Costs and Indicators'!$A$133)*BB131</f>
        <v>325510.80320880003</v>
      </c>
      <c r="BC132" s="296">
        <f>((3.49/100)*'Unit Costs and Indicators'!$A$133)*BC131</f>
        <v>325510.80320880003</v>
      </c>
      <c r="BD132" s="296">
        <f>((3.49/100)*'Unit Costs and Indicators'!$A$133)*BD131</f>
        <v>325510.80320880003</v>
      </c>
      <c r="BE132" s="296">
        <f>((3.49/100)*'Unit Costs and Indicators'!$A$133)*BE131</f>
        <v>325510.80320880003</v>
      </c>
      <c r="BF132" s="296">
        <f>((3.49/100)*'Unit Costs and Indicators'!$A$133)*BF131</f>
        <v>325510.80320880003</v>
      </c>
      <c r="BG132" s="296">
        <f>((3.49/100)*'Unit Costs and Indicators'!$A$133)*BG131</f>
        <v>325510.80320880003</v>
      </c>
      <c r="BH132" s="296">
        <f>((3.49/100)*'Unit Costs and Indicators'!$A$133)*BH131</f>
        <v>325510.80320880003</v>
      </c>
      <c r="BI132" s="296">
        <f>((3.49/100)*'Unit Costs and Indicators'!$A$133)*BI131</f>
        <v>325510.80320880003</v>
      </c>
      <c r="BJ132" s="296">
        <f>((3.49/100)*'Unit Costs and Indicators'!$A$133)*BJ131</f>
        <v>325510.80320880003</v>
      </c>
      <c r="BK132" s="296">
        <f>((3.49/100)*'Unit Costs and Indicators'!$A$133)*BK131</f>
        <v>325510.80320880003</v>
      </c>
      <c r="BL132" s="296">
        <f>((3.49/100)*'Unit Costs and Indicators'!$A$133)*BL131</f>
        <v>325510.80320880003</v>
      </c>
      <c r="BM132" s="296">
        <f>((3.49/100)*'Unit Costs and Indicators'!$A$133)*BM131</f>
        <v>325510.80320880003</v>
      </c>
      <c r="BN132" s="296">
        <f>((3.49/100)*'Unit Costs and Indicators'!$A$133)*BN131</f>
        <v>325510.80320880003</v>
      </c>
      <c r="BO132" s="296">
        <f>((3.49/100)*'Unit Costs and Indicators'!$A$133)*BO131</f>
        <v>325510.80320880003</v>
      </c>
      <c r="BP132" s="296">
        <f>((3.49/100)*'Unit Costs and Indicators'!$A$133)*BP131</f>
        <v>325510.80320880003</v>
      </c>
      <c r="BQ132" s="296">
        <f>((3.49/100)*'Unit Costs and Indicators'!$A$133)*BQ131</f>
        <v>325510.80320880003</v>
      </c>
      <c r="BR132" s="296">
        <f>((3.49/100)*'Unit Costs and Indicators'!$A$133)*BR131</f>
        <v>325510.80320880003</v>
      </c>
      <c r="BS132" s="296">
        <f>((3.49/100)*'Unit Costs and Indicators'!$A$133)*BS131</f>
        <v>325510.80320880003</v>
      </c>
      <c r="BT132" s="296">
        <f>((3.49/100)*'Unit Costs and Indicators'!$A$133)*BT131</f>
        <v>325510.80320880003</v>
      </c>
      <c r="BU132" s="296">
        <f>((3.49/100)*'Unit Costs and Indicators'!$A$133)*BU131</f>
        <v>325510.80320880003</v>
      </c>
      <c r="BV132" s="296">
        <f>((3.49/100)*'Unit Costs and Indicators'!$A$133)*BV131</f>
        <v>325510.80320880003</v>
      </c>
      <c r="BW132" s="296">
        <f>((3.49/100)*'Unit Costs and Indicators'!$A$133)*BW131</f>
        <v>325510.80320880003</v>
      </c>
      <c r="BX132" s="296">
        <f>((3.49/100)*'Unit Costs and Indicators'!$A$133)*BX131</f>
        <v>325510.80320880003</v>
      </c>
      <c r="BY132" s="296">
        <f>((3.49/100)*'Unit Costs and Indicators'!$A$133)*BY131</f>
        <v>325510.80320880003</v>
      </c>
      <c r="BZ132" s="296">
        <f>((3.49/100)*'Unit Costs and Indicators'!$A$133)*BZ131</f>
        <v>325510.80320880003</v>
      </c>
      <c r="CA132" s="296">
        <f>((3.49/100)*'Unit Costs and Indicators'!$A$133)*CA131</f>
        <v>325510.80320880003</v>
      </c>
      <c r="CB132" s="296">
        <f>((3.49/100)*'Unit Costs and Indicators'!$A$133)*CB131</f>
        <v>325510.80320880003</v>
      </c>
      <c r="CC132" s="296">
        <f>((3.49/100)*'Unit Costs and Indicators'!$A$133)*CC131</f>
        <v>325510.80320880003</v>
      </c>
      <c r="CD132" s="296">
        <f>((3.49/100)*'Unit Costs and Indicators'!$A$133)*CD131</f>
        <v>325510.80320880003</v>
      </c>
      <c r="CE132" s="296">
        <f>((3.49/100)*'Unit Costs and Indicators'!$A$133)*CE131</f>
        <v>325510.80320880003</v>
      </c>
      <c r="CF132" s="296">
        <f>((3.49/100)*'Unit Costs and Indicators'!$A$133)*CF131</f>
        <v>325510.80320880003</v>
      </c>
      <c r="CG132" s="296">
        <f>((3.49/100)*'Unit Costs and Indicators'!$A$133)*CG131</f>
        <v>325510.80320880003</v>
      </c>
      <c r="CH132" s="296">
        <f>((3.49/100)*'Unit Costs and Indicators'!$A$133)*CH131</f>
        <v>325510.80320880003</v>
      </c>
      <c r="CI132" s="296">
        <f>((3.49/100)*'Unit Costs and Indicators'!$A$133)*CI131</f>
        <v>325510.80320880003</v>
      </c>
      <c r="CJ132" s="296">
        <f>((3.49/100)*'Unit Costs and Indicators'!$A$133)*CJ131</f>
        <v>325510.80320880003</v>
      </c>
      <c r="CK132" s="296">
        <f>((3.49/100)*'Unit Costs and Indicators'!$A$133)*CK131</f>
        <v>325510.80320880003</v>
      </c>
      <c r="CL132" s="296">
        <f>((3.49/100)*'Unit Costs and Indicators'!$A$133)*CL131</f>
        <v>325510.80320880003</v>
      </c>
      <c r="CM132" s="296">
        <f>((3.49/100)*'Unit Costs and Indicators'!$A$133)*CM131</f>
        <v>325510.80320880003</v>
      </c>
      <c r="CN132" s="296">
        <f>((3.49/100)*'Unit Costs and Indicators'!$A$133)*CN131</f>
        <v>325510.80320880003</v>
      </c>
      <c r="CO132" s="296">
        <f>((3.49/100)*'Unit Costs and Indicators'!$A$133)*CO131</f>
        <v>325510.80320880003</v>
      </c>
      <c r="CP132" s="296">
        <f>((3.49/100)*'Unit Costs and Indicators'!$A$133)*CP131</f>
        <v>325510.80320880003</v>
      </c>
      <c r="CQ132" s="296">
        <f>((3.49/100)*'Unit Costs and Indicators'!$A$133)*CQ131</f>
        <v>325510.80320880003</v>
      </c>
      <c r="CR132" s="296">
        <f>((3.49/100)*'Unit Costs and Indicators'!$A$133)*CR131</f>
        <v>325510.80320880003</v>
      </c>
      <c r="CS132" s="296">
        <f>((3.49/100)*'Unit Costs and Indicators'!$A$133)*CS131</f>
        <v>325510.80320880003</v>
      </c>
      <c r="CT132" s="296">
        <f>((3.49/100)*'Unit Costs and Indicators'!$A$133)*CT131</f>
        <v>325510.80320880003</v>
      </c>
      <c r="CU132" s="296">
        <f>((3.49/100)*'Unit Costs and Indicators'!$A$133)*CU131</f>
        <v>325510.80320880003</v>
      </c>
      <c r="CV132" s="296">
        <f>((3.49/100)*'Unit Costs and Indicators'!$A$133)*CV131</f>
        <v>325510.80320880003</v>
      </c>
      <c r="CW132" s="296">
        <f>((3.49/100)*'Unit Costs and Indicators'!$A$133)*CW131</f>
        <v>325510.80320880003</v>
      </c>
      <c r="CX132" s="296">
        <f>((3.49/100)*'Unit Costs and Indicators'!$A$133)*CX131</f>
        <v>325510.80320880003</v>
      </c>
      <c r="CY132" s="296">
        <f>((3.49/100)*'Unit Costs and Indicators'!$A$133)*CY131</f>
        <v>325510.80320880003</v>
      </c>
      <c r="CZ132" s="296">
        <f>((3.49/100)*'Unit Costs and Indicators'!$A$133)*CZ131</f>
        <v>325510.80320880003</v>
      </c>
      <c r="DA132" s="296">
        <f>((3.49/100)*'Unit Costs and Indicators'!$A$133)*DA131</f>
        <v>325510.80320880003</v>
      </c>
      <c r="DB132" s="296">
        <f>((3.49/100)*'Unit Costs and Indicators'!$A$133)*DB131</f>
        <v>325510.80320880003</v>
      </c>
      <c r="DC132" s="296">
        <f>((3.49/100)*'Unit Costs and Indicators'!$A$133)*DC131</f>
        <v>325510.80320880003</v>
      </c>
      <c r="DD132" s="296">
        <f>((3.49/100)*'Unit Costs and Indicators'!$A$133)*DD131</f>
        <v>325510.80320880003</v>
      </c>
      <c r="DE132" s="296">
        <f>((3.49/100)*'Unit Costs and Indicators'!$A$133)*DE131</f>
        <v>325510.80320880003</v>
      </c>
      <c r="DF132" s="287"/>
      <c r="DG132" s="287"/>
      <c r="DH132" s="287"/>
      <c r="DI132" s="287"/>
      <c r="DJ132" s="287"/>
      <c r="DK132" s="287"/>
      <c r="DL132" s="287"/>
    </row>
    <row r="133" spans="1:116" ht="15.75" customHeight="1" x14ac:dyDescent="0.25">
      <c r="A133" s="751"/>
      <c r="B133" s="751"/>
      <c r="C133" s="377" t="s">
        <v>275</v>
      </c>
      <c r="D133" s="348"/>
      <c r="E133" s="293"/>
      <c r="F133" s="349"/>
      <c r="G133" s="371"/>
      <c r="H133" s="335">
        <f>H132*'Unit Costs and Indicators'!$L$10*0.35</f>
        <v>9.5354763049715903</v>
      </c>
      <c r="I133" s="336">
        <f>I132*'Unit Costs and Indicators'!$L$10*0.35</f>
        <v>9.5354763049715903</v>
      </c>
      <c r="J133" s="336">
        <f>J132*'Unit Costs and Indicators'!$L$10*0.35</f>
        <v>9.5354763049715903</v>
      </c>
      <c r="K133" s="336">
        <f>K132*'Unit Costs and Indicators'!$L$10*0.35</f>
        <v>9.5354763049715903</v>
      </c>
      <c r="L133" s="336">
        <f>L132*'Unit Costs and Indicators'!$L$10*0.35</f>
        <v>9.5354763049715903</v>
      </c>
      <c r="M133" s="336">
        <f>M132*'Unit Costs and Indicators'!$L$10*0.35</f>
        <v>9.5354763049715903</v>
      </c>
      <c r="N133" s="336">
        <f>N132*'Unit Costs and Indicators'!$L$10*0.35</f>
        <v>9.5354763049715903</v>
      </c>
      <c r="O133" s="336">
        <f>O132*'Unit Costs and Indicators'!$L$10*0.35</f>
        <v>9.5354763049715903</v>
      </c>
      <c r="P133" s="336">
        <f>P132*'Unit Costs and Indicators'!$L$10*0.35</f>
        <v>9.5354763049715903</v>
      </c>
      <c r="Q133" s="336">
        <f>Q132*'Unit Costs and Indicators'!$L$10*0.35</f>
        <v>9.5354763049715903</v>
      </c>
      <c r="R133" s="336">
        <f>R132*'Unit Costs and Indicators'!$L$10*0.35</f>
        <v>9.5354763049715903</v>
      </c>
      <c r="S133" s="336">
        <f>S132*'Unit Costs and Indicators'!$L$10*0.35</f>
        <v>9.5354763049715903</v>
      </c>
      <c r="T133" s="336">
        <f>T132*'Unit Costs and Indicators'!$L$10*0.35</f>
        <v>9.5354763049715903</v>
      </c>
      <c r="U133" s="336">
        <f>U132*'Unit Costs and Indicators'!$L$10*0.35</f>
        <v>9.5354763049715903</v>
      </c>
      <c r="V133" s="336">
        <f>V132*'Unit Costs and Indicators'!$L$10*0.35</f>
        <v>9.5354763049715903</v>
      </c>
      <c r="W133" s="336">
        <f>W132*'Unit Costs and Indicators'!$L$10*0.35</f>
        <v>9.5354763049715903</v>
      </c>
      <c r="X133" s="336">
        <f>X132*'Unit Costs and Indicators'!$L$10*0.35</f>
        <v>9.5354763049715903</v>
      </c>
      <c r="Y133" s="336">
        <f>Y132*'Unit Costs and Indicators'!$L$10*0.35</f>
        <v>9.5354763049715903</v>
      </c>
      <c r="Z133" s="336">
        <f>Z132*'Unit Costs and Indicators'!$L$10*0.35</f>
        <v>9.5354763049715903</v>
      </c>
      <c r="AA133" s="336">
        <f>AA132*'Unit Costs and Indicators'!$L$10*0.35</f>
        <v>9.5354763049715903</v>
      </c>
      <c r="AB133" s="336">
        <f>AB132*'Unit Costs and Indicators'!$L$10*0.35</f>
        <v>9.5354763049715903</v>
      </c>
      <c r="AC133" s="336">
        <f>AC132*'Unit Costs and Indicators'!$L$10*0.35</f>
        <v>9.5354763049715903</v>
      </c>
      <c r="AD133" s="336">
        <f>AD132*'Unit Costs and Indicators'!$L$10*0.35</f>
        <v>9.5354763049715903</v>
      </c>
      <c r="AE133" s="336">
        <f>AE132*'Unit Costs and Indicators'!$L$10*0.35</f>
        <v>9.5354763049715903</v>
      </c>
      <c r="AF133" s="336">
        <f>AF132*'Unit Costs and Indicators'!$L$10*0.35</f>
        <v>9.5354763049715903</v>
      </c>
      <c r="AG133" s="336">
        <f>AG132*'Unit Costs and Indicators'!$L$10*0.35</f>
        <v>9.5354763049715903</v>
      </c>
      <c r="AH133" s="336">
        <f>AH132*'Unit Costs and Indicators'!$L$10*0.35</f>
        <v>9.5354763049715903</v>
      </c>
      <c r="AI133" s="336">
        <f>AI132*'Unit Costs and Indicators'!$L$10*0.35</f>
        <v>9.5354763049715903</v>
      </c>
      <c r="AJ133" s="336">
        <f>AJ132*'Unit Costs and Indicators'!$L$10*0.35</f>
        <v>9.5354763049715903</v>
      </c>
      <c r="AK133" s="336">
        <f>AK132*'Unit Costs and Indicators'!$L$10*0.35</f>
        <v>9.5354763049715903</v>
      </c>
      <c r="AL133" s="336">
        <f>AL132*'Unit Costs and Indicators'!$L$10*0.35</f>
        <v>9.5354763049715903</v>
      </c>
      <c r="AM133" s="336">
        <f>AM132*'Unit Costs and Indicators'!$L$10*0.35</f>
        <v>9.5354763049715903</v>
      </c>
      <c r="AN133" s="336">
        <f>AN132*'Unit Costs and Indicators'!$L$10*0.35</f>
        <v>9.5354763049715903</v>
      </c>
      <c r="AO133" s="336">
        <f>AO132*'Unit Costs and Indicators'!$L$10*0.35</f>
        <v>9.5354763049715903</v>
      </c>
      <c r="AP133" s="336">
        <f>AP132*'Unit Costs and Indicators'!$L$10*0.35</f>
        <v>9.5354763049715903</v>
      </c>
      <c r="AQ133" s="336">
        <f>AQ132*'Unit Costs and Indicators'!$L$10*0.35</f>
        <v>9.5354763049715903</v>
      </c>
      <c r="AR133" s="336">
        <f>AR132*'Unit Costs and Indicators'!$L$10*0.35</f>
        <v>9.5354763049715903</v>
      </c>
      <c r="AS133" s="336">
        <f>AS132*'Unit Costs and Indicators'!$L$10*0.35</f>
        <v>9.5354763049715903</v>
      </c>
      <c r="AT133" s="336">
        <f>AT132*'Unit Costs and Indicators'!$L$10*0.35</f>
        <v>9.5354763049715903</v>
      </c>
      <c r="AU133" s="336">
        <f>AU132*'Unit Costs and Indicators'!$L$10*0.35</f>
        <v>9.5354763049715903</v>
      </c>
      <c r="AV133" s="336">
        <f>AV132*'Unit Costs and Indicators'!$L$10*0.35</f>
        <v>9.5354763049715903</v>
      </c>
      <c r="AW133" s="336">
        <f>AW132*'Unit Costs and Indicators'!$L$10*0.35</f>
        <v>9.5354763049715903</v>
      </c>
      <c r="AX133" s="336">
        <f>AX132*'Unit Costs and Indicators'!$L$10*0.35</f>
        <v>9.5354763049715903</v>
      </c>
      <c r="AY133" s="336">
        <f>AY132*'Unit Costs and Indicators'!$L$10*0.35</f>
        <v>9.5354763049715903</v>
      </c>
      <c r="AZ133" s="336">
        <f>AZ132*'Unit Costs and Indicators'!$L$10*0.35</f>
        <v>9.5354763049715903</v>
      </c>
      <c r="BA133" s="336">
        <f>BA132*'Unit Costs and Indicators'!$L$10*0.35</f>
        <v>9.5354763049715903</v>
      </c>
      <c r="BB133" s="336">
        <f>BB132*'Unit Costs and Indicators'!$L$10*0.35</f>
        <v>9.5354763049715903</v>
      </c>
      <c r="BC133" s="336">
        <f>BC132*'Unit Costs and Indicators'!$L$10*0.35</f>
        <v>9.5354763049715903</v>
      </c>
      <c r="BD133" s="336">
        <f>BD132*'Unit Costs and Indicators'!$L$10*0.35</f>
        <v>9.5354763049715903</v>
      </c>
      <c r="BE133" s="336">
        <f>BE132*'Unit Costs and Indicators'!$L$10*0.35</f>
        <v>9.5354763049715903</v>
      </c>
      <c r="BF133" s="336">
        <f>BF132*'Unit Costs and Indicators'!$L$10*0.35</f>
        <v>9.5354763049715903</v>
      </c>
      <c r="BG133" s="336">
        <f>BG132*'Unit Costs and Indicators'!$L$10*0.35</f>
        <v>9.5354763049715903</v>
      </c>
      <c r="BH133" s="336">
        <f>BH132*'Unit Costs and Indicators'!$L$10*0.35</f>
        <v>9.5354763049715903</v>
      </c>
      <c r="BI133" s="336">
        <f>BI132*'Unit Costs and Indicators'!$L$10*0.35</f>
        <v>9.5354763049715903</v>
      </c>
      <c r="BJ133" s="336">
        <f>BJ132*'Unit Costs and Indicators'!$L$10*0.35</f>
        <v>9.5354763049715903</v>
      </c>
      <c r="BK133" s="336">
        <f>BK132*'Unit Costs and Indicators'!$L$10*0.35</f>
        <v>9.5354763049715903</v>
      </c>
      <c r="BL133" s="336">
        <f>BL132*'Unit Costs and Indicators'!$L$10*0.35</f>
        <v>9.5354763049715903</v>
      </c>
      <c r="BM133" s="336">
        <f>BM132*'Unit Costs and Indicators'!$L$10*0.35</f>
        <v>9.5354763049715903</v>
      </c>
      <c r="BN133" s="336">
        <f>BN132*'Unit Costs and Indicators'!$L$10*0.35</f>
        <v>9.5354763049715903</v>
      </c>
      <c r="BO133" s="336">
        <f>BO132*'Unit Costs and Indicators'!$L$10*0.35</f>
        <v>9.5354763049715903</v>
      </c>
      <c r="BP133" s="336">
        <f>BP132*'Unit Costs and Indicators'!$L$10*0.35</f>
        <v>9.5354763049715903</v>
      </c>
      <c r="BQ133" s="336">
        <f>BQ132*'Unit Costs and Indicators'!$L$10*0.35</f>
        <v>9.5354763049715903</v>
      </c>
      <c r="BR133" s="336">
        <f>BR132*'Unit Costs and Indicators'!$L$10*0.35</f>
        <v>9.5354763049715903</v>
      </c>
      <c r="BS133" s="336">
        <f>BS132*'Unit Costs and Indicators'!$L$10*0.35</f>
        <v>9.5354763049715903</v>
      </c>
      <c r="BT133" s="336">
        <f>BT132*'Unit Costs and Indicators'!$L$10*0.35</f>
        <v>9.5354763049715903</v>
      </c>
      <c r="BU133" s="336">
        <f>BU132*'Unit Costs and Indicators'!$L$10*0.35</f>
        <v>9.5354763049715903</v>
      </c>
      <c r="BV133" s="336">
        <f>BV132*'Unit Costs and Indicators'!$L$10*0.35</f>
        <v>9.5354763049715903</v>
      </c>
      <c r="BW133" s="336">
        <f>BW132*'Unit Costs and Indicators'!$L$10*0.35</f>
        <v>9.5354763049715903</v>
      </c>
      <c r="BX133" s="336">
        <f>BX132*'Unit Costs and Indicators'!$L$10*0.35</f>
        <v>9.5354763049715903</v>
      </c>
      <c r="BY133" s="336">
        <f>BY132*'Unit Costs and Indicators'!$L$10*0.35</f>
        <v>9.5354763049715903</v>
      </c>
      <c r="BZ133" s="336">
        <f>BZ132*'Unit Costs and Indicators'!$L$10*0.35</f>
        <v>9.5354763049715903</v>
      </c>
      <c r="CA133" s="336">
        <f>CA132*'Unit Costs and Indicators'!$L$10*0.35</f>
        <v>9.5354763049715903</v>
      </c>
      <c r="CB133" s="336">
        <f>CB132*'Unit Costs and Indicators'!$L$10*0.35</f>
        <v>9.5354763049715903</v>
      </c>
      <c r="CC133" s="336">
        <f>CC132*'Unit Costs and Indicators'!$L$10*0.35</f>
        <v>9.5354763049715903</v>
      </c>
      <c r="CD133" s="336">
        <f>CD132*'Unit Costs and Indicators'!$L$10*0.35</f>
        <v>9.5354763049715903</v>
      </c>
      <c r="CE133" s="336">
        <f>CE132*'Unit Costs and Indicators'!$L$10*0.35</f>
        <v>9.5354763049715903</v>
      </c>
      <c r="CF133" s="336">
        <f>CF132*'Unit Costs and Indicators'!$L$10*0.35</f>
        <v>9.5354763049715903</v>
      </c>
      <c r="CG133" s="336">
        <f>CG132*'Unit Costs and Indicators'!$L$10*0.35</f>
        <v>9.5354763049715903</v>
      </c>
      <c r="CH133" s="336">
        <f>CH132*'Unit Costs and Indicators'!$L$10*0.35</f>
        <v>9.5354763049715903</v>
      </c>
      <c r="CI133" s="336">
        <f>CI132*'Unit Costs and Indicators'!$L$10*0.35</f>
        <v>9.5354763049715903</v>
      </c>
      <c r="CJ133" s="336">
        <f>CJ132*'Unit Costs and Indicators'!$L$10*0.35</f>
        <v>9.5354763049715903</v>
      </c>
      <c r="CK133" s="336">
        <f>CK132*'Unit Costs and Indicators'!$L$10*0.35</f>
        <v>9.5354763049715903</v>
      </c>
      <c r="CL133" s="336">
        <f>CL132*'Unit Costs and Indicators'!$L$10*0.35</f>
        <v>9.5354763049715903</v>
      </c>
      <c r="CM133" s="336">
        <f>CM132*'Unit Costs and Indicators'!$L$10*0.35</f>
        <v>9.5354763049715903</v>
      </c>
      <c r="CN133" s="336">
        <f>CN132*'Unit Costs and Indicators'!$L$10*0.35</f>
        <v>9.5354763049715903</v>
      </c>
      <c r="CO133" s="336">
        <f>CO132*'Unit Costs and Indicators'!$L$10*0.35</f>
        <v>9.5354763049715903</v>
      </c>
      <c r="CP133" s="336">
        <f>CP132*'Unit Costs and Indicators'!$L$10*0.35</f>
        <v>9.5354763049715903</v>
      </c>
      <c r="CQ133" s="336">
        <f>CQ132*'Unit Costs and Indicators'!$L$10*0.35</f>
        <v>9.5354763049715903</v>
      </c>
      <c r="CR133" s="336">
        <f>CR132*'Unit Costs and Indicators'!$L$10*0.35</f>
        <v>9.5354763049715903</v>
      </c>
      <c r="CS133" s="336">
        <f>CS132*'Unit Costs and Indicators'!$L$10*0.35</f>
        <v>9.5354763049715903</v>
      </c>
      <c r="CT133" s="336">
        <f>CT132*'Unit Costs and Indicators'!$L$10*0.35</f>
        <v>9.5354763049715903</v>
      </c>
      <c r="CU133" s="336">
        <f>CU132*'Unit Costs and Indicators'!$L$10*0.35</f>
        <v>9.5354763049715903</v>
      </c>
      <c r="CV133" s="336">
        <f>CV132*'Unit Costs and Indicators'!$L$10*0.35</f>
        <v>9.5354763049715903</v>
      </c>
      <c r="CW133" s="336">
        <f>CW132*'Unit Costs and Indicators'!$L$10*0.35</f>
        <v>9.5354763049715903</v>
      </c>
      <c r="CX133" s="336">
        <f>CX132*'Unit Costs and Indicators'!$L$10*0.35</f>
        <v>9.5354763049715903</v>
      </c>
      <c r="CY133" s="336">
        <f>CY132*'Unit Costs and Indicators'!$L$10*0.35</f>
        <v>9.5354763049715903</v>
      </c>
      <c r="CZ133" s="336">
        <f>CZ132*'Unit Costs and Indicators'!$L$10*0.35</f>
        <v>9.5354763049715903</v>
      </c>
      <c r="DA133" s="336">
        <f>DA132*'Unit Costs and Indicators'!$L$10*0.35</f>
        <v>9.5354763049715903</v>
      </c>
      <c r="DB133" s="336">
        <f>DB132*'Unit Costs and Indicators'!$L$10*0.35</f>
        <v>9.5354763049715903</v>
      </c>
      <c r="DC133" s="336">
        <f>DC132*'Unit Costs and Indicators'!$L$10*0.35</f>
        <v>9.5354763049715903</v>
      </c>
      <c r="DD133" s="336">
        <f>DD132*'Unit Costs and Indicators'!$L$10*0.35</f>
        <v>9.5354763049715903</v>
      </c>
      <c r="DE133" s="336">
        <f>DE132*'Unit Costs and Indicators'!$L$10*0.35</f>
        <v>9.5354763049715903</v>
      </c>
      <c r="DF133" s="287"/>
      <c r="DG133" s="287"/>
      <c r="DH133" s="287"/>
      <c r="DI133" s="287"/>
      <c r="DJ133" s="287"/>
      <c r="DK133" s="287"/>
      <c r="DL133" s="287"/>
    </row>
    <row r="134" spans="1:116" ht="15.75" customHeight="1" x14ac:dyDescent="0.25">
      <c r="A134" s="751"/>
      <c r="B134" s="521"/>
      <c r="C134" s="522" t="s">
        <v>244</v>
      </c>
      <c r="D134" s="523" t="s">
        <v>247</v>
      </c>
      <c r="E134" s="524"/>
      <c r="F134" s="316" t="s">
        <v>14</v>
      </c>
      <c r="G134" s="317">
        <f t="array" ref="G134">NPV($C$4, J134:DE134)+I134</f>
        <v>9.5381864444137978</v>
      </c>
      <c r="H134" s="359">
        <f t="shared" ref="H134:I134" si="203">H133+H130</f>
        <v>9.538186444413796</v>
      </c>
      <c r="I134" s="514">
        <f t="shared" si="203"/>
        <v>9.538186444413796</v>
      </c>
      <c r="J134" s="514">
        <f t="shared" ref="J134:DE134" si="204">(J133+J130)*(1 + $C$3)^(J94 - $I$5)</f>
        <v>4.5978753262461299E-17</v>
      </c>
      <c r="K134" s="514">
        <f t="shared" si="204"/>
        <v>3.8207354629643891E-17</v>
      </c>
      <c r="L134" s="514">
        <f t="shared" si="204"/>
        <v>3.8208812654478354E-17</v>
      </c>
      <c r="M134" s="514">
        <f t="shared" si="204"/>
        <v>3.8210299897128875E-17</v>
      </c>
      <c r="N134" s="514">
        <f t="shared" si="204"/>
        <v>3.8211816944270519E-17</v>
      </c>
      <c r="O134" s="514">
        <f t="shared" si="204"/>
        <v>3.8213364394404685E-17</v>
      </c>
      <c r="P134" s="514">
        <f t="shared" si="204"/>
        <v>3.8214942858100721E-17</v>
      </c>
      <c r="Q134" s="514">
        <f t="shared" si="204"/>
        <v>3.8216552958240308E-17</v>
      </c>
      <c r="R134" s="514">
        <f t="shared" si="204"/>
        <v>3.8218195330269461E-17</v>
      </c>
      <c r="S134" s="514">
        <f t="shared" si="204"/>
        <v>3.8219870622452411E-17</v>
      </c>
      <c r="T134" s="514">
        <f t="shared" si="204"/>
        <v>3.8221579496133321E-17</v>
      </c>
      <c r="U134" s="514">
        <f t="shared" si="204"/>
        <v>3.8223322626001943E-17</v>
      </c>
      <c r="V134" s="514">
        <f t="shared" si="204"/>
        <v>3.8225100700365511E-17</v>
      </c>
      <c r="W134" s="514">
        <f t="shared" si="204"/>
        <v>3.8226914421426869E-17</v>
      </c>
      <c r="X134" s="514">
        <f t="shared" si="204"/>
        <v>3.8228764505566841E-17</v>
      </c>
      <c r="Y134" s="514">
        <f t="shared" si="204"/>
        <v>3.8230651683632976E-17</v>
      </c>
      <c r="Z134" s="514">
        <f t="shared" si="204"/>
        <v>3.8232576701235259E-17</v>
      </c>
      <c r="AA134" s="514">
        <f t="shared" si="204"/>
        <v>3.8234540319046772E-17</v>
      </c>
      <c r="AB134" s="514">
        <f t="shared" si="204"/>
        <v>3.8236543313111217E-17</v>
      </c>
      <c r="AC134" s="514">
        <f t="shared" si="204"/>
        <v>3.8238586475157033E-17</v>
      </c>
      <c r="AD134" s="514">
        <f t="shared" si="204"/>
        <v>3.8240670612916712E-17</v>
      </c>
      <c r="AE134" s="514">
        <f t="shared" si="204"/>
        <v>3.8242796550454952E-17</v>
      </c>
      <c r="AF134" s="514">
        <f t="shared" si="204"/>
        <v>3.8244965128501565E-17</v>
      </c>
      <c r="AG134" s="514">
        <f t="shared" si="204"/>
        <v>3.8247177204793756E-17</v>
      </c>
      <c r="AH134" s="514">
        <f t="shared" si="204"/>
        <v>3.8249433654421535E-17</v>
      </c>
      <c r="AI134" s="514">
        <f t="shared" si="204"/>
        <v>3.8251735370184555E-17</v>
      </c>
      <c r="AJ134" s="514">
        <f t="shared" si="204"/>
        <v>3.8254083262955031E-17</v>
      </c>
      <c r="AK134" s="514">
        <f t="shared" si="204"/>
        <v>3.825647826204725E-17</v>
      </c>
      <c r="AL134" s="514">
        <f t="shared" si="204"/>
        <v>3.8258921315594901E-17</v>
      </c>
      <c r="AM134" s="514">
        <f t="shared" si="204"/>
        <v>3.8261413390938042E-17</v>
      </c>
      <c r="AN134" s="514">
        <f t="shared" si="204"/>
        <v>3.8263955475017279E-17</v>
      </c>
      <c r="AO134" s="514">
        <f t="shared" si="204"/>
        <v>3.8266548574774249E-17</v>
      </c>
      <c r="AP134" s="514">
        <f t="shared" si="204"/>
        <v>3.8269193717564771E-17</v>
      </c>
      <c r="AQ134" s="514">
        <f t="shared" si="204"/>
        <v>3.8271891951576437E-17</v>
      </c>
      <c r="AR134" s="514">
        <f t="shared" si="204"/>
        <v>3.8274644346257304E-17</v>
      </c>
      <c r="AS134" s="514">
        <f t="shared" si="204"/>
        <v>3.827745199275323E-17</v>
      </c>
      <c r="AT134" s="514">
        <f t="shared" si="204"/>
        <v>3.82803160043547E-17</v>
      </c>
      <c r="AU134" s="514">
        <f t="shared" si="204"/>
        <v>3.8283237516952343E-17</v>
      </c>
      <c r="AV134" s="514">
        <f t="shared" si="204"/>
        <v>3.8286217689502156E-17</v>
      </c>
      <c r="AW134" s="514">
        <f t="shared" si="204"/>
        <v>3.8289257704502064E-17</v>
      </c>
      <c r="AX134" s="514">
        <f t="shared" si="204"/>
        <v>3.8292358768476123E-17</v>
      </c>
      <c r="AY134" s="514">
        <f t="shared" si="204"/>
        <v>3.8295522112471371E-17</v>
      </c>
      <c r="AZ134" s="514">
        <f t="shared" si="204"/>
        <v>3.8298748992563331E-17</v>
      </c>
      <c r="BA134" s="514">
        <f t="shared" si="204"/>
        <v>3.8302040690374343E-17</v>
      </c>
      <c r="BB134" s="514">
        <f t="shared" si="204"/>
        <v>3.8305398513600398E-17</v>
      </c>
      <c r="BC134" s="514">
        <f t="shared" si="204"/>
        <v>3.8308823796551085E-17</v>
      </c>
      <c r="BD134" s="514">
        <f t="shared" si="204"/>
        <v>3.8312317900700981E-17</v>
      </c>
      <c r="BE134" s="514">
        <f t="shared" si="204"/>
        <v>3.8315882215251777E-17</v>
      </c>
      <c r="BF134" s="514">
        <f t="shared" si="204"/>
        <v>3.8319518157707523E-17</v>
      </c>
      <c r="BG134" s="514">
        <f t="shared" si="204"/>
        <v>3.832322717446136E-17</v>
      </c>
      <c r="BH134" s="514">
        <f t="shared" si="204"/>
        <v>3.8327010741394455E-17</v>
      </c>
      <c r="BI134" s="514">
        <f t="shared" si="204"/>
        <v>3.8330870364491298E-17</v>
      </c>
      <c r="BJ134" s="514">
        <f t="shared" si="204"/>
        <v>3.8334807580461238E-17</v>
      </c>
      <c r="BK134" s="514">
        <f t="shared" si="204"/>
        <v>3.8338823957381603E-17</v>
      </c>
      <c r="BL134" s="514">
        <f t="shared" si="204"/>
        <v>3.834292109534885E-17</v>
      </c>
      <c r="BM134" s="514">
        <f t="shared" si="204"/>
        <v>3.8347100627145795E-17</v>
      </c>
      <c r="BN134" s="514">
        <f t="shared" si="204"/>
        <v>3.8351364218923276E-17</v>
      </c>
      <c r="BO134" s="514">
        <f t="shared" si="204"/>
        <v>3.835571357089719E-17</v>
      </c>
      <c r="BP134" s="514">
        <f t="shared" si="204"/>
        <v>3.8360150418058236E-17</v>
      </c>
      <c r="BQ134" s="514">
        <f t="shared" si="204"/>
        <v>3.8364676530900659E-17</v>
      </c>
      <c r="BR134" s="514">
        <f t="shared" si="204"/>
        <v>3.8369293716164202E-17</v>
      </c>
      <c r="BS134" s="514">
        <f t="shared" si="204"/>
        <v>3.8374003817593142E-17</v>
      </c>
      <c r="BT134" s="514">
        <f t="shared" si="204"/>
        <v>3.8378808716710513E-17</v>
      </c>
      <c r="BU134" s="514">
        <f t="shared" si="204"/>
        <v>3.8383710333612763E-17</v>
      </c>
      <c r="BV134" s="514">
        <f t="shared" si="204"/>
        <v>3.8388710627778169E-17</v>
      </c>
      <c r="BW134" s="514">
        <f t="shared" si="204"/>
        <v>3.8393811598894096E-17</v>
      </c>
      <c r="BX134" s="514">
        <f t="shared" si="204"/>
        <v>3.8399015287703425E-17</v>
      </c>
      <c r="BY134" s="514">
        <f t="shared" si="204"/>
        <v>3.8404323776868951E-17</v>
      </c>
      <c r="BZ134" s="514">
        <f t="shared" si="204"/>
        <v>3.8409739191855836E-17</v>
      </c>
      <c r="CA134" s="514">
        <f t="shared" si="204"/>
        <v>3.84152637018359E-17</v>
      </c>
      <c r="CB134" s="514">
        <f t="shared" si="204"/>
        <v>3.8420899520608373E-17</v>
      </c>
      <c r="CC134" s="514">
        <f t="shared" si="204"/>
        <v>3.8426648907545632E-17</v>
      </c>
      <c r="CD134" s="514">
        <f t="shared" si="204"/>
        <v>3.8432514168555896E-17</v>
      </c>
      <c r="CE134" s="514">
        <f t="shared" si="204"/>
        <v>3.8438497657069486E-17</v>
      </c>
      <c r="CF134" s="514">
        <f t="shared" si="204"/>
        <v>3.8444601775045628E-17</v>
      </c>
      <c r="CG134" s="514">
        <f t="shared" si="204"/>
        <v>3.8450828974003821E-17</v>
      </c>
      <c r="CH134" s="514">
        <f t="shared" si="204"/>
        <v>3.8457181756077119E-17</v>
      </c>
      <c r="CI134" s="514">
        <f t="shared" si="204"/>
        <v>3.8463662675086557E-17</v>
      </c>
      <c r="CJ134" s="514">
        <f t="shared" si="204"/>
        <v>3.8470274337645254E-17</v>
      </c>
      <c r="CK134" s="514">
        <f t="shared" si="204"/>
        <v>3.8477019404282467E-17</v>
      </c>
      <c r="CL134" s="514">
        <f t="shared" si="204"/>
        <v>3.8483900590594441E-17</v>
      </c>
      <c r="CM134" s="514">
        <f t="shared" si="204"/>
        <v>3.8490920668422453E-17</v>
      </c>
      <c r="CN134" s="514">
        <f t="shared" si="204"/>
        <v>3.849808246705626E-17</v>
      </c>
      <c r="CO134" s="514">
        <f t="shared" si="204"/>
        <v>3.8505388874464977E-17</v>
      </c>
      <c r="CP134" s="514">
        <f t="shared" si="204"/>
        <v>3.8512842838556491E-17</v>
      </c>
      <c r="CQ134" s="514">
        <f t="shared" si="204"/>
        <v>3.8520447368465173E-17</v>
      </c>
      <c r="CR134" s="514">
        <f t="shared" si="204"/>
        <v>3.8528205535868409E-17</v>
      </c>
      <c r="CS134" s="514">
        <f t="shared" si="204"/>
        <v>3.8536120476335245E-17</v>
      </c>
      <c r="CT134" s="514">
        <f t="shared" si="204"/>
        <v>3.8544195390703359E-17</v>
      </c>
      <c r="CU134" s="514">
        <f t="shared" si="204"/>
        <v>3.8552433546489631E-17</v>
      </c>
      <c r="CV134" s="514">
        <f t="shared" si="204"/>
        <v>3.8560838279333137E-17</v>
      </c>
      <c r="CW134" s="514">
        <f t="shared" si="204"/>
        <v>3.8569412994468904E-17</v>
      </c>
      <c r="CX134" s="514">
        <f t="shared" si="204"/>
        <v>3.857816116824062E-17</v>
      </c>
      <c r="CY134" s="514">
        <f t="shared" si="204"/>
        <v>3.8587086349643372E-17</v>
      </c>
      <c r="CZ134" s="514">
        <f t="shared" si="204"/>
        <v>3.8596192161906033E-17</v>
      </c>
      <c r="DA134" s="514">
        <f t="shared" si="204"/>
        <v>3.8605482304107891E-17</v>
      </c>
      <c r="DB134" s="514">
        <f t="shared" si="204"/>
        <v>3.8614960552835985E-17</v>
      </c>
      <c r="DC134" s="514">
        <f t="shared" si="204"/>
        <v>3.8624630763877715E-17</v>
      </c>
      <c r="DD134" s="514">
        <f t="shared" si="204"/>
        <v>3.8634496873956549E-17</v>
      </c>
      <c r="DE134" s="514">
        <f t="shared" si="204"/>
        <v>3.8644562902506893E-17</v>
      </c>
      <c r="DF134" s="525"/>
      <c r="DG134" s="525"/>
      <c r="DH134" s="525"/>
      <c r="DI134" s="525"/>
      <c r="DJ134" s="525"/>
      <c r="DK134" s="525"/>
      <c r="DL134" s="525"/>
    </row>
    <row r="135" spans="1:116" ht="15.75" customHeight="1" x14ac:dyDescent="0.25">
      <c r="A135" s="751"/>
      <c r="B135" s="753" t="s">
        <v>276</v>
      </c>
      <c r="C135" s="383" t="s">
        <v>277</v>
      </c>
      <c r="D135" s="384"/>
      <c r="E135" s="385" t="s">
        <v>392</v>
      </c>
      <c r="F135" s="385"/>
      <c r="G135" s="386"/>
      <c r="H135" s="526">
        <f t="shared" ref="H135:DE135" si="205">(1.1/100)*(1820/5280)</f>
        <v>3.7916666666666671E-3</v>
      </c>
      <c r="I135" s="527">
        <f t="shared" si="205"/>
        <v>3.7916666666666671E-3</v>
      </c>
      <c r="J135" s="527">
        <f t="shared" si="205"/>
        <v>3.7916666666666671E-3</v>
      </c>
      <c r="K135" s="527">
        <f t="shared" si="205"/>
        <v>3.7916666666666671E-3</v>
      </c>
      <c r="L135" s="527">
        <f t="shared" si="205"/>
        <v>3.7916666666666671E-3</v>
      </c>
      <c r="M135" s="527">
        <f t="shared" si="205"/>
        <v>3.7916666666666671E-3</v>
      </c>
      <c r="N135" s="527">
        <f t="shared" si="205"/>
        <v>3.7916666666666671E-3</v>
      </c>
      <c r="O135" s="527">
        <f t="shared" si="205"/>
        <v>3.7916666666666671E-3</v>
      </c>
      <c r="P135" s="527">
        <f t="shared" si="205"/>
        <v>3.7916666666666671E-3</v>
      </c>
      <c r="Q135" s="527">
        <f t="shared" si="205"/>
        <v>3.7916666666666671E-3</v>
      </c>
      <c r="R135" s="527">
        <f t="shared" si="205"/>
        <v>3.7916666666666671E-3</v>
      </c>
      <c r="S135" s="527">
        <f t="shared" si="205"/>
        <v>3.7916666666666671E-3</v>
      </c>
      <c r="T135" s="527">
        <f t="shared" si="205"/>
        <v>3.7916666666666671E-3</v>
      </c>
      <c r="U135" s="527">
        <f t="shared" si="205"/>
        <v>3.7916666666666671E-3</v>
      </c>
      <c r="V135" s="527">
        <f t="shared" si="205"/>
        <v>3.7916666666666671E-3</v>
      </c>
      <c r="W135" s="527">
        <f t="shared" si="205"/>
        <v>3.7916666666666671E-3</v>
      </c>
      <c r="X135" s="527">
        <f t="shared" si="205"/>
        <v>3.7916666666666671E-3</v>
      </c>
      <c r="Y135" s="527">
        <f t="shared" si="205"/>
        <v>3.7916666666666671E-3</v>
      </c>
      <c r="Z135" s="527">
        <f t="shared" si="205"/>
        <v>3.7916666666666671E-3</v>
      </c>
      <c r="AA135" s="527">
        <f t="shared" si="205"/>
        <v>3.7916666666666671E-3</v>
      </c>
      <c r="AB135" s="527">
        <f t="shared" si="205"/>
        <v>3.7916666666666671E-3</v>
      </c>
      <c r="AC135" s="527">
        <f t="shared" si="205"/>
        <v>3.7916666666666671E-3</v>
      </c>
      <c r="AD135" s="527">
        <f t="shared" si="205"/>
        <v>3.7916666666666671E-3</v>
      </c>
      <c r="AE135" s="527">
        <f t="shared" si="205"/>
        <v>3.7916666666666671E-3</v>
      </c>
      <c r="AF135" s="527">
        <f t="shared" si="205"/>
        <v>3.7916666666666671E-3</v>
      </c>
      <c r="AG135" s="527">
        <f t="shared" si="205"/>
        <v>3.7916666666666671E-3</v>
      </c>
      <c r="AH135" s="527">
        <f t="shared" si="205"/>
        <v>3.7916666666666671E-3</v>
      </c>
      <c r="AI135" s="527">
        <f t="shared" si="205"/>
        <v>3.7916666666666671E-3</v>
      </c>
      <c r="AJ135" s="527">
        <f t="shared" si="205"/>
        <v>3.7916666666666671E-3</v>
      </c>
      <c r="AK135" s="527">
        <f t="shared" si="205"/>
        <v>3.7916666666666671E-3</v>
      </c>
      <c r="AL135" s="527">
        <f t="shared" si="205"/>
        <v>3.7916666666666671E-3</v>
      </c>
      <c r="AM135" s="527">
        <f t="shared" si="205"/>
        <v>3.7916666666666671E-3</v>
      </c>
      <c r="AN135" s="527">
        <f t="shared" si="205"/>
        <v>3.7916666666666671E-3</v>
      </c>
      <c r="AO135" s="527">
        <f t="shared" si="205"/>
        <v>3.7916666666666671E-3</v>
      </c>
      <c r="AP135" s="527">
        <f t="shared" si="205"/>
        <v>3.7916666666666671E-3</v>
      </c>
      <c r="AQ135" s="527">
        <f t="shared" si="205"/>
        <v>3.7916666666666671E-3</v>
      </c>
      <c r="AR135" s="527">
        <f t="shared" si="205"/>
        <v>3.7916666666666671E-3</v>
      </c>
      <c r="AS135" s="527">
        <f t="shared" si="205"/>
        <v>3.7916666666666671E-3</v>
      </c>
      <c r="AT135" s="527">
        <f t="shared" si="205"/>
        <v>3.7916666666666671E-3</v>
      </c>
      <c r="AU135" s="527">
        <f t="shared" si="205"/>
        <v>3.7916666666666671E-3</v>
      </c>
      <c r="AV135" s="527">
        <f t="shared" si="205"/>
        <v>3.7916666666666671E-3</v>
      </c>
      <c r="AW135" s="527">
        <f t="shared" si="205"/>
        <v>3.7916666666666671E-3</v>
      </c>
      <c r="AX135" s="527">
        <f t="shared" si="205"/>
        <v>3.7916666666666671E-3</v>
      </c>
      <c r="AY135" s="527">
        <f t="shared" si="205"/>
        <v>3.7916666666666671E-3</v>
      </c>
      <c r="AZ135" s="527">
        <f t="shared" si="205"/>
        <v>3.7916666666666671E-3</v>
      </c>
      <c r="BA135" s="527">
        <f t="shared" si="205"/>
        <v>3.7916666666666671E-3</v>
      </c>
      <c r="BB135" s="527">
        <f t="shared" si="205"/>
        <v>3.7916666666666671E-3</v>
      </c>
      <c r="BC135" s="527">
        <f t="shared" si="205"/>
        <v>3.7916666666666671E-3</v>
      </c>
      <c r="BD135" s="527">
        <f t="shared" si="205"/>
        <v>3.7916666666666671E-3</v>
      </c>
      <c r="BE135" s="527">
        <f t="shared" si="205"/>
        <v>3.7916666666666671E-3</v>
      </c>
      <c r="BF135" s="527">
        <f t="shared" si="205"/>
        <v>3.7916666666666671E-3</v>
      </c>
      <c r="BG135" s="527">
        <f t="shared" si="205"/>
        <v>3.7916666666666671E-3</v>
      </c>
      <c r="BH135" s="527">
        <f t="shared" si="205"/>
        <v>3.7916666666666671E-3</v>
      </c>
      <c r="BI135" s="527">
        <f t="shared" si="205"/>
        <v>3.7916666666666671E-3</v>
      </c>
      <c r="BJ135" s="527">
        <f t="shared" si="205"/>
        <v>3.7916666666666671E-3</v>
      </c>
      <c r="BK135" s="527">
        <f t="shared" si="205"/>
        <v>3.7916666666666671E-3</v>
      </c>
      <c r="BL135" s="527">
        <f t="shared" si="205"/>
        <v>3.7916666666666671E-3</v>
      </c>
      <c r="BM135" s="527">
        <f t="shared" si="205"/>
        <v>3.7916666666666671E-3</v>
      </c>
      <c r="BN135" s="527">
        <f t="shared" si="205"/>
        <v>3.7916666666666671E-3</v>
      </c>
      <c r="BO135" s="527">
        <f t="shared" si="205"/>
        <v>3.7916666666666671E-3</v>
      </c>
      <c r="BP135" s="527">
        <f t="shared" si="205"/>
        <v>3.7916666666666671E-3</v>
      </c>
      <c r="BQ135" s="527">
        <f t="shared" si="205"/>
        <v>3.7916666666666671E-3</v>
      </c>
      <c r="BR135" s="527">
        <f t="shared" si="205"/>
        <v>3.7916666666666671E-3</v>
      </c>
      <c r="BS135" s="527">
        <f t="shared" si="205"/>
        <v>3.7916666666666671E-3</v>
      </c>
      <c r="BT135" s="527">
        <f t="shared" si="205"/>
        <v>3.7916666666666671E-3</v>
      </c>
      <c r="BU135" s="527">
        <f t="shared" si="205"/>
        <v>3.7916666666666671E-3</v>
      </c>
      <c r="BV135" s="527">
        <f t="shared" si="205"/>
        <v>3.7916666666666671E-3</v>
      </c>
      <c r="BW135" s="527">
        <f t="shared" si="205"/>
        <v>3.7916666666666671E-3</v>
      </c>
      <c r="BX135" s="527">
        <f t="shared" si="205"/>
        <v>3.7916666666666671E-3</v>
      </c>
      <c r="BY135" s="527">
        <f t="shared" si="205"/>
        <v>3.7916666666666671E-3</v>
      </c>
      <c r="BZ135" s="527">
        <f t="shared" si="205"/>
        <v>3.7916666666666671E-3</v>
      </c>
      <c r="CA135" s="527">
        <f t="shared" si="205"/>
        <v>3.7916666666666671E-3</v>
      </c>
      <c r="CB135" s="527">
        <f t="shared" si="205"/>
        <v>3.7916666666666671E-3</v>
      </c>
      <c r="CC135" s="527">
        <f t="shared" si="205"/>
        <v>3.7916666666666671E-3</v>
      </c>
      <c r="CD135" s="527">
        <f t="shared" si="205"/>
        <v>3.7916666666666671E-3</v>
      </c>
      <c r="CE135" s="527">
        <f t="shared" si="205"/>
        <v>3.7916666666666671E-3</v>
      </c>
      <c r="CF135" s="527">
        <f t="shared" si="205"/>
        <v>3.7916666666666671E-3</v>
      </c>
      <c r="CG135" s="527">
        <f t="shared" si="205"/>
        <v>3.7916666666666671E-3</v>
      </c>
      <c r="CH135" s="527">
        <f t="shared" si="205"/>
        <v>3.7916666666666671E-3</v>
      </c>
      <c r="CI135" s="527">
        <f t="shared" si="205"/>
        <v>3.7916666666666671E-3</v>
      </c>
      <c r="CJ135" s="527">
        <f t="shared" si="205"/>
        <v>3.7916666666666671E-3</v>
      </c>
      <c r="CK135" s="527">
        <f t="shared" si="205"/>
        <v>3.7916666666666671E-3</v>
      </c>
      <c r="CL135" s="527">
        <f t="shared" si="205"/>
        <v>3.7916666666666671E-3</v>
      </c>
      <c r="CM135" s="527">
        <f t="shared" si="205"/>
        <v>3.7916666666666671E-3</v>
      </c>
      <c r="CN135" s="527">
        <f t="shared" si="205"/>
        <v>3.7916666666666671E-3</v>
      </c>
      <c r="CO135" s="527">
        <f t="shared" si="205"/>
        <v>3.7916666666666671E-3</v>
      </c>
      <c r="CP135" s="527">
        <f t="shared" si="205"/>
        <v>3.7916666666666671E-3</v>
      </c>
      <c r="CQ135" s="527">
        <f t="shared" si="205"/>
        <v>3.7916666666666671E-3</v>
      </c>
      <c r="CR135" s="527">
        <f t="shared" si="205"/>
        <v>3.7916666666666671E-3</v>
      </c>
      <c r="CS135" s="527">
        <f t="shared" si="205"/>
        <v>3.7916666666666671E-3</v>
      </c>
      <c r="CT135" s="527">
        <f t="shared" si="205"/>
        <v>3.7916666666666671E-3</v>
      </c>
      <c r="CU135" s="527">
        <f t="shared" si="205"/>
        <v>3.7916666666666671E-3</v>
      </c>
      <c r="CV135" s="527">
        <f t="shared" si="205"/>
        <v>3.7916666666666671E-3</v>
      </c>
      <c r="CW135" s="527">
        <f t="shared" si="205"/>
        <v>3.7916666666666671E-3</v>
      </c>
      <c r="CX135" s="527">
        <f t="shared" si="205"/>
        <v>3.7916666666666671E-3</v>
      </c>
      <c r="CY135" s="527">
        <f t="shared" si="205"/>
        <v>3.7916666666666671E-3</v>
      </c>
      <c r="CZ135" s="527">
        <f t="shared" si="205"/>
        <v>3.7916666666666671E-3</v>
      </c>
      <c r="DA135" s="527">
        <f t="shared" si="205"/>
        <v>3.7916666666666671E-3</v>
      </c>
      <c r="DB135" s="527">
        <f t="shared" si="205"/>
        <v>3.7916666666666671E-3</v>
      </c>
      <c r="DC135" s="527">
        <f t="shared" si="205"/>
        <v>3.7916666666666671E-3</v>
      </c>
      <c r="DD135" s="527">
        <f t="shared" si="205"/>
        <v>3.7916666666666671E-3</v>
      </c>
      <c r="DE135" s="527">
        <f t="shared" si="205"/>
        <v>3.7916666666666671E-3</v>
      </c>
      <c r="DF135" s="527"/>
      <c r="DG135" s="527"/>
      <c r="DH135" s="527"/>
      <c r="DI135" s="527"/>
      <c r="DJ135" s="527"/>
      <c r="DK135" s="527"/>
      <c r="DL135" s="527"/>
    </row>
    <row r="136" spans="1:116" ht="15.75" customHeight="1" x14ac:dyDescent="0.25">
      <c r="A136" s="751"/>
      <c r="B136" s="751"/>
      <c r="C136" s="278" t="s">
        <v>279</v>
      </c>
      <c r="D136" s="386"/>
      <c r="E136" s="383"/>
      <c r="F136" s="383"/>
      <c r="G136" s="386">
        <f>((17252353)/7000)*(1 +2%)^3</f>
        <v>2615.4764317748568</v>
      </c>
      <c r="H136" s="528">
        <f t="shared" ref="H136" si="206">G136</f>
        <v>2615.4764317748568</v>
      </c>
      <c r="I136" s="529">
        <f t="shared" ref="I136" si="207">H136</f>
        <v>2615.4764317748568</v>
      </c>
      <c r="J136" s="529">
        <f t="shared" ref="J136" si="208">I136</f>
        <v>2615.4764317748568</v>
      </c>
      <c r="K136" s="529">
        <f t="shared" ref="K136" si="209">J136</f>
        <v>2615.4764317748568</v>
      </c>
      <c r="L136" s="529">
        <f t="shared" ref="L136" si="210">K136</f>
        <v>2615.4764317748568</v>
      </c>
      <c r="M136" s="529">
        <f t="shared" ref="M136" si="211">L136</f>
        <v>2615.4764317748568</v>
      </c>
      <c r="N136" s="529">
        <f t="shared" ref="N136" si="212">M136</f>
        <v>2615.4764317748568</v>
      </c>
      <c r="O136" s="529">
        <f t="shared" ref="O136" si="213">N136</f>
        <v>2615.4764317748568</v>
      </c>
      <c r="P136" s="529">
        <f t="shared" ref="P136" si="214">O136</f>
        <v>2615.4764317748568</v>
      </c>
      <c r="Q136" s="529">
        <f t="shared" ref="Q136" si="215">P136</f>
        <v>2615.4764317748568</v>
      </c>
      <c r="R136" s="529">
        <f t="shared" ref="R136" si="216">Q136</f>
        <v>2615.4764317748568</v>
      </c>
      <c r="S136" s="529">
        <f t="shared" ref="S136" si="217">R136</f>
        <v>2615.4764317748568</v>
      </c>
      <c r="T136" s="529">
        <f t="shared" ref="T136" si="218">S136</f>
        <v>2615.4764317748568</v>
      </c>
      <c r="U136" s="529">
        <f t="shared" ref="U136" si="219">T136</f>
        <v>2615.4764317748568</v>
      </c>
      <c r="V136" s="529">
        <f t="shared" ref="V136" si="220">U136</f>
        <v>2615.4764317748568</v>
      </c>
      <c r="W136" s="529">
        <f t="shared" ref="W136" si="221">V136</f>
        <v>2615.4764317748568</v>
      </c>
      <c r="X136" s="529">
        <f t="shared" ref="X136" si="222">W136</f>
        <v>2615.4764317748568</v>
      </c>
      <c r="Y136" s="529">
        <f t="shared" ref="Y136" si="223">X136</f>
        <v>2615.4764317748568</v>
      </c>
      <c r="Z136" s="529">
        <f t="shared" ref="Z136" si="224">Y136</f>
        <v>2615.4764317748568</v>
      </c>
      <c r="AA136" s="529">
        <f t="shared" ref="AA136" si="225">Z136</f>
        <v>2615.4764317748568</v>
      </c>
      <c r="AB136" s="529">
        <f t="shared" ref="AB136" si="226">AA136</f>
        <v>2615.4764317748568</v>
      </c>
      <c r="AC136" s="529">
        <f t="shared" ref="AC136" si="227">AB136</f>
        <v>2615.4764317748568</v>
      </c>
      <c r="AD136" s="529">
        <f t="shared" ref="AD136" si="228">AC136</f>
        <v>2615.4764317748568</v>
      </c>
      <c r="AE136" s="529">
        <f t="shared" ref="AE136" si="229">AD136</f>
        <v>2615.4764317748568</v>
      </c>
      <c r="AF136" s="529">
        <f t="shared" ref="AF136" si="230">AE136</f>
        <v>2615.4764317748568</v>
      </c>
      <c r="AG136" s="529">
        <f t="shared" ref="AG136" si="231">AF136</f>
        <v>2615.4764317748568</v>
      </c>
      <c r="AH136" s="529">
        <f t="shared" ref="AH136" si="232">AG136</f>
        <v>2615.4764317748568</v>
      </c>
      <c r="AI136" s="529">
        <f t="shared" ref="AI136" si="233">AH136</f>
        <v>2615.4764317748568</v>
      </c>
      <c r="AJ136" s="529">
        <f t="shared" ref="AJ136" si="234">AI136</f>
        <v>2615.4764317748568</v>
      </c>
      <c r="AK136" s="529">
        <f t="shared" ref="AK136" si="235">AJ136</f>
        <v>2615.4764317748568</v>
      </c>
      <c r="AL136" s="529">
        <f t="shared" ref="AL136" si="236">AK136</f>
        <v>2615.4764317748568</v>
      </c>
      <c r="AM136" s="529">
        <f t="shared" ref="AM136" si="237">AL136</f>
        <v>2615.4764317748568</v>
      </c>
      <c r="AN136" s="529">
        <f t="shared" ref="AN136" si="238">AM136</f>
        <v>2615.4764317748568</v>
      </c>
      <c r="AO136" s="529">
        <f t="shared" ref="AO136" si="239">AN136</f>
        <v>2615.4764317748568</v>
      </c>
      <c r="AP136" s="529">
        <f t="shared" ref="AP136" si="240">AO136</f>
        <v>2615.4764317748568</v>
      </c>
      <c r="AQ136" s="529">
        <f t="shared" ref="AQ136" si="241">AP136</f>
        <v>2615.4764317748568</v>
      </c>
      <c r="AR136" s="529">
        <f t="shared" ref="AR136" si="242">AQ136</f>
        <v>2615.4764317748568</v>
      </c>
      <c r="AS136" s="529">
        <f t="shared" ref="AS136" si="243">AR136</f>
        <v>2615.4764317748568</v>
      </c>
      <c r="AT136" s="529">
        <f t="shared" ref="AT136" si="244">AS136</f>
        <v>2615.4764317748568</v>
      </c>
      <c r="AU136" s="529">
        <f t="shared" ref="AU136" si="245">AT136</f>
        <v>2615.4764317748568</v>
      </c>
      <c r="AV136" s="529">
        <f t="shared" ref="AV136" si="246">AU136</f>
        <v>2615.4764317748568</v>
      </c>
      <c r="AW136" s="529">
        <f t="shared" ref="AW136" si="247">AV136</f>
        <v>2615.4764317748568</v>
      </c>
      <c r="AX136" s="529">
        <f t="shared" ref="AX136" si="248">AW136</f>
        <v>2615.4764317748568</v>
      </c>
      <c r="AY136" s="529">
        <f t="shared" ref="AY136" si="249">AX136</f>
        <v>2615.4764317748568</v>
      </c>
      <c r="AZ136" s="529">
        <f t="shared" ref="AZ136" si="250">AY136</f>
        <v>2615.4764317748568</v>
      </c>
      <c r="BA136" s="529">
        <f t="shared" ref="BA136" si="251">AZ136</f>
        <v>2615.4764317748568</v>
      </c>
      <c r="BB136" s="529">
        <f t="shared" ref="BB136" si="252">BA136</f>
        <v>2615.4764317748568</v>
      </c>
      <c r="BC136" s="529">
        <f t="shared" ref="BC136" si="253">BB136</f>
        <v>2615.4764317748568</v>
      </c>
      <c r="BD136" s="529">
        <f t="shared" ref="BD136" si="254">BC136</f>
        <v>2615.4764317748568</v>
      </c>
      <c r="BE136" s="529">
        <f t="shared" ref="BE136" si="255">BD136</f>
        <v>2615.4764317748568</v>
      </c>
      <c r="BF136" s="529">
        <f t="shared" ref="BF136" si="256">BE136</f>
        <v>2615.4764317748568</v>
      </c>
      <c r="BG136" s="529">
        <f t="shared" ref="BG136" si="257">BF136</f>
        <v>2615.4764317748568</v>
      </c>
      <c r="BH136" s="529">
        <f t="shared" ref="BH136" si="258">BG136</f>
        <v>2615.4764317748568</v>
      </c>
      <c r="BI136" s="529">
        <f t="shared" ref="BI136" si="259">BH136</f>
        <v>2615.4764317748568</v>
      </c>
      <c r="BJ136" s="529">
        <f t="shared" ref="BJ136" si="260">BI136</f>
        <v>2615.4764317748568</v>
      </c>
      <c r="BK136" s="529">
        <f t="shared" ref="BK136" si="261">BJ136</f>
        <v>2615.4764317748568</v>
      </c>
      <c r="BL136" s="529">
        <f t="shared" ref="BL136" si="262">BK136</f>
        <v>2615.4764317748568</v>
      </c>
      <c r="BM136" s="529">
        <f t="shared" ref="BM136" si="263">BL136</f>
        <v>2615.4764317748568</v>
      </c>
      <c r="BN136" s="529">
        <f t="shared" ref="BN136" si="264">BM136</f>
        <v>2615.4764317748568</v>
      </c>
      <c r="BO136" s="529">
        <f t="shared" ref="BO136" si="265">BN136</f>
        <v>2615.4764317748568</v>
      </c>
      <c r="BP136" s="529">
        <f t="shared" ref="BP136" si="266">BO136</f>
        <v>2615.4764317748568</v>
      </c>
      <c r="BQ136" s="529">
        <f t="shared" ref="BQ136" si="267">BP136</f>
        <v>2615.4764317748568</v>
      </c>
      <c r="BR136" s="529">
        <f t="shared" ref="BR136" si="268">BQ136</f>
        <v>2615.4764317748568</v>
      </c>
      <c r="BS136" s="529">
        <f t="shared" ref="BS136" si="269">BR136</f>
        <v>2615.4764317748568</v>
      </c>
      <c r="BT136" s="529">
        <f t="shared" ref="BT136" si="270">BS136</f>
        <v>2615.4764317748568</v>
      </c>
      <c r="BU136" s="529">
        <f t="shared" ref="BU136" si="271">BT136</f>
        <v>2615.4764317748568</v>
      </c>
      <c r="BV136" s="529">
        <f t="shared" ref="BV136" si="272">BU136</f>
        <v>2615.4764317748568</v>
      </c>
      <c r="BW136" s="529">
        <f t="shared" ref="BW136" si="273">BV136</f>
        <v>2615.4764317748568</v>
      </c>
      <c r="BX136" s="529">
        <f t="shared" ref="BX136" si="274">BW136</f>
        <v>2615.4764317748568</v>
      </c>
      <c r="BY136" s="529">
        <f t="shared" ref="BY136" si="275">BX136</f>
        <v>2615.4764317748568</v>
      </c>
      <c r="BZ136" s="529">
        <f t="shared" ref="BZ136" si="276">BY136</f>
        <v>2615.4764317748568</v>
      </c>
      <c r="CA136" s="529">
        <f t="shared" ref="CA136" si="277">BZ136</f>
        <v>2615.4764317748568</v>
      </c>
      <c r="CB136" s="529">
        <f t="shared" ref="CB136" si="278">CA136</f>
        <v>2615.4764317748568</v>
      </c>
      <c r="CC136" s="529">
        <f t="shared" ref="CC136" si="279">CB136</f>
        <v>2615.4764317748568</v>
      </c>
      <c r="CD136" s="529">
        <f t="shared" ref="CD136" si="280">CC136</f>
        <v>2615.4764317748568</v>
      </c>
      <c r="CE136" s="529">
        <f t="shared" ref="CE136" si="281">CD136</f>
        <v>2615.4764317748568</v>
      </c>
      <c r="CF136" s="529">
        <f t="shared" ref="CF136" si="282">CE136</f>
        <v>2615.4764317748568</v>
      </c>
      <c r="CG136" s="529">
        <f t="shared" ref="CG136" si="283">CF136</f>
        <v>2615.4764317748568</v>
      </c>
      <c r="CH136" s="529">
        <f t="shared" ref="CH136" si="284">CG136</f>
        <v>2615.4764317748568</v>
      </c>
      <c r="CI136" s="529">
        <f t="shared" ref="CI136" si="285">CH136</f>
        <v>2615.4764317748568</v>
      </c>
      <c r="CJ136" s="529">
        <f t="shared" ref="CJ136" si="286">CI136</f>
        <v>2615.4764317748568</v>
      </c>
      <c r="CK136" s="529">
        <f t="shared" ref="CK136" si="287">CJ136</f>
        <v>2615.4764317748568</v>
      </c>
      <c r="CL136" s="529">
        <f t="shared" ref="CL136" si="288">CK136</f>
        <v>2615.4764317748568</v>
      </c>
      <c r="CM136" s="529">
        <f t="shared" ref="CM136" si="289">CL136</f>
        <v>2615.4764317748568</v>
      </c>
      <c r="CN136" s="529">
        <f t="shared" ref="CN136" si="290">CM136</f>
        <v>2615.4764317748568</v>
      </c>
      <c r="CO136" s="529">
        <f t="shared" ref="CO136" si="291">CN136</f>
        <v>2615.4764317748568</v>
      </c>
      <c r="CP136" s="529">
        <f t="shared" ref="CP136" si="292">CO136</f>
        <v>2615.4764317748568</v>
      </c>
      <c r="CQ136" s="529">
        <f t="shared" ref="CQ136" si="293">CP136</f>
        <v>2615.4764317748568</v>
      </c>
      <c r="CR136" s="529">
        <f t="shared" ref="CR136" si="294">CQ136</f>
        <v>2615.4764317748568</v>
      </c>
      <c r="CS136" s="529">
        <f t="shared" ref="CS136" si="295">CR136</f>
        <v>2615.4764317748568</v>
      </c>
      <c r="CT136" s="529">
        <f t="shared" ref="CT136" si="296">CS136</f>
        <v>2615.4764317748568</v>
      </c>
      <c r="CU136" s="529">
        <f t="shared" ref="CU136" si="297">CT136</f>
        <v>2615.4764317748568</v>
      </c>
      <c r="CV136" s="529">
        <f t="shared" ref="CV136" si="298">CU136</f>
        <v>2615.4764317748568</v>
      </c>
      <c r="CW136" s="529">
        <f t="shared" ref="CW136" si="299">CV136</f>
        <v>2615.4764317748568</v>
      </c>
      <c r="CX136" s="529">
        <f t="shared" ref="CX136" si="300">CW136</f>
        <v>2615.4764317748568</v>
      </c>
      <c r="CY136" s="529">
        <f t="shared" ref="CY136" si="301">CX136</f>
        <v>2615.4764317748568</v>
      </c>
      <c r="CZ136" s="529">
        <f t="shared" ref="CZ136" si="302">CY136</f>
        <v>2615.4764317748568</v>
      </c>
      <c r="DA136" s="529">
        <f t="shared" ref="DA136" si="303">CZ136</f>
        <v>2615.4764317748568</v>
      </c>
      <c r="DB136" s="529">
        <f t="shared" ref="DB136" si="304">DA136</f>
        <v>2615.4764317748568</v>
      </c>
      <c r="DC136" s="529">
        <f t="shared" ref="DC136" si="305">DB136</f>
        <v>2615.4764317748568</v>
      </c>
      <c r="DD136" s="529">
        <f t="shared" ref="DD136" si="306">DC136</f>
        <v>2615.4764317748568</v>
      </c>
      <c r="DE136" s="529">
        <f t="shared" ref="DE136" si="307">DD136</f>
        <v>2615.4764317748568</v>
      </c>
      <c r="DF136" s="310"/>
      <c r="DG136" s="310"/>
      <c r="DH136" s="310"/>
      <c r="DI136" s="310"/>
      <c r="DJ136" s="310"/>
      <c r="DK136" s="310"/>
      <c r="DL136" s="310"/>
    </row>
    <row r="137" spans="1:116" ht="15.75" customHeight="1" x14ac:dyDescent="0.25">
      <c r="A137" s="751"/>
      <c r="B137" s="751"/>
      <c r="C137" s="291" t="s">
        <v>281</v>
      </c>
      <c r="D137" s="530"/>
      <c r="E137" s="531"/>
      <c r="F137" s="532"/>
      <c r="G137" s="533"/>
      <c r="H137" s="372">
        <f t="shared" ref="H137:DE137" si="308">H136*H135</f>
        <v>9.9170148038130002</v>
      </c>
      <c r="I137" s="336">
        <f t="shared" si="308"/>
        <v>9.9170148038130002</v>
      </c>
      <c r="J137" s="336">
        <f t="shared" si="308"/>
        <v>9.9170148038130002</v>
      </c>
      <c r="K137" s="336">
        <f t="shared" si="308"/>
        <v>9.9170148038130002</v>
      </c>
      <c r="L137" s="336">
        <f t="shared" si="308"/>
        <v>9.9170148038130002</v>
      </c>
      <c r="M137" s="336">
        <f t="shared" si="308"/>
        <v>9.9170148038130002</v>
      </c>
      <c r="N137" s="336">
        <f t="shared" si="308"/>
        <v>9.9170148038130002</v>
      </c>
      <c r="O137" s="336">
        <f t="shared" si="308"/>
        <v>9.9170148038130002</v>
      </c>
      <c r="P137" s="336">
        <f t="shared" si="308"/>
        <v>9.9170148038130002</v>
      </c>
      <c r="Q137" s="336">
        <f t="shared" si="308"/>
        <v>9.9170148038130002</v>
      </c>
      <c r="R137" s="336">
        <f t="shared" si="308"/>
        <v>9.9170148038130002</v>
      </c>
      <c r="S137" s="336">
        <f t="shared" si="308"/>
        <v>9.9170148038130002</v>
      </c>
      <c r="T137" s="336">
        <f t="shared" si="308"/>
        <v>9.9170148038130002</v>
      </c>
      <c r="U137" s="336">
        <f t="shared" si="308"/>
        <v>9.9170148038130002</v>
      </c>
      <c r="V137" s="336">
        <f t="shared" si="308"/>
        <v>9.9170148038130002</v>
      </c>
      <c r="W137" s="336">
        <f t="shared" si="308"/>
        <v>9.9170148038130002</v>
      </c>
      <c r="X137" s="336">
        <f t="shared" si="308"/>
        <v>9.9170148038130002</v>
      </c>
      <c r="Y137" s="336">
        <f t="shared" si="308"/>
        <v>9.9170148038130002</v>
      </c>
      <c r="Z137" s="336">
        <f t="shared" si="308"/>
        <v>9.9170148038130002</v>
      </c>
      <c r="AA137" s="336">
        <f t="shared" si="308"/>
        <v>9.9170148038130002</v>
      </c>
      <c r="AB137" s="336">
        <f t="shared" si="308"/>
        <v>9.9170148038130002</v>
      </c>
      <c r="AC137" s="336">
        <f t="shared" si="308"/>
        <v>9.9170148038130002</v>
      </c>
      <c r="AD137" s="336">
        <f t="shared" si="308"/>
        <v>9.9170148038130002</v>
      </c>
      <c r="AE137" s="336">
        <f t="shared" si="308"/>
        <v>9.9170148038130002</v>
      </c>
      <c r="AF137" s="336">
        <f t="shared" si="308"/>
        <v>9.9170148038130002</v>
      </c>
      <c r="AG137" s="336">
        <f t="shared" si="308"/>
        <v>9.9170148038130002</v>
      </c>
      <c r="AH137" s="336">
        <f t="shared" si="308"/>
        <v>9.9170148038130002</v>
      </c>
      <c r="AI137" s="336">
        <f t="shared" si="308"/>
        <v>9.9170148038130002</v>
      </c>
      <c r="AJ137" s="336">
        <f t="shared" si="308"/>
        <v>9.9170148038130002</v>
      </c>
      <c r="AK137" s="336">
        <f t="shared" si="308"/>
        <v>9.9170148038130002</v>
      </c>
      <c r="AL137" s="336">
        <f t="shared" si="308"/>
        <v>9.9170148038130002</v>
      </c>
      <c r="AM137" s="336">
        <f t="shared" si="308"/>
        <v>9.9170148038130002</v>
      </c>
      <c r="AN137" s="336">
        <f t="shared" si="308"/>
        <v>9.9170148038130002</v>
      </c>
      <c r="AO137" s="336">
        <f t="shared" si="308"/>
        <v>9.9170148038130002</v>
      </c>
      <c r="AP137" s="336">
        <f t="shared" si="308"/>
        <v>9.9170148038130002</v>
      </c>
      <c r="AQ137" s="336">
        <f t="shared" si="308"/>
        <v>9.9170148038130002</v>
      </c>
      <c r="AR137" s="336">
        <f t="shared" si="308"/>
        <v>9.9170148038130002</v>
      </c>
      <c r="AS137" s="336">
        <f t="shared" si="308"/>
        <v>9.9170148038130002</v>
      </c>
      <c r="AT137" s="336">
        <f t="shared" si="308"/>
        <v>9.9170148038130002</v>
      </c>
      <c r="AU137" s="336">
        <f t="shared" si="308"/>
        <v>9.9170148038130002</v>
      </c>
      <c r="AV137" s="336">
        <f t="shared" si="308"/>
        <v>9.9170148038130002</v>
      </c>
      <c r="AW137" s="336">
        <f t="shared" si="308"/>
        <v>9.9170148038130002</v>
      </c>
      <c r="AX137" s="336">
        <f t="shared" si="308"/>
        <v>9.9170148038130002</v>
      </c>
      <c r="AY137" s="336">
        <f t="shared" si="308"/>
        <v>9.9170148038130002</v>
      </c>
      <c r="AZ137" s="336">
        <f t="shared" si="308"/>
        <v>9.9170148038130002</v>
      </c>
      <c r="BA137" s="336">
        <f t="shared" si="308"/>
        <v>9.9170148038130002</v>
      </c>
      <c r="BB137" s="336">
        <f t="shared" si="308"/>
        <v>9.9170148038130002</v>
      </c>
      <c r="BC137" s="336">
        <f t="shared" si="308"/>
        <v>9.9170148038130002</v>
      </c>
      <c r="BD137" s="336">
        <f t="shared" si="308"/>
        <v>9.9170148038130002</v>
      </c>
      <c r="BE137" s="336">
        <f t="shared" si="308"/>
        <v>9.9170148038130002</v>
      </c>
      <c r="BF137" s="336">
        <f t="shared" si="308"/>
        <v>9.9170148038130002</v>
      </c>
      <c r="BG137" s="336">
        <f t="shared" si="308"/>
        <v>9.9170148038130002</v>
      </c>
      <c r="BH137" s="336">
        <f t="shared" si="308"/>
        <v>9.9170148038130002</v>
      </c>
      <c r="BI137" s="336">
        <f t="shared" si="308"/>
        <v>9.9170148038130002</v>
      </c>
      <c r="BJ137" s="336">
        <f t="shared" si="308"/>
        <v>9.9170148038130002</v>
      </c>
      <c r="BK137" s="336">
        <f t="shared" si="308"/>
        <v>9.9170148038130002</v>
      </c>
      <c r="BL137" s="336">
        <f t="shared" si="308"/>
        <v>9.9170148038130002</v>
      </c>
      <c r="BM137" s="336">
        <f t="shared" si="308"/>
        <v>9.9170148038130002</v>
      </c>
      <c r="BN137" s="336">
        <f t="shared" si="308"/>
        <v>9.9170148038130002</v>
      </c>
      <c r="BO137" s="336">
        <f t="shared" si="308"/>
        <v>9.9170148038130002</v>
      </c>
      <c r="BP137" s="336">
        <f t="shared" si="308"/>
        <v>9.9170148038130002</v>
      </c>
      <c r="BQ137" s="336">
        <f t="shared" si="308"/>
        <v>9.9170148038130002</v>
      </c>
      <c r="BR137" s="336">
        <f t="shared" si="308"/>
        <v>9.9170148038130002</v>
      </c>
      <c r="BS137" s="336">
        <f t="shared" si="308"/>
        <v>9.9170148038130002</v>
      </c>
      <c r="BT137" s="336">
        <f t="shared" si="308"/>
        <v>9.9170148038130002</v>
      </c>
      <c r="BU137" s="336">
        <f t="shared" si="308"/>
        <v>9.9170148038130002</v>
      </c>
      <c r="BV137" s="336">
        <f t="shared" si="308"/>
        <v>9.9170148038130002</v>
      </c>
      <c r="BW137" s="336">
        <f t="shared" si="308"/>
        <v>9.9170148038130002</v>
      </c>
      <c r="BX137" s="336">
        <f t="shared" si="308"/>
        <v>9.9170148038130002</v>
      </c>
      <c r="BY137" s="336">
        <f t="shared" si="308"/>
        <v>9.9170148038130002</v>
      </c>
      <c r="BZ137" s="336">
        <f t="shared" si="308"/>
        <v>9.9170148038130002</v>
      </c>
      <c r="CA137" s="336">
        <f t="shared" si="308"/>
        <v>9.9170148038130002</v>
      </c>
      <c r="CB137" s="336">
        <f t="shared" si="308"/>
        <v>9.9170148038130002</v>
      </c>
      <c r="CC137" s="336">
        <f t="shared" si="308"/>
        <v>9.9170148038130002</v>
      </c>
      <c r="CD137" s="336">
        <f t="shared" si="308"/>
        <v>9.9170148038130002</v>
      </c>
      <c r="CE137" s="336">
        <f t="shared" si="308"/>
        <v>9.9170148038130002</v>
      </c>
      <c r="CF137" s="336">
        <f t="shared" si="308"/>
        <v>9.9170148038130002</v>
      </c>
      <c r="CG137" s="336">
        <f t="shared" si="308"/>
        <v>9.9170148038130002</v>
      </c>
      <c r="CH137" s="336">
        <f t="shared" si="308"/>
        <v>9.9170148038130002</v>
      </c>
      <c r="CI137" s="336">
        <f t="shared" si="308"/>
        <v>9.9170148038130002</v>
      </c>
      <c r="CJ137" s="336">
        <f t="shared" si="308"/>
        <v>9.9170148038130002</v>
      </c>
      <c r="CK137" s="336">
        <f t="shared" si="308"/>
        <v>9.9170148038130002</v>
      </c>
      <c r="CL137" s="336">
        <f t="shared" si="308"/>
        <v>9.9170148038130002</v>
      </c>
      <c r="CM137" s="336">
        <f t="shared" si="308"/>
        <v>9.9170148038130002</v>
      </c>
      <c r="CN137" s="336">
        <f t="shared" si="308"/>
        <v>9.9170148038130002</v>
      </c>
      <c r="CO137" s="336">
        <f t="shared" si="308"/>
        <v>9.9170148038130002</v>
      </c>
      <c r="CP137" s="336">
        <f t="shared" si="308"/>
        <v>9.9170148038130002</v>
      </c>
      <c r="CQ137" s="336">
        <f t="shared" si="308"/>
        <v>9.9170148038130002</v>
      </c>
      <c r="CR137" s="336">
        <f t="shared" si="308"/>
        <v>9.9170148038130002</v>
      </c>
      <c r="CS137" s="336">
        <f t="shared" si="308"/>
        <v>9.9170148038130002</v>
      </c>
      <c r="CT137" s="336">
        <f t="shared" si="308"/>
        <v>9.9170148038130002</v>
      </c>
      <c r="CU137" s="336">
        <f t="shared" si="308"/>
        <v>9.9170148038130002</v>
      </c>
      <c r="CV137" s="336">
        <f t="shared" si="308"/>
        <v>9.9170148038130002</v>
      </c>
      <c r="CW137" s="336">
        <f t="shared" si="308"/>
        <v>9.9170148038130002</v>
      </c>
      <c r="CX137" s="336">
        <f t="shared" si="308"/>
        <v>9.9170148038130002</v>
      </c>
      <c r="CY137" s="336">
        <f t="shared" si="308"/>
        <v>9.9170148038130002</v>
      </c>
      <c r="CZ137" s="336">
        <f t="shared" si="308"/>
        <v>9.9170148038130002</v>
      </c>
      <c r="DA137" s="336">
        <f t="shared" si="308"/>
        <v>9.9170148038130002</v>
      </c>
      <c r="DB137" s="336">
        <f t="shared" si="308"/>
        <v>9.9170148038130002</v>
      </c>
      <c r="DC137" s="336">
        <f t="shared" si="308"/>
        <v>9.9170148038130002</v>
      </c>
      <c r="DD137" s="336">
        <f t="shared" si="308"/>
        <v>9.9170148038130002</v>
      </c>
      <c r="DE137" s="336">
        <f t="shared" si="308"/>
        <v>9.9170148038130002</v>
      </c>
      <c r="DF137" s="289"/>
      <c r="DG137" s="289"/>
      <c r="DH137" s="289"/>
      <c r="DI137" s="289"/>
      <c r="DJ137" s="289"/>
      <c r="DK137" s="289"/>
      <c r="DL137" s="289"/>
    </row>
    <row r="138" spans="1:116" ht="15.75" customHeight="1" x14ac:dyDescent="0.25">
      <c r="A138" s="751"/>
      <c r="B138" s="751"/>
      <c r="C138" s="321" t="s">
        <v>282</v>
      </c>
      <c r="D138" s="384"/>
      <c r="E138" s="385"/>
      <c r="F138" s="385"/>
      <c r="G138" s="386"/>
      <c r="H138" s="388">
        <v>3487</v>
      </c>
      <c r="I138" s="534">
        <f>H138*(1+('Unit Costs and Indicators'!$D$145/2))</f>
        <v>3487</v>
      </c>
      <c r="J138" s="534">
        <f>I138*(1+('Unit Costs and Indicators'!$D$145/2))</f>
        <v>3487</v>
      </c>
      <c r="K138" s="534">
        <f>J138*(1+('Unit Costs and Indicators'!$D$145/2))</f>
        <v>3487</v>
      </c>
      <c r="L138" s="534">
        <f>K138*(1+('Unit Costs and Indicators'!$D$145/2))</f>
        <v>3487</v>
      </c>
      <c r="M138" s="534">
        <f>L138*(1+('Unit Costs and Indicators'!$D$145/2))</f>
        <v>3487</v>
      </c>
      <c r="N138" s="534">
        <f>M138*(1+('Unit Costs and Indicators'!$D$145/2))</f>
        <v>3487</v>
      </c>
      <c r="O138" s="534">
        <f>N138*(1+('Unit Costs and Indicators'!$D$145/2))</f>
        <v>3487</v>
      </c>
      <c r="P138" s="534">
        <f>O138*(1+('Unit Costs and Indicators'!$D$145/2))</f>
        <v>3487</v>
      </c>
      <c r="Q138" s="534">
        <f>P138*(1+('Unit Costs and Indicators'!$D$145/2))</f>
        <v>3487</v>
      </c>
      <c r="R138" s="534">
        <f>Q138*(1+('Unit Costs and Indicators'!$D$145/2))</f>
        <v>3487</v>
      </c>
      <c r="S138" s="534">
        <f>R138*(1+('Unit Costs and Indicators'!$D$145/2))</f>
        <v>3487</v>
      </c>
      <c r="T138" s="534">
        <f>S138*(1+('Unit Costs and Indicators'!$D$145/2))</f>
        <v>3487</v>
      </c>
      <c r="U138" s="534">
        <f>T138*(1+('Unit Costs and Indicators'!$D$145/2))</f>
        <v>3487</v>
      </c>
      <c r="V138" s="534">
        <f>U138*(1+('Unit Costs and Indicators'!$D$145/2))</f>
        <v>3487</v>
      </c>
      <c r="W138" s="534">
        <f>V138*(1+('Unit Costs and Indicators'!$D$145/2))</f>
        <v>3487</v>
      </c>
      <c r="X138" s="534">
        <f>W138*(1+('Unit Costs and Indicators'!$D$145/2))</f>
        <v>3487</v>
      </c>
      <c r="Y138" s="534">
        <f>X138*(1+('Unit Costs and Indicators'!$D$145/2))</f>
        <v>3487</v>
      </c>
      <c r="Z138" s="534">
        <f>Y138*(1+('Unit Costs and Indicators'!$D$145/2))</f>
        <v>3487</v>
      </c>
      <c r="AA138" s="534">
        <f>Z138*(1+('Unit Costs and Indicators'!$D$145/2))</f>
        <v>3487</v>
      </c>
      <c r="AB138" s="534">
        <f>AA138*(1+('Unit Costs and Indicators'!$D$145/2))</f>
        <v>3487</v>
      </c>
      <c r="AC138" s="534">
        <f>AB138*(1+('Unit Costs and Indicators'!$D$145/2))</f>
        <v>3487</v>
      </c>
      <c r="AD138" s="534">
        <f>AC138*(1+('Unit Costs and Indicators'!$D$145/2))</f>
        <v>3487</v>
      </c>
      <c r="AE138" s="534">
        <f>AD138*(1+('Unit Costs and Indicators'!$D$145/2))</f>
        <v>3487</v>
      </c>
      <c r="AF138" s="534">
        <f>AE138*(1+('Unit Costs and Indicators'!$D$145/2))</f>
        <v>3487</v>
      </c>
      <c r="AG138" s="534">
        <f>AF138*(1+('Unit Costs and Indicators'!$D$145/2))</f>
        <v>3487</v>
      </c>
      <c r="AH138" s="534">
        <f>AG138*(1+('Unit Costs and Indicators'!$D$145/2))</f>
        <v>3487</v>
      </c>
      <c r="AI138" s="534">
        <f>AH138*(1+('Unit Costs and Indicators'!$D$145/2))</f>
        <v>3487</v>
      </c>
      <c r="AJ138" s="534">
        <f>AI138*(1+('Unit Costs and Indicators'!$D$145/2))</f>
        <v>3487</v>
      </c>
      <c r="AK138" s="534">
        <f>AJ138*(1+('Unit Costs and Indicators'!$D$145/2))</f>
        <v>3487</v>
      </c>
      <c r="AL138" s="534">
        <f>AK138*(1+('Unit Costs and Indicators'!$D$145/2))</f>
        <v>3487</v>
      </c>
      <c r="AM138" s="534">
        <f>AL138*(1+('Unit Costs and Indicators'!$D$145/2))</f>
        <v>3487</v>
      </c>
      <c r="AN138" s="534">
        <f>AM138*(1+('Unit Costs and Indicators'!$D$145/2))</f>
        <v>3487</v>
      </c>
      <c r="AO138" s="534">
        <f>AN138*(1+('Unit Costs and Indicators'!$D$145/2))</f>
        <v>3487</v>
      </c>
      <c r="AP138" s="534">
        <f>AO138*(1+('Unit Costs and Indicators'!$D$145/2))</f>
        <v>3487</v>
      </c>
      <c r="AQ138" s="534">
        <f>AP138*(1+('Unit Costs and Indicators'!$D$145/2))</f>
        <v>3487</v>
      </c>
      <c r="AR138" s="534">
        <f>AQ138*(1+('Unit Costs and Indicators'!$D$145/2))</f>
        <v>3487</v>
      </c>
      <c r="AS138" s="534">
        <f>AR138*(1+('Unit Costs and Indicators'!$D$145/2))</f>
        <v>3487</v>
      </c>
      <c r="AT138" s="534">
        <f>AS138*(1+('Unit Costs and Indicators'!$D$145/2))</f>
        <v>3487</v>
      </c>
      <c r="AU138" s="534">
        <f>AT138*(1+('Unit Costs and Indicators'!$D$145/2))</f>
        <v>3487</v>
      </c>
      <c r="AV138" s="534">
        <f>AU138*(1+('Unit Costs and Indicators'!$D$145/2))</f>
        <v>3487</v>
      </c>
      <c r="AW138" s="534">
        <f>AV138*(1+('Unit Costs and Indicators'!$D$145/2))</f>
        <v>3487</v>
      </c>
      <c r="AX138" s="534">
        <f>AW138*(1+('Unit Costs and Indicators'!$D$145/2))</f>
        <v>3487</v>
      </c>
      <c r="AY138" s="534">
        <f>AX138*(1+('Unit Costs and Indicators'!$D$145/2))</f>
        <v>3487</v>
      </c>
      <c r="AZ138" s="534">
        <f>AY138*(1+('Unit Costs and Indicators'!$D$145/2))</f>
        <v>3487</v>
      </c>
      <c r="BA138" s="534">
        <f>AZ138*(1+('Unit Costs and Indicators'!$D$145/2))</f>
        <v>3487</v>
      </c>
      <c r="BB138" s="534">
        <f>BA138*(1+('Unit Costs and Indicators'!$D$145/2))</f>
        <v>3487</v>
      </c>
      <c r="BC138" s="534">
        <f>BB138*(1+('Unit Costs and Indicators'!$D$145/2))</f>
        <v>3487</v>
      </c>
      <c r="BD138" s="534">
        <f>BC138*(1+('Unit Costs and Indicators'!$D$145/2))</f>
        <v>3487</v>
      </c>
      <c r="BE138" s="534">
        <f>BD138*(1+('Unit Costs and Indicators'!$D$145/2))</f>
        <v>3487</v>
      </c>
      <c r="BF138" s="534">
        <f>BE138*(1+('Unit Costs and Indicators'!$D$145/2))</f>
        <v>3487</v>
      </c>
      <c r="BG138" s="534">
        <f>BF138*(1+('Unit Costs and Indicators'!$D$145/2))</f>
        <v>3487</v>
      </c>
      <c r="BH138" s="534">
        <f>BG138*(1+('Unit Costs and Indicators'!$D$145/2))</f>
        <v>3487</v>
      </c>
      <c r="BI138" s="534">
        <f>BH138*(1+('Unit Costs and Indicators'!$D$145/2))</f>
        <v>3487</v>
      </c>
      <c r="BJ138" s="534">
        <f>BI138*(1+('Unit Costs and Indicators'!$D$145/2))</f>
        <v>3487</v>
      </c>
      <c r="BK138" s="534">
        <f>BJ138*(1+('Unit Costs and Indicators'!$D$145/2))</f>
        <v>3487</v>
      </c>
      <c r="BL138" s="534">
        <f>BK138*(1+('Unit Costs and Indicators'!$D$145/2))</f>
        <v>3487</v>
      </c>
      <c r="BM138" s="534">
        <f>BL138*(1+('Unit Costs and Indicators'!$D$145/2))</f>
        <v>3487</v>
      </c>
      <c r="BN138" s="534">
        <f>BM138*(1+('Unit Costs and Indicators'!$D$145/2))</f>
        <v>3487</v>
      </c>
      <c r="BO138" s="534">
        <f>BN138*(1+('Unit Costs and Indicators'!$D$145/2))</f>
        <v>3487</v>
      </c>
      <c r="BP138" s="534">
        <f>BO138*(1+('Unit Costs and Indicators'!$D$145/2))</f>
        <v>3487</v>
      </c>
      <c r="BQ138" s="534">
        <f>BP138*(1+('Unit Costs and Indicators'!$D$145/2))</f>
        <v>3487</v>
      </c>
      <c r="BR138" s="534">
        <f>BQ138*(1+('Unit Costs and Indicators'!$D$145/2))</f>
        <v>3487</v>
      </c>
      <c r="BS138" s="534">
        <f>BR138*(1+('Unit Costs and Indicators'!$D$145/2))</f>
        <v>3487</v>
      </c>
      <c r="BT138" s="534">
        <f>BS138*(1+('Unit Costs and Indicators'!$D$145/2))</f>
        <v>3487</v>
      </c>
      <c r="BU138" s="534">
        <f>BT138*(1+('Unit Costs and Indicators'!$D$145/2))</f>
        <v>3487</v>
      </c>
      <c r="BV138" s="534">
        <f>BU138*(1+('Unit Costs and Indicators'!$D$145/2))</f>
        <v>3487</v>
      </c>
      <c r="BW138" s="534">
        <f>BV138*(1+('Unit Costs and Indicators'!$D$145/2))</f>
        <v>3487</v>
      </c>
      <c r="BX138" s="534">
        <f>BW138*(1+('Unit Costs and Indicators'!$D$145/2))</f>
        <v>3487</v>
      </c>
      <c r="BY138" s="534">
        <f>BX138*(1+('Unit Costs and Indicators'!$D$145/2))</f>
        <v>3487</v>
      </c>
      <c r="BZ138" s="534">
        <f>BY138*(1+('Unit Costs and Indicators'!$D$145/2))</f>
        <v>3487</v>
      </c>
      <c r="CA138" s="534">
        <f>BZ138*(1+('Unit Costs and Indicators'!$D$145/2))</f>
        <v>3487</v>
      </c>
      <c r="CB138" s="534">
        <f>CA138*(1+('Unit Costs and Indicators'!$D$145/2))</f>
        <v>3487</v>
      </c>
      <c r="CC138" s="534">
        <f>CB138*(1+('Unit Costs and Indicators'!$D$145/2))</f>
        <v>3487</v>
      </c>
      <c r="CD138" s="534">
        <f>CC138*(1+('Unit Costs and Indicators'!$D$145/2))</f>
        <v>3487</v>
      </c>
      <c r="CE138" s="534">
        <f>CD138*(1+('Unit Costs and Indicators'!$D$145/2))</f>
        <v>3487</v>
      </c>
      <c r="CF138" s="534">
        <f>CE138*(1+('Unit Costs and Indicators'!$D$145/2))</f>
        <v>3487</v>
      </c>
      <c r="CG138" s="534">
        <f>CF138*(1+('Unit Costs and Indicators'!$D$145/2))</f>
        <v>3487</v>
      </c>
      <c r="CH138" s="534">
        <f>CG138*(1+('Unit Costs and Indicators'!$D$145/2))</f>
        <v>3487</v>
      </c>
      <c r="CI138" s="534">
        <f>CH138*(1+('Unit Costs and Indicators'!$D$145/2))</f>
        <v>3487</v>
      </c>
      <c r="CJ138" s="534">
        <f>CI138*(1+('Unit Costs and Indicators'!$D$145/2))</f>
        <v>3487</v>
      </c>
      <c r="CK138" s="534">
        <f>CJ138*(1+('Unit Costs and Indicators'!$D$145/2))</f>
        <v>3487</v>
      </c>
      <c r="CL138" s="534">
        <f>CK138*(1+('Unit Costs and Indicators'!$D$145/2))</f>
        <v>3487</v>
      </c>
      <c r="CM138" s="534">
        <f>CL138*(1+('Unit Costs and Indicators'!$D$145/2))</f>
        <v>3487</v>
      </c>
      <c r="CN138" s="534">
        <f>CM138*(1+('Unit Costs and Indicators'!$D$145/2))</f>
        <v>3487</v>
      </c>
      <c r="CO138" s="534">
        <f>CN138*(1+('Unit Costs and Indicators'!$D$145/2))</f>
        <v>3487</v>
      </c>
      <c r="CP138" s="534">
        <f>CO138*(1+('Unit Costs and Indicators'!$D$145/2))</f>
        <v>3487</v>
      </c>
      <c r="CQ138" s="534">
        <f>CP138*(1+('Unit Costs and Indicators'!$D$145/2))</f>
        <v>3487</v>
      </c>
      <c r="CR138" s="534">
        <f>CQ138*(1+('Unit Costs and Indicators'!$D$145/2))</f>
        <v>3487</v>
      </c>
      <c r="CS138" s="534">
        <f>CR138*(1+('Unit Costs and Indicators'!$D$145/2))</f>
        <v>3487</v>
      </c>
      <c r="CT138" s="534">
        <f>CS138*(1+('Unit Costs and Indicators'!$D$145/2))</f>
        <v>3487</v>
      </c>
      <c r="CU138" s="534">
        <f>CT138*(1+('Unit Costs and Indicators'!$D$145/2))</f>
        <v>3487</v>
      </c>
      <c r="CV138" s="534">
        <f>CU138*(1+('Unit Costs and Indicators'!$D$145/2))</f>
        <v>3487</v>
      </c>
      <c r="CW138" s="534">
        <f>CV138*(1+('Unit Costs and Indicators'!$D$145/2))</f>
        <v>3487</v>
      </c>
      <c r="CX138" s="534">
        <f>CW138*(1+('Unit Costs and Indicators'!$D$145/2))</f>
        <v>3487</v>
      </c>
      <c r="CY138" s="534">
        <f>CX138*(1+('Unit Costs and Indicators'!$D$145/2))</f>
        <v>3487</v>
      </c>
      <c r="CZ138" s="534">
        <f>CY138*(1+('Unit Costs and Indicators'!$D$145/2))</f>
        <v>3487</v>
      </c>
      <c r="DA138" s="534">
        <f>CZ138*(1+('Unit Costs and Indicators'!$D$145/2))</f>
        <v>3487</v>
      </c>
      <c r="DB138" s="534">
        <f>DA138*(1+('Unit Costs and Indicators'!$D$145/2))</f>
        <v>3487</v>
      </c>
      <c r="DC138" s="534">
        <f>DB138*(1+('Unit Costs and Indicators'!$D$145/2))</f>
        <v>3487</v>
      </c>
      <c r="DD138" s="534">
        <f>DC138*(1+('Unit Costs and Indicators'!$D$145/2))</f>
        <v>3487</v>
      </c>
      <c r="DE138" s="534">
        <f>DD138*(1+('Unit Costs and Indicators'!$D$145/2))</f>
        <v>3487</v>
      </c>
      <c r="DF138" s="535"/>
      <c r="DG138" s="535"/>
      <c r="DH138" s="535"/>
      <c r="DI138" s="535"/>
      <c r="DJ138" s="535"/>
      <c r="DK138" s="535"/>
      <c r="DL138" s="535"/>
    </row>
    <row r="139" spans="1:116" ht="15.75" customHeight="1" x14ac:dyDescent="0.25">
      <c r="A139" s="751"/>
      <c r="B139" s="751"/>
      <c r="C139" s="321" t="s">
        <v>285</v>
      </c>
      <c r="D139" s="384"/>
      <c r="E139" s="385"/>
      <c r="F139" s="385"/>
      <c r="G139" s="386"/>
      <c r="H139" s="388">
        <v>0</v>
      </c>
      <c r="I139" s="536">
        <v>0</v>
      </c>
      <c r="J139" s="536">
        <v>0</v>
      </c>
      <c r="K139" s="536">
        <v>0</v>
      </c>
      <c r="L139" s="536">
        <v>0</v>
      </c>
      <c r="M139" s="536">
        <v>0</v>
      </c>
      <c r="N139" s="536">
        <v>0</v>
      </c>
      <c r="O139" s="536">
        <v>0</v>
      </c>
      <c r="P139" s="536">
        <v>0</v>
      </c>
      <c r="Q139" s="536">
        <v>0</v>
      </c>
      <c r="R139" s="536">
        <v>0</v>
      </c>
      <c r="S139" s="536">
        <v>0</v>
      </c>
      <c r="T139" s="536">
        <v>0</v>
      </c>
      <c r="U139" s="536">
        <v>0</v>
      </c>
      <c r="V139" s="536">
        <v>0</v>
      </c>
      <c r="W139" s="536">
        <v>0</v>
      </c>
      <c r="X139" s="536">
        <v>0</v>
      </c>
      <c r="Y139" s="536">
        <v>0</v>
      </c>
      <c r="Z139" s="536">
        <v>0</v>
      </c>
      <c r="AA139" s="536">
        <v>0</v>
      </c>
      <c r="AB139" s="536">
        <v>0</v>
      </c>
      <c r="AC139" s="536">
        <v>0</v>
      </c>
      <c r="AD139" s="536">
        <v>0</v>
      </c>
      <c r="AE139" s="536">
        <v>0</v>
      </c>
      <c r="AF139" s="536">
        <v>0</v>
      </c>
      <c r="AG139" s="536">
        <v>0</v>
      </c>
      <c r="AH139" s="536">
        <v>0</v>
      </c>
      <c r="AI139" s="536">
        <v>0</v>
      </c>
      <c r="AJ139" s="536">
        <v>0</v>
      </c>
      <c r="AK139" s="536">
        <v>0</v>
      </c>
      <c r="AL139" s="536">
        <v>0</v>
      </c>
      <c r="AM139" s="536">
        <v>0</v>
      </c>
      <c r="AN139" s="536">
        <v>0</v>
      </c>
      <c r="AO139" s="536">
        <v>0</v>
      </c>
      <c r="AP139" s="536">
        <v>0</v>
      </c>
      <c r="AQ139" s="536">
        <v>0</v>
      </c>
      <c r="AR139" s="536">
        <v>0</v>
      </c>
      <c r="AS139" s="536">
        <v>0</v>
      </c>
      <c r="AT139" s="536">
        <v>0</v>
      </c>
      <c r="AU139" s="536">
        <v>0</v>
      </c>
      <c r="AV139" s="536">
        <v>0</v>
      </c>
      <c r="AW139" s="536">
        <v>0</v>
      </c>
      <c r="AX139" s="536">
        <v>0</v>
      </c>
      <c r="AY139" s="536">
        <v>0</v>
      </c>
      <c r="AZ139" s="536">
        <v>0</v>
      </c>
      <c r="BA139" s="536">
        <v>0</v>
      </c>
      <c r="BB139" s="536">
        <v>0</v>
      </c>
      <c r="BC139" s="536">
        <v>0</v>
      </c>
      <c r="BD139" s="536">
        <v>0</v>
      </c>
      <c r="BE139" s="536">
        <v>0</v>
      </c>
      <c r="BF139" s="536">
        <v>0</v>
      </c>
      <c r="BG139" s="536">
        <v>0</v>
      </c>
      <c r="BH139" s="536">
        <v>0</v>
      </c>
      <c r="BI139" s="536">
        <v>0</v>
      </c>
      <c r="BJ139" s="536">
        <v>0</v>
      </c>
      <c r="BK139" s="536">
        <v>0</v>
      </c>
      <c r="BL139" s="536">
        <v>0</v>
      </c>
      <c r="BM139" s="536">
        <v>0</v>
      </c>
      <c r="BN139" s="536">
        <v>0</v>
      </c>
      <c r="BO139" s="536">
        <v>0</v>
      </c>
      <c r="BP139" s="536">
        <v>0</v>
      </c>
      <c r="BQ139" s="536">
        <v>0</v>
      </c>
      <c r="BR139" s="536">
        <v>0</v>
      </c>
      <c r="BS139" s="536">
        <v>0</v>
      </c>
      <c r="BT139" s="536">
        <v>0</v>
      </c>
      <c r="BU139" s="536">
        <v>0</v>
      </c>
      <c r="BV139" s="536">
        <v>0</v>
      </c>
      <c r="BW139" s="536">
        <v>0</v>
      </c>
      <c r="BX139" s="536">
        <v>0</v>
      </c>
      <c r="BY139" s="536">
        <v>0</v>
      </c>
      <c r="BZ139" s="536">
        <v>0</v>
      </c>
      <c r="CA139" s="536">
        <v>0</v>
      </c>
      <c r="CB139" s="536">
        <v>0</v>
      </c>
      <c r="CC139" s="536">
        <v>0</v>
      </c>
      <c r="CD139" s="536">
        <v>0</v>
      </c>
      <c r="CE139" s="536">
        <v>0</v>
      </c>
      <c r="CF139" s="536">
        <v>0</v>
      </c>
      <c r="CG139" s="536">
        <v>0</v>
      </c>
      <c r="CH139" s="536">
        <v>0</v>
      </c>
      <c r="CI139" s="536">
        <v>0</v>
      </c>
      <c r="CJ139" s="536">
        <v>0</v>
      </c>
      <c r="CK139" s="536">
        <v>0</v>
      </c>
      <c r="CL139" s="536">
        <v>0</v>
      </c>
      <c r="CM139" s="536">
        <v>0</v>
      </c>
      <c r="CN139" s="536">
        <v>0</v>
      </c>
      <c r="CO139" s="536">
        <v>0</v>
      </c>
      <c r="CP139" s="536">
        <v>0</v>
      </c>
      <c r="CQ139" s="536">
        <v>0</v>
      </c>
      <c r="CR139" s="536">
        <v>0</v>
      </c>
      <c r="CS139" s="536">
        <v>0</v>
      </c>
      <c r="CT139" s="536">
        <v>0</v>
      </c>
      <c r="CU139" s="536">
        <v>0</v>
      </c>
      <c r="CV139" s="536">
        <v>0</v>
      </c>
      <c r="CW139" s="536">
        <v>0</v>
      </c>
      <c r="CX139" s="536">
        <v>0</v>
      </c>
      <c r="CY139" s="536">
        <v>0</v>
      </c>
      <c r="CZ139" s="536">
        <v>0</v>
      </c>
      <c r="DA139" s="536">
        <v>0</v>
      </c>
      <c r="DB139" s="536">
        <v>0</v>
      </c>
      <c r="DC139" s="536">
        <v>0</v>
      </c>
      <c r="DD139" s="536">
        <v>0</v>
      </c>
      <c r="DE139" s="536">
        <v>0</v>
      </c>
      <c r="DF139" s="536"/>
      <c r="DG139" s="536"/>
      <c r="DH139" s="536"/>
      <c r="DI139" s="536"/>
      <c r="DJ139" s="536"/>
      <c r="DK139" s="536"/>
      <c r="DL139" s="536"/>
    </row>
    <row r="140" spans="1:116" ht="15.75" customHeight="1" x14ac:dyDescent="0.25">
      <c r="A140" s="751"/>
      <c r="B140" s="751"/>
      <c r="C140" s="283" t="s">
        <v>286</v>
      </c>
      <c r="D140" s="384"/>
      <c r="E140" s="385"/>
      <c r="F140" s="385"/>
      <c r="G140" s="386"/>
      <c r="H140" s="526">
        <f t="shared" ref="H140:DE140" si="309">(1.1/100)*(1820/5280)</f>
        <v>3.7916666666666671E-3</v>
      </c>
      <c r="I140" s="527">
        <f t="shared" si="309"/>
        <v>3.7916666666666671E-3</v>
      </c>
      <c r="J140" s="527">
        <f t="shared" si="309"/>
        <v>3.7916666666666671E-3</v>
      </c>
      <c r="K140" s="527">
        <f t="shared" si="309"/>
        <v>3.7916666666666671E-3</v>
      </c>
      <c r="L140" s="527">
        <f t="shared" si="309"/>
        <v>3.7916666666666671E-3</v>
      </c>
      <c r="M140" s="527">
        <f t="shared" si="309"/>
        <v>3.7916666666666671E-3</v>
      </c>
      <c r="N140" s="527">
        <f t="shared" si="309"/>
        <v>3.7916666666666671E-3</v>
      </c>
      <c r="O140" s="527">
        <f t="shared" si="309"/>
        <v>3.7916666666666671E-3</v>
      </c>
      <c r="P140" s="527">
        <f t="shared" si="309"/>
        <v>3.7916666666666671E-3</v>
      </c>
      <c r="Q140" s="527">
        <f t="shared" si="309"/>
        <v>3.7916666666666671E-3</v>
      </c>
      <c r="R140" s="527">
        <f t="shared" si="309"/>
        <v>3.7916666666666671E-3</v>
      </c>
      <c r="S140" s="527">
        <f t="shared" si="309"/>
        <v>3.7916666666666671E-3</v>
      </c>
      <c r="T140" s="527">
        <f t="shared" si="309"/>
        <v>3.7916666666666671E-3</v>
      </c>
      <c r="U140" s="527">
        <f t="shared" si="309"/>
        <v>3.7916666666666671E-3</v>
      </c>
      <c r="V140" s="527">
        <f t="shared" si="309"/>
        <v>3.7916666666666671E-3</v>
      </c>
      <c r="W140" s="527">
        <f t="shared" si="309"/>
        <v>3.7916666666666671E-3</v>
      </c>
      <c r="X140" s="527">
        <f t="shared" si="309"/>
        <v>3.7916666666666671E-3</v>
      </c>
      <c r="Y140" s="527">
        <f t="shared" si="309"/>
        <v>3.7916666666666671E-3</v>
      </c>
      <c r="Z140" s="527">
        <f t="shared" si="309"/>
        <v>3.7916666666666671E-3</v>
      </c>
      <c r="AA140" s="527">
        <f t="shared" si="309"/>
        <v>3.7916666666666671E-3</v>
      </c>
      <c r="AB140" s="527">
        <f t="shared" si="309"/>
        <v>3.7916666666666671E-3</v>
      </c>
      <c r="AC140" s="527">
        <f t="shared" si="309"/>
        <v>3.7916666666666671E-3</v>
      </c>
      <c r="AD140" s="527">
        <f t="shared" si="309"/>
        <v>3.7916666666666671E-3</v>
      </c>
      <c r="AE140" s="527">
        <f t="shared" si="309"/>
        <v>3.7916666666666671E-3</v>
      </c>
      <c r="AF140" s="527">
        <f t="shared" si="309"/>
        <v>3.7916666666666671E-3</v>
      </c>
      <c r="AG140" s="527">
        <f t="shared" si="309"/>
        <v>3.7916666666666671E-3</v>
      </c>
      <c r="AH140" s="527">
        <f t="shared" si="309"/>
        <v>3.7916666666666671E-3</v>
      </c>
      <c r="AI140" s="527">
        <f t="shared" si="309"/>
        <v>3.7916666666666671E-3</v>
      </c>
      <c r="AJ140" s="527">
        <f t="shared" si="309"/>
        <v>3.7916666666666671E-3</v>
      </c>
      <c r="AK140" s="527">
        <f t="shared" si="309"/>
        <v>3.7916666666666671E-3</v>
      </c>
      <c r="AL140" s="527">
        <f t="shared" si="309"/>
        <v>3.7916666666666671E-3</v>
      </c>
      <c r="AM140" s="527">
        <f t="shared" si="309"/>
        <v>3.7916666666666671E-3</v>
      </c>
      <c r="AN140" s="527">
        <f t="shared" si="309"/>
        <v>3.7916666666666671E-3</v>
      </c>
      <c r="AO140" s="527">
        <f t="shared" si="309"/>
        <v>3.7916666666666671E-3</v>
      </c>
      <c r="AP140" s="527">
        <f t="shared" si="309"/>
        <v>3.7916666666666671E-3</v>
      </c>
      <c r="AQ140" s="527">
        <f t="shared" si="309"/>
        <v>3.7916666666666671E-3</v>
      </c>
      <c r="AR140" s="527">
        <f t="shared" si="309"/>
        <v>3.7916666666666671E-3</v>
      </c>
      <c r="AS140" s="527">
        <f t="shared" si="309"/>
        <v>3.7916666666666671E-3</v>
      </c>
      <c r="AT140" s="527">
        <f t="shared" si="309"/>
        <v>3.7916666666666671E-3</v>
      </c>
      <c r="AU140" s="527">
        <f t="shared" si="309"/>
        <v>3.7916666666666671E-3</v>
      </c>
      <c r="AV140" s="527">
        <f t="shared" si="309"/>
        <v>3.7916666666666671E-3</v>
      </c>
      <c r="AW140" s="527">
        <f t="shared" si="309"/>
        <v>3.7916666666666671E-3</v>
      </c>
      <c r="AX140" s="527">
        <f t="shared" si="309"/>
        <v>3.7916666666666671E-3</v>
      </c>
      <c r="AY140" s="527">
        <f t="shared" si="309"/>
        <v>3.7916666666666671E-3</v>
      </c>
      <c r="AZ140" s="527">
        <f t="shared" si="309"/>
        <v>3.7916666666666671E-3</v>
      </c>
      <c r="BA140" s="527">
        <f t="shared" si="309"/>
        <v>3.7916666666666671E-3</v>
      </c>
      <c r="BB140" s="527">
        <f t="shared" si="309"/>
        <v>3.7916666666666671E-3</v>
      </c>
      <c r="BC140" s="527">
        <f t="shared" si="309"/>
        <v>3.7916666666666671E-3</v>
      </c>
      <c r="BD140" s="527">
        <f t="shared" si="309"/>
        <v>3.7916666666666671E-3</v>
      </c>
      <c r="BE140" s="527">
        <f t="shared" si="309"/>
        <v>3.7916666666666671E-3</v>
      </c>
      <c r="BF140" s="527">
        <f t="shared" si="309"/>
        <v>3.7916666666666671E-3</v>
      </c>
      <c r="BG140" s="527">
        <f t="shared" si="309"/>
        <v>3.7916666666666671E-3</v>
      </c>
      <c r="BH140" s="527">
        <f t="shared" si="309"/>
        <v>3.7916666666666671E-3</v>
      </c>
      <c r="BI140" s="527">
        <f t="shared" si="309"/>
        <v>3.7916666666666671E-3</v>
      </c>
      <c r="BJ140" s="527">
        <f t="shared" si="309"/>
        <v>3.7916666666666671E-3</v>
      </c>
      <c r="BK140" s="527">
        <f t="shared" si="309"/>
        <v>3.7916666666666671E-3</v>
      </c>
      <c r="BL140" s="527">
        <f t="shared" si="309"/>
        <v>3.7916666666666671E-3</v>
      </c>
      <c r="BM140" s="527">
        <f t="shared" si="309"/>
        <v>3.7916666666666671E-3</v>
      </c>
      <c r="BN140" s="527">
        <f t="shared" si="309"/>
        <v>3.7916666666666671E-3</v>
      </c>
      <c r="BO140" s="527">
        <f t="shared" si="309"/>
        <v>3.7916666666666671E-3</v>
      </c>
      <c r="BP140" s="527">
        <f t="shared" si="309"/>
        <v>3.7916666666666671E-3</v>
      </c>
      <c r="BQ140" s="527">
        <f t="shared" si="309"/>
        <v>3.7916666666666671E-3</v>
      </c>
      <c r="BR140" s="527">
        <f t="shared" si="309"/>
        <v>3.7916666666666671E-3</v>
      </c>
      <c r="BS140" s="527">
        <f t="shared" si="309"/>
        <v>3.7916666666666671E-3</v>
      </c>
      <c r="BT140" s="527">
        <f t="shared" si="309"/>
        <v>3.7916666666666671E-3</v>
      </c>
      <c r="BU140" s="527">
        <f t="shared" si="309"/>
        <v>3.7916666666666671E-3</v>
      </c>
      <c r="BV140" s="527">
        <f t="shared" si="309"/>
        <v>3.7916666666666671E-3</v>
      </c>
      <c r="BW140" s="527">
        <f t="shared" si="309"/>
        <v>3.7916666666666671E-3</v>
      </c>
      <c r="BX140" s="527">
        <f t="shared" si="309"/>
        <v>3.7916666666666671E-3</v>
      </c>
      <c r="BY140" s="527">
        <f t="shared" si="309"/>
        <v>3.7916666666666671E-3</v>
      </c>
      <c r="BZ140" s="527">
        <f t="shared" si="309"/>
        <v>3.7916666666666671E-3</v>
      </c>
      <c r="CA140" s="527">
        <f t="shared" si="309"/>
        <v>3.7916666666666671E-3</v>
      </c>
      <c r="CB140" s="527">
        <f t="shared" si="309"/>
        <v>3.7916666666666671E-3</v>
      </c>
      <c r="CC140" s="527">
        <f t="shared" si="309"/>
        <v>3.7916666666666671E-3</v>
      </c>
      <c r="CD140" s="527">
        <f t="shared" si="309"/>
        <v>3.7916666666666671E-3</v>
      </c>
      <c r="CE140" s="527">
        <f t="shared" si="309"/>
        <v>3.7916666666666671E-3</v>
      </c>
      <c r="CF140" s="527">
        <f t="shared" si="309"/>
        <v>3.7916666666666671E-3</v>
      </c>
      <c r="CG140" s="527">
        <f t="shared" si="309"/>
        <v>3.7916666666666671E-3</v>
      </c>
      <c r="CH140" s="527">
        <f t="shared" si="309"/>
        <v>3.7916666666666671E-3</v>
      </c>
      <c r="CI140" s="527">
        <f t="shared" si="309"/>
        <v>3.7916666666666671E-3</v>
      </c>
      <c r="CJ140" s="527">
        <f t="shared" si="309"/>
        <v>3.7916666666666671E-3</v>
      </c>
      <c r="CK140" s="527">
        <f t="shared" si="309"/>
        <v>3.7916666666666671E-3</v>
      </c>
      <c r="CL140" s="527">
        <f t="shared" si="309"/>
        <v>3.7916666666666671E-3</v>
      </c>
      <c r="CM140" s="527">
        <f t="shared" si="309"/>
        <v>3.7916666666666671E-3</v>
      </c>
      <c r="CN140" s="527">
        <f t="shared" si="309"/>
        <v>3.7916666666666671E-3</v>
      </c>
      <c r="CO140" s="527">
        <f t="shared" si="309"/>
        <v>3.7916666666666671E-3</v>
      </c>
      <c r="CP140" s="527">
        <f t="shared" si="309"/>
        <v>3.7916666666666671E-3</v>
      </c>
      <c r="CQ140" s="527">
        <f t="shared" si="309"/>
        <v>3.7916666666666671E-3</v>
      </c>
      <c r="CR140" s="527">
        <f t="shared" si="309"/>
        <v>3.7916666666666671E-3</v>
      </c>
      <c r="CS140" s="527">
        <f t="shared" si="309"/>
        <v>3.7916666666666671E-3</v>
      </c>
      <c r="CT140" s="527">
        <f t="shared" si="309"/>
        <v>3.7916666666666671E-3</v>
      </c>
      <c r="CU140" s="527">
        <f t="shared" si="309"/>
        <v>3.7916666666666671E-3</v>
      </c>
      <c r="CV140" s="527">
        <f t="shared" si="309"/>
        <v>3.7916666666666671E-3</v>
      </c>
      <c r="CW140" s="527">
        <f t="shared" si="309"/>
        <v>3.7916666666666671E-3</v>
      </c>
      <c r="CX140" s="527">
        <f t="shared" si="309"/>
        <v>3.7916666666666671E-3</v>
      </c>
      <c r="CY140" s="527">
        <f t="shared" si="309"/>
        <v>3.7916666666666671E-3</v>
      </c>
      <c r="CZ140" s="527">
        <f t="shared" si="309"/>
        <v>3.7916666666666671E-3</v>
      </c>
      <c r="DA140" s="527">
        <f t="shared" si="309"/>
        <v>3.7916666666666671E-3</v>
      </c>
      <c r="DB140" s="527">
        <f t="shared" si="309"/>
        <v>3.7916666666666671E-3</v>
      </c>
      <c r="DC140" s="527">
        <f t="shared" si="309"/>
        <v>3.7916666666666671E-3</v>
      </c>
      <c r="DD140" s="527">
        <f t="shared" si="309"/>
        <v>3.7916666666666671E-3</v>
      </c>
      <c r="DE140" s="527">
        <f t="shared" si="309"/>
        <v>3.7916666666666671E-3</v>
      </c>
      <c r="DF140" s="527"/>
      <c r="DG140" s="527"/>
      <c r="DH140" s="527"/>
      <c r="DI140" s="527"/>
      <c r="DJ140" s="527"/>
      <c r="DK140" s="527"/>
      <c r="DL140" s="527"/>
    </row>
    <row r="141" spans="1:116" ht="15.75" customHeight="1" x14ac:dyDescent="0.25">
      <c r="A141" s="751"/>
      <c r="B141" s="751"/>
      <c r="C141" s="321" t="s">
        <v>288</v>
      </c>
      <c r="D141" s="384"/>
      <c r="E141" s="385"/>
      <c r="F141" s="385"/>
      <c r="G141" s="386">
        <v>2</v>
      </c>
      <c r="H141" s="288">
        <f t="shared" ref="H141:DE141" si="310">$G$52*H140</f>
        <v>7.5833333333333343E-3</v>
      </c>
      <c r="I141" s="536">
        <f t="shared" si="310"/>
        <v>7.5833333333333343E-3</v>
      </c>
      <c r="J141" s="536">
        <f t="shared" si="310"/>
        <v>7.5833333333333343E-3</v>
      </c>
      <c r="K141" s="536">
        <f t="shared" si="310"/>
        <v>7.5833333333333343E-3</v>
      </c>
      <c r="L141" s="536">
        <f t="shared" si="310"/>
        <v>7.5833333333333343E-3</v>
      </c>
      <c r="M141" s="536">
        <f t="shared" si="310"/>
        <v>7.5833333333333343E-3</v>
      </c>
      <c r="N141" s="536">
        <f t="shared" si="310"/>
        <v>7.5833333333333343E-3</v>
      </c>
      <c r="O141" s="536">
        <f t="shared" si="310"/>
        <v>7.5833333333333343E-3</v>
      </c>
      <c r="P141" s="536">
        <f t="shared" si="310"/>
        <v>7.5833333333333343E-3</v>
      </c>
      <c r="Q141" s="536">
        <f t="shared" si="310"/>
        <v>7.5833333333333343E-3</v>
      </c>
      <c r="R141" s="536">
        <f t="shared" si="310"/>
        <v>7.5833333333333343E-3</v>
      </c>
      <c r="S141" s="536">
        <f t="shared" si="310"/>
        <v>7.5833333333333343E-3</v>
      </c>
      <c r="T141" s="536">
        <f t="shared" si="310"/>
        <v>7.5833333333333343E-3</v>
      </c>
      <c r="U141" s="536">
        <f t="shared" si="310"/>
        <v>7.5833333333333343E-3</v>
      </c>
      <c r="V141" s="536">
        <f t="shared" si="310"/>
        <v>7.5833333333333343E-3</v>
      </c>
      <c r="W141" s="536">
        <f t="shared" si="310"/>
        <v>7.5833333333333343E-3</v>
      </c>
      <c r="X141" s="536">
        <f t="shared" si="310"/>
        <v>7.5833333333333343E-3</v>
      </c>
      <c r="Y141" s="536">
        <f t="shared" si="310"/>
        <v>7.5833333333333343E-3</v>
      </c>
      <c r="Z141" s="536">
        <f t="shared" si="310"/>
        <v>7.5833333333333343E-3</v>
      </c>
      <c r="AA141" s="536">
        <f t="shared" si="310"/>
        <v>7.5833333333333343E-3</v>
      </c>
      <c r="AB141" s="536">
        <f t="shared" si="310"/>
        <v>7.5833333333333343E-3</v>
      </c>
      <c r="AC141" s="536">
        <f t="shared" si="310"/>
        <v>7.5833333333333343E-3</v>
      </c>
      <c r="AD141" s="536">
        <f t="shared" si="310"/>
        <v>7.5833333333333343E-3</v>
      </c>
      <c r="AE141" s="536">
        <f t="shared" si="310"/>
        <v>7.5833333333333343E-3</v>
      </c>
      <c r="AF141" s="536">
        <f t="shared" si="310"/>
        <v>7.5833333333333343E-3</v>
      </c>
      <c r="AG141" s="536">
        <f t="shared" si="310"/>
        <v>7.5833333333333343E-3</v>
      </c>
      <c r="AH141" s="536">
        <f t="shared" si="310"/>
        <v>7.5833333333333343E-3</v>
      </c>
      <c r="AI141" s="536">
        <f t="shared" si="310"/>
        <v>7.5833333333333343E-3</v>
      </c>
      <c r="AJ141" s="536">
        <f t="shared" si="310"/>
        <v>7.5833333333333343E-3</v>
      </c>
      <c r="AK141" s="536">
        <f t="shared" si="310"/>
        <v>7.5833333333333343E-3</v>
      </c>
      <c r="AL141" s="536">
        <f t="shared" si="310"/>
        <v>7.5833333333333343E-3</v>
      </c>
      <c r="AM141" s="536">
        <f t="shared" si="310"/>
        <v>7.5833333333333343E-3</v>
      </c>
      <c r="AN141" s="536">
        <f t="shared" si="310"/>
        <v>7.5833333333333343E-3</v>
      </c>
      <c r="AO141" s="536">
        <f t="shared" si="310"/>
        <v>7.5833333333333343E-3</v>
      </c>
      <c r="AP141" s="536">
        <f t="shared" si="310"/>
        <v>7.5833333333333343E-3</v>
      </c>
      <c r="AQ141" s="536">
        <f t="shared" si="310"/>
        <v>7.5833333333333343E-3</v>
      </c>
      <c r="AR141" s="536">
        <f t="shared" si="310"/>
        <v>7.5833333333333343E-3</v>
      </c>
      <c r="AS141" s="536">
        <f t="shared" si="310"/>
        <v>7.5833333333333343E-3</v>
      </c>
      <c r="AT141" s="536">
        <f t="shared" si="310"/>
        <v>7.5833333333333343E-3</v>
      </c>
      <c r="AU141" s="536">
        <f t="shared" si="310"/>
        <v>7.5833333333333343E-3</v>
      </c>
      <c r="AV141" s="536">
        <f t="shared" si="310"/>
        <v>7.5833333333333343E-3</v>
      </c>
      <c r="AW141" s="536">
        <f t="shared" si="310"/>
        <v>7.5833333333333343E-3</v>
      </c>
      <c r="AX141" s="536">
        <f t="shared" si="310"/>
        <v>7.5833333333333343E-3</v>
      </c>
      <c r="AY141" s="536">
        <f t="shared" si="310"/>
        <v>7.5833333333333343E-3</v>
      </c>
      <c r="AZ141" s="536">
        <f t="shared" si="310"/>
        <v>7.5833333333333343E-3</v>
      </c>
      <c r="BA141" s="536">
        <f t="shared" si="310"/>
        <v>7.5833333333333343E-3</v>
      </c>
      <c r="BB141" s="536">
        <f t="shared" si="310"/>
        <v>7.5833333333333343E-3</v>
      </c>
      <c r="BC141" s="536">
        <f t="shared" si="310"/>
        <v>7.5833333333333343E-3</v>
      </c>
      <c r="BD141" s="536">
        <f t="shared" si="310"/>
        <v>7.5833333333333343E-3</v>
      </c>
      <c r="BE141" s="536">
        <f t="shared" si="310"/>
        <v>7.5833333333333343E-3</v>
      </c>
      <c r="BF141" s="536">
        <f t="shared" si="310"/>
        <v>7.5833333333333343E-3</v>
      </c>
      <c r="BG141" s="536">
        <f t="shared" si="310"/>
        <v>7.5833333333333343E-3</v>
      </c>
      <c r="BH141" s="536">
        <f t="shared" si="310"/>
        <v>7.5833333333333343E-3</v>
      </c>
      <c r="BI141" s="536">
        <f t="shared" si="310"/>
        <v>7.5833333333333343E-3</v>
      </c>
      <c r="BJ141" s="536">
        <f t="shared" si="310"/>
        <v>7.5833333333333343E-3</v>
      </c>
      <c r="BK141" s="536">
        <f t="shared" si="310"/>
        <v>7.5833333333333343E-3</v>
      </c>
      <c r="BL141" s="536">
        <f t="shared" si="310"/>
        <v>7.5833333333333343E-3</v>
      </c>
      <c r="BM141" s="536">
        <f t="shared" si="310"/>
        <v>7.5833333333333343E-3</v>
      </c>
      <c r="BN141" s="536">
        <f t="shared" si="310"/>
        <v>7.5833333333333343E-3</v>
      </c>
      <c r="BO141" s="536">
        <f t="shared" si="310"/>
        <v>7.5833333333333343E-3</v>
      </c>
      <c r="BP141" s="536">
        <f t="shared" si="310"/>
        <v>7.5833333333333343E-3</v>
      </c>
      <c r="BQ141" s="536">
        <f t="shared" si="310"/>
        <v>7.5833333333333343E-3</v>
      </c>
      <c r="BR141" s="536">
        <f t="shared" si="310"/>
        <v>7.5833333333333343E-3</v>
      </c>
      <c r="BS141" s="536">
        <f t="shared" si="310"/>
        <v>7.5833333333333343E-3</v>
      </c>
      <c r="BT141" s="536">
        <f t="shared" si="310"/>
        <v>7.5833333333333343E-3</v>
      </c>
      <c r="BU141" s="536">
        <f t="shared" si="310"/>
        <v>7.5833333333333343E-3</v>
      </c>
      <c r="BV141" s="536">
        <f t="shared" si="310"/>
        <v>7.5833333333333343E-3</v>
      </c>
      <c r="BW141" s="536">
        <f t="shared" si="310"/>
        <v>7.5833333333333343E-3</v>
      </c>
      <c r="BX141" s="536">
        <f t="shared" si="310"/>
        <v>7.5833333333333343E-3</v>
      </c>
      <c r="BY141" s="536">
        <f t="shared" si="310"/>
        <v>7.5833333333333343E-3</v>
      </c>
      <c r="BZ141" s="536">
        <f t="shared" si="310"/>
        <v>7.5833333333333343E-3</v>
      </c>
      <c r="CA141" s="536">
        <f t="shared" si="310"/>
        <v>7.5833333333333343E-3</v>
      </c>
      <c r="CB141" s="536">
        <f t="shared" si="310"/>
        <v>7.5833333333333343E-3</v>
      </c>
      <c r="CC141" s="536">
        <f t="shared" si="310"/>
        <v>7.5833333333333343E-3</v>
      </c>
      <c r="CD141" s="536">
        <f t="shared" si="310"/>
        <v>7.5833333333333343E-3</v>
      </c>
      <c r="CE141" s="536">
        <f t="shared" si="310"/>
        <v>7.5833333333333343E-3</v>
      </c>
      <c r="CF141" s="536">
        <f t="shared" si="310"/>
        <v>7.5833333333333343E-3</v>
      </c>
      <c r="CG141" s="536">
        <f t="shared" si="310"/>
        <v>7.5833333333333343E-3</v>
      </c>
      <c r="CH141" s="536">
        <f t="shared" si="310"/>
        <v>7.5833333333333343E-3</v>
      </c>
      <c r="CI141" s="536">
        <f t="shared" si="310"/>
        <v>7.5833333333333343E-3</v>
      </c>
      <c r="CJ141" s="536">
        <f t="shared" si="310"/>
        <v>7.5833333333333343E-3</v>
      </c>
      <c r="CK141" s="536">
        <f t="shared" si="310"/>
        <v>7.5833333333333343E-3</v>
      </c>
      <c r="CL141" s="536">
        <f t="shared" si="310"/>
        <v>7.5833333333333343E-3</v>
      </c>
      <c r="CM141" s="536">
        <f t="shared" si="310"/>
        <v>7.5833333333333343E-3</v>
      </c>
      <c r="CN141" s="536">
        <f t="shared" si="310"/>
        <v>7.5833333333333343E-3</v>
      </c>
      <c r="CO141" s="536">
        <f t="shared" si="310"/>
        <v>7.5833333333333343E-3</v>
      </c>
      <c r="CP141" s="536">
        <f t="shared" si="310"/>
        <v>7.5833333333333343E-3</v>
      </c>
      <c r="CQ141" s="536">
        <f t="shared" si="310"/>
        <v>7.5833333333333343E-3</v>
      </c>
      <c r="CR141" s="536">
        <f t="shared" si="310"/>
        <v>7.5833333333333343E-3</v>
      </c>
      <c r="CS141" s="536">
        <f t="shared" si="310"/>
        <v>7.5833333333333343E-3</v>
      </c>
      <c r="CT141" s="536">
        <f t="shared" si="310"/>
        <v>7.5833333333333343E-3</v>
      </c>
      <c r="CU141" s="536">
        <f t="shared" si="310"/>
        <v>7.5833333333333343E-3</v>
      </c>
      <c r="CV141" s="536">
        <f t="shared" si="310"/>
        <v>7.5833333333333343E-3</v>
      </c>
      <c r="CW141" s="536">
        <f t="shared" si="310"/>
        <v>7.5833333333333343E-3</v>
      </c>
      <c r="CX141" s="536">
        <f t="shared" si="310"/>
        <v>7.5833333333333343E-3</v>
      </c>
      <c r="CY141" s="536">
        <f t="shared" si="310"/>
        <v>7.5833333333333343E-3</v>
      </c>
      <c r="CZ141" s="536">
        <f t="shared" si="310"/>
        <v>7.5833333333333343E-3</v>
      </c>
      <c r="DA141" s="536">
        <f t="shared" si="310"/>
        <v>7.5833333333333343E-3</v>
      </c>
      <c r="DB141" s="536">
        <f t="shared" si="310"/>
        <v>7.5833333333333343E-3</v>
      </c>
      <c r="DC141" s="536">
        <f t="shared" si="310"/>
        <v>7.5833333333333343E-3</v>
      </c>
      <c r="DD141" s="536">
        <f t="shared" si="310"/>
        <v>7.5833333333333343E-3</v>
      </c>
      <c r="DE141" s="536">
        <f t="shared" si="310"/>
        <v>7.5833333333333343E-3</v>
      </c>
      <c r="DF141" s="289"/>
      <c r="DG141" s="289"/>
      <c r="DH141" s="289"/>
      <c r="DI141" s="289"/>
      <c r="DJ141" s="289"/>
      <c r="DK141" s="289"/>
      <c r="DL141" s="289"/>
    </row>
    <row r="142" spans="1:116" ht="15.75" customHeight="1" x14ac:dyDescent="0.25">
      <c r="A142" s="751"/>
      <c r="B142" s="751"/>
      <c r="C142" s="347" t="s">
        <v>290</v>
      </c>
      <c r="D142" s="530"/>
      <c r="E142" s="531"/>
      <c r="F142" s="532"/>
      <c r="G142" s="533"/>
      <c r="H142" s="372">
        <f>H141*'Unit Costs and Indicators'!$A$131</f>
        <v>1.5940821448275864</v>
      </c>
      <c r="I142" s="336">
        <f>I141*'Unit Costs and Indicators'!$A$131</f>
        <v>1.5940821448275864</v>
      </c>
      <c r="J142" s="336">
        <f>J141*'Unit Costs and Indicators'!$A$131</f>
        <v>1.5940821448275864</v>
      </c>
      <c r="K142" s="336">
        <f>K141*'Unit Costs and Indicators'!$A$131</f>
        <v>1.5940821448275864</v>
      </c>
      <c r="L142" s="336">
        <f>L141*'Unit Costs and Indicators'!$A$131</f>
        <v>1.5940821448275864</v>
      </c>
      <c r="M142" s="336">
        <f>M141*'Unit Costs and Indicators'!$A$131</f>
        <v>1.5940821448275864</v>
      </c>
      <c r="N142" s="336">
        <f>N141*'Unit Costs and Indicators'!$A$131</f>
        <v>1.5940821448275864</v>
      </c>
      <c r="O142" s="336">
        <f>O141*'Unit Costs and Indicators'!$A$131</f>
        <v>1.5940821448275864</v>
      </c>
      <c r="P142" s="336">
        <f>P141*'Unit Costs and Indicators'!$A$131</f>
        <v>1.5940821448275864</v>
      </c>
      <c r="Q142" s="336">
        <f>Q141*'Unit Costs and Indicators'!$A$131</f>
        <v>1.5940821448275864</v>
      </c>
      <c r="R142" s="336">
        <f>R141*'Unit Costs and Indicators'!$A$131</f>
        <v>1.5940821448275864</v>
      </c>
      <c r="S142" s="336">
        <f>S141*'Unit Costs and Indicators'!$A$131</f>
        <v>1.5940821448275864</v>
      </c>
      <c r="T142" s="336">
        <f>T141*'Unit Costs and Indicators'!$A$131</f>
        <v>1.5940821448275864</v>
      </c>
      <c r="U142" s="336">
        <f>U141*'Unit Costs and Indicators'!$A$131</f>
        <v>1.5940821448275864</v>
      </c>
      <c r="V142" s="336">
        <f>V141*'Unit Costs and Indicators'!$A$131</f>
        <v>1.5940821448275864</v>
      </c>
      <c r="W142" s="336">
        <f>W141*'Unit Costs and Indicators'!$A$131</f>
        <v>1.5940821448275864</v>
      </c>
      <c r="X142" s="336">
        <f>X141*'Unit Costs and Indicators'!$A$131</f>
        <v>1.5940821448275864</v>
      </c>
      <c r="Y142" s="336">
        <f>Y141*'Unit Costs and Indicators'!$A$131</f>
        <v>1.5940821448275864</v>
      </c>
      <c r="Z142" s="336">
        <f>Z141*'Unit Costs and Indicators'!$A$131</f>
        <v>1.5940821448275864</v>
      </c>
      <c r="AA142" s="336">
        <f>AA141*'Unit Costs and Indicators'!$A$131</f>
        <v>1.5940821448275864</v>
      </c>
      <c r="AB142" s="336">
        <f>AB141*'Unit Costs and Indicators'!$A$131</f>
        <v>1.5940821448275864</v>
      </c>
      <c r="AC142" s="336">
        <f>AC141*'Unit Costs and Indicators'!$A$131</f>
        <v>1.5940821448275864</v>
      </c>
      <c r="AD142" s="336">
        <f>AD141*'Unit Costs and Indicators'!$A$131</f>
        <v>1.5940821448275864</v>
      </c>
      <c r="AE142" s="336">
        <f>AE141*'Unit Costs and Indicators'!$A$131</f>
        <v>1.5940821448275864</v>
      </c>
      <c r="AF142" s="336">
        <f>AF141*'Unit Costs and Indicators'!$A$131</f>
        <v>1.5940821448275864</v>
      </c>
      <c r="AG142" s="336">
        <f>AG141*'Unit Costs and Indicators'!$A$131</f>
        <v>1.5940821448275864</v>
      </c>
      <c r="AH142" s="336">
        <f>AH141*'Unit Costs and Indicators'!$A$131</f>
        <v>1.5940821448275864</v>
      </c>
      <c r="AI142" s="336">
        <f>AI141*'Unit Costs and Indicators'!$A$131</f>
        <v>1.5940821448275864</v>
      </c>
      <c r="AJ142" s="336">
        <f>AJ141*'Unit Costs and Indicators'!$A$131</f>
        <v>1.5940821448275864</v>
      </c>
      <c r="AK142" s="336">
        <f>AK141*'Unit Costs and Indicators'!$A$131</f>
        <v>1.5940821448275864</v>
      </c>
      <c r="AL142" s="336">
        <f>AL141*'Unit Costs and Indicators'!$A$131</f>
        <v>1.5940821448275864</v>
      </c>
      <c r="AM142" s="336">
        <f>AM141*'Unit Costs and Indicators'!$A$131</f>
        <v>1.5940821448275864</v>
      </c>
      <c r="AN142" s="336">
        <f>AN141*'Unit Costs and Indicators'!$A$131</f>
        <v>1.5940821448275864</v>
      </c>
      <c r="AO142" s="336">
        <f>AO141*'Unit Costs and Indicators'!$A$131</f>
        <v>1.5940821448275864</v>
      </c>
      <c r="AP142" s="336">
        <f>AP141*'Unit Costs and Indicators'!$A$131</f>
        <v>1.5940821448275864</v>
      </c>
      <c r="AQ142" s="336">
        <f>AQ141*'Unit Costs and Indicators'!$A$131</f>
        <v>1.5940821448275864</v>
      </c>
      <c r="AR142" s="336">
        <f>AR141*'Unit Costs and Indicators'!$A$131</f>
        <v>1.5940821448275864</v>
      </c>
      <c r="AS142" s="336">
        <f>AS141*'Unit Costs and Indicators'!$A$131</f>
        <v>1.5940821448275864</v>
      </c>
      <c r="AT142" s="336">
        <f>AT141*'Unit Costs and Indicators'!$A$131</f>
        <v>1.5940821448275864</v>
      </c>
      <c r="AU142" s="336">
        <f>AU141*'Unit Costs and Indicators'!$A$131</f>
        <v>1.5940821448275864</v>
      </c>
      <c r="AV142" s="336">
        <f>AV141*'Unit Costs and Indicators'!$A$131</f>
        <v>1.5940821448275864</v>
      </c>
      <c r="AW142" s="336">
        <f>AW141*'Unit Costs and Indicators'!$A$131</f>
        <v>1.5940821448275864</v>
      </c>
      <c r="AX142" s="336">
        <f>AX141*'Unit Costs and Indicators'!$A$131</f>
        <v>1.5940821448275864</v>
      </c>
      <c r="AY142" s="336">
        <f>AY141*'Unit Costs and Indicators'!$A$131</f>
        <v>1.5940821448275864</v>
      </c>
      <c r="AZ142" s="336">
        <f>AZ141*'Unit Costs and Indicators'!$A$131</f>
        <v>1.5940821448275864</v>
      </c>
      <c r="BA142" s="336">
        <f>BA141*'Unit Costs and Indicators'!$A$131</f>
        <v>1.5940821448275864</v>
      </c>
      <c r="BB142" s="336">
        <f>BB141*'Unit Costs and Indicators'!$A$131</f>
        <v>1.5940821448275864</v>
      </c>
      <c r="BC142" s="336">
        <f>BC141*'Unit Costs and Indicators'!$A$131</f>
        <v>1.5940821448275864</v>
      </c>
      <c r="BD142" s="336">
        <f>BD141*'Unit Costs and Indicators'!$A$131</f>
        <v>1.5940821448275864</v>
      </c>
      <c r="BE142" s="336">
        <f>BE141*'Unit Costs and Indicators'!$A$131</f>
        <v>1.5940821448275864</v>
      </c>
      <c r="BF142" s="336">
        <f>BF141*'Unit Costs and Indicators'!$A$131</f>
        <v>1.5940821448275864</v>
      </c>
      <c r="BG142" s="336">
        <f>BG141*'Unit Costs and Indicators'!$A$131</f>
        <v>1.5940821448275864</v>
      </c>
      <c r="BH142" s="336">
        <f>BH141*'Unit Costs and Indicators'!$A$131</f>
        <v>1.5940821448275864</v>
      </c>
      <c r="BI142" s="336">
        <f>BI141*'Unit Costs and Indicators'!$A$131</f>
        <v>1.5940821448275864</v>
      </c>
      <c r="BJ142" s="336">
        <f>BJ141*'Unit Costs and Indicators'!$A$131</f>
        <v>1.5940821448275864</v>
      </c>
      <c r="BK142" s="336">
        <f>BK141*'Unit Costs and Indicators'!$A$131</f>
        <v>1.5940821448275864</v>
      </c>
      <c r="BL142" s="336">
        <f>BL141*'Unit Costs and Indicators'!$A$131</f>
        <v>1.5940821448275864</v>
      </c>
      <c r="BM142" s="336">
        <f>BM141*'Unit Costs and Indicators'!$A$131</f>
        <v>1.5940821448275864</v>
      </c>
      <c r="BN142" s="336">
        <f>BN141*'Unit Costs and Indicators'!$A$131</f>
        <v>1.5940821448275864</v>
      </c>
      <c r="BO142" s="336">
        <f>BO141*'Unit Costs and Indicators'!$A$131</f>
        <v>1.5940821448275864</v>
      </c>
      <c r="BP142" s="336">
        <f>BP141*'Unit Costs and Indicators'!$A$131</f>
        <v>1.5940821448275864</v>
      </c>
      <c r="BQ142" s="336">
        <f>BQ141*'Unit Costs and Indicators'!$A$131</f>
        <v>1.5940821448275864</v>
      </c>
      <c r="BR142" s="336">
        <f>BR141*'Unit Costs and Indicators'!$A$131</f>
        <v>1.5940821448275864</v>
      </c>
      <c r="BS142" s="336">
        <f>BS141*'Unit Costs and Indicators'!$A$131</f>
        <v>1.5940821448275864</v>
      </c>
      <c r="BT142" s="336">
        <f>BT141*'Unit Costs and Indicators'!$A$131</f>
        <v>1.5940821448275864</v>
      </c>
      <c r="BU142" s="336">
        <f>BU141*'Unit Costs and Indicators'!$A$131</f>
        <v>1.5940821448275864</v>
      </c>
      <c r="BV142" s="336">
        <f>BV141*'Unit Costs and Indicators'!$A$131</f>
        <v>1.5940821448275864</v>
      </c>
      <c r="BW142" s="336">
        <f>BW141*'Unit Costs and Indicators'!$A$131</f>
        <v>1.5940821448275864</v>
      </c>
      <c r="BX142" s="336">
        <f>BX141*'Unit Costs and Indicators'!$A$131</f>
        <v>1.5940821448275864</v>
      </c>
      <c r="BY142" s="336">
        <f>BY141*'Unit Costs and Indicators'!$A$131</f>
        <v>1.5940821448275864</v>
      </c>
      <c r="BZ142" s="336">
        <f>BZ141*'Unit Costs and Indicators'!$A$131</f>
        <v>1.5940821448275864</v>
      </c>
      <c r="CA142" s="336">
        <f>CA141*'Unit Costs and Indicators'!$A$131</f>
        <v>1.5940821448275864</v>
      </c>
      <c r="CB142" s="336">
        <f>CB141*'Unit Costs and Indicators'!$A$131</f>
        <v>1.5940821448275864</v>
      </c>
      <c r="CC142" s="336">
        <f>CC141*'Unit Costs and Indicators'!$A$131</f>
        <v>1.5940821448275864</v>
      </c>
      <c r="CD142" s="336">
        <f>CD141*'Unit Costs and Indicators'!$A$131</f>
        <v>1.5940821448275864</v>
      </c>
      <c r="CE142" s="336">
        <f>CE141*'Unit Costs and Indicators'!$A$131</f>
        <v>1.5940821448275864</v>
      </c>
      <c r="CF142" s="336">
        <f>CF141*'Unit Costs and Indicators'!$A$131</f>
        <v>1.5940821448275864</v>
      </c>
      <c r="CG142" s="336">
        <f>CG141*'Unit Costs and Indicators'!$A$131</f>
        <v>1.5940821448275864</v>
      </c>
      <c r="CH142" s="336">
        <f>CH141*'Unit Costs and Indicators'!$A$131</f>
        <v>1.5940821448275864</v>
      </c>
      <c r="CI142" s="336">
        <f>CI141*'Unit Costs and Indicators'!$A$131</f>
        <v>1.5940821448275864</v>
      </c>
      <c r="CJ142" s="336">
        <f>CJ141*'Unit Costs and Indicators'!$A$131</f>
        <v>1.5940821448275864</v>
      </c>
      <c r="CK142" s="336">
        <f>CK141*'Unit Costs and Indicators'!$A$131</f>
        <v>1.5940821448275864</v>
      </c>
      <c r="CL142" s="336">
        <f>CL141*'Unit Costs and Indicators'!$A$131</f>
        <v>1.5940821448275864</v>
      </c>
      <c r="CM142" s="336">
        <f>CM141*'Unit Costs and Indicators'!$A$131</f>
        <v>1.5940821448275864</v>
      </c>
      <c r="CN142" s="336">
        <f>CN141*'Unit Costs and Indicators'!$A$131</f>
        <v>1.5940821448275864</v>
      </c>
      <c r="CO142" s="336">
        <f>CO141*'Unit Costs and Indicators'!$A$131</f>
        <v>1.5940821448275864</v>
      </c>
      <c r="CP142" s="336">
        <f>CP141*'Unit Costs and Indicators'!$A$131</f>
        <v>1.5940821448275864</v>
      </c>
      <c r="CQ142" s="336">
        <f>CQ141*'Unit Costs and Indicators'!$A$131</f>
        <v>1.5940821448275864</v>
      </c>
      <c r="CR142" s="336">
        <f>CR141*'Unit Costs and Indicators'!$A$131</f>
        <v>1.5940821448275864</v>
      </c>
      <c r="CS142" s="336">
        <f>CS141*'Unit Costs and Indicators'!$A$131</f>
        <v>1.5940821448275864</v>
      </c>
      <c r="CT142" s="336">
        <f>CT141*'Unit Costs and Indicators'!$A$131</f>
        <v>1.5940821448275864</v>
      </c>
      <c r="CU142" s="336">
        <f>CU141*'Unit Costs and Indicators'!$A$131</f>
        <v>1.5940821448275864</v>
      </c>
      <c r="CV142" s="336">
        <f>CV141*'Unit Costs and Indicators'!$A$131</f>
        <v>1.5940821448275864</v>
      </c>
      <c r="CW142" s="336">
        <f>CW141*'Unit Costs and Indicators'!$A$131</f>
        <v>1.5940821448275864</v>
      </c>
      <c r="CX142" s="336">
        <f>CX141*'Unit Costs and Indicators'!$A$131</f>
        <v>1.5940821448275864</v>
      </c>
      <c r="CY142" s="336">
        <f>CY141*'Unit Costs and Indicators'!$A$131</f>
        <v>1.5940821448275864</v>
      </c>
      <c r="CZ142" s="336">
        <f>CZ141*'Unit Costs and Indicators'!$A$131</f>
        <v>1.5940821448275864</v>
      </c>
      <c r="DA142" s="336">
        <f>DA141*'Unit Costs and Indicators'!$A$131</f>
        <v>1.5940821448275864</v>
      </c>
      <c r="DB142" s="336">
        <f>DB141*'Unit Costs and Indicators'!$A$131</f>
        <v>1.5940821448275864</v>
      </c>
      <c r="DC142" s="336">
        <f>DC141*'Unit Costs and Indicators'!$A$131</f>
        <v>1.5940821448275864</v>
      </c>
      <c r="DD142" s="336">
        <f>DD141*'Unit Costs and Indicators'!$A$131</f>
        <v>1.5940821448275864</v>
      </c>
      <c r="DE142" s="336">
        <f>DE141*'Unit Costs and Indicators'!$A$131</f>
        <v>1.5940821448275864</v>
      </c>
      <c r="DF142" s="301"/>
      <c r="DG142" s="301"/>
      <c r="DH142" s="301"/>
      <c r="DI142" s="301"/>
      <c r="DJ142" s="301"/>
      <c r="DK142" s="301"/>
      <c r="DL142" s="301"/>
    </row>
    <row r="143" spans="1:116" ht="15.75" customHeight="1" x14ac:dyDescent="0.25">
      <c r="A143" s="751"/>
      <c r="B143" s="380"/>
      <c r="C143" s="355" t="s">
        <v>244</v>
      </c>
      <c r="D143" s="356" t="s">
        <v>247</v>
      </c>
      <c r="E143" s="357"/>
      <c r="F143" s="316" t="s">
        <v>14</v>
      </c>
      <c r="G143" s="317">
        <f t="shared" ref="G143:G144" si="311">NPV($C$4, J143:DE143)+I143</f>
        <v>11.511096948640589</v>
      </c>
      <c r="H143" s="359">
        <f t="shared" ref="H143:I143" si="312">H142+H137</f>
        <v>11.511096948640587</v>
      </c>
      <c r="I143" s="514">
        <f t="shared" si="312"/>
        <v>11.511096948640587</v>
      </c>
      <c r="J143" s="514">
        <f t="shared" ref="J143:DE143" si="313">(J142+J137)*(1 + $C$3)^(J94 - $I$5)</f>
        <v>5.5489152939738397E-17</v>
      </c>
      <c r="K143" s="514">
        <f t="shared" si="313"/>
        <v>4.6110292124820448E-17</v>
      </c>
      <c r="L143" s="514">
        <f t="shared" si="313"/>
        <v>4.6112051732406315E-17</v>
      </c>
      <c r="M143" s="514">
        <f t="shared" si="313"/>
        <v>4.6113846601319398E-17</v>
      </c>
      <c r="N143" s="514">
        <f t="shared" si="313"/>
        <v>4.6115677439584613E-17</v>
      </c>
      <c r="O143" s="514">
        <f t="shared" si="313"/>
        <v>4.6117544969499373E-17</v>
      </c>
      <c r="P143" s="514">
        <f t="shared" si="313"/>
        <v>4.6119449927925266E-17</v>
      </c>
      <c r="Q143" s="514">
        <f t="shared" si="313"/>
        <v>4.6121393066582896E-17</v>
      </c>
      <c r="R143" s="514">
        <f t="shared" si="313"/>
        <v>4.6123375152356066E-17</v>
      </c>
      <c r="S143" s="514">
        <f t="shared" si="313"/>
        <v>4.6125396967598157E-17</v>
      </c>
      <c r="T143" s="514">
        <f t="shared" si="313"/>
        <v>4.6127459310447985E-17</v>
      </c>
      <c r="U143" s="514">
        <f t="shared" si="313"/>
        <v>4.6129562995150385E-17</v>
      </c>
      <c r="V143" s="514">
        <f t="shared" si="313"/>
        <v>4.6131708852384381E-17</v>
      </c>
      <c r="W143" s="514">
        <f t="shared" si="313"/>
        <v>4.6133897729598803E-17</v>
      </c>
      <c r="X143" s="514">
        <f t="shared" si="313"/>
        <v>4.6136130491353086E-17</v>
      </c>
      <c r="Y143" s="514">
        <f t="shared" si="313"/>
        <v>4.6138408019665757E-17</v>
      </c>
      <c r="Z143" s="514">
        <f t="shared" si="313"/>
        <v>4.6140731214371252E-17</v>
      </c>
      <c r="AA143" s="514">
        <f t="shared" si="313"/>
        <v>4.6143100993482838E-17</v>
      </c>
      <c r="AB143" s="514">
        <f t="shared" si="313"/>
        <v>4.6145518293563701E-17</v>
      </c>
      <c r="AC143" s="514">
        <f t="shared" si="313"/>
        <v>4.614798407010605E-17</v>
      </c>
      <c r="AD143" s="514">
        <f t="shared" si="313"/>
        <v>4.6150499297916473E-17</v>
      </c>
      <c r="AE143" s="514">
        <f t="shared" si="313"/>
        <v>4.6153064971511975E-17</v>
      </c>
      <c r="AF143" s="514">
        <f t="shared" si="313"/>
        <v>4.6155682105521755E-17</v>
      </c>
      <c r="AG143" s="514">
        <f t="shared" si="313"/>
        <v>4.6158351735100247E-17</v>
      </c>
      <c r="AH143" s="514">
        <f t="shared" si="313"/>
        <v>4.616107491634403E-17</v>
      </c>
      <c r="AI143" s="514">
        <f t="shared" si="313"/>
        <v>4.6163852726722418E-17</v>
      </c>
      <c r="AJ143" s="514">
        <f t="shared" si="313"/>
        <v>4.6166686265515506E-17</v>
      </c>
      <c r="AK143" s="514">
        <f t="shared" si="313"/>
        <v>4.6169576654260062E-17</v>
      </c>
      <c r="AL143" s="514">
        <f t="shared" si="313"/>
        <v>4.6172525037204944E-17</v>
      </c>
      <c r="AM143" s="514">
        <f t="shared" si="313"/>
        <v>4.6175532581778051E-17</v>
      </c>
      <c r="AN143" s="514">
        <f t="shared" si="313"/>
        <v>4.6178600479062112E-17</v>
      </c>
      <c r="AO143" s="514">
        <f t="shared" si="313"/>
        <v>4.6181729944277949E-17</v>
      </c>
      <c r="AP143" s="514">
        <f t="shared" si="313"/>
        <v>4.6184922217283111E-17</v>
      </c>
      <c r="AQ143" s="514">
        <f t="shared" si="313"/>
        <v>4.6188178563075828E-17</v>
      </c>
      <c r="AR143" s="514">
        <f t="shared" si="313"/>
        <v>4.619150027231238E-17</v>
      </c>
      <c r="AS143" s="514">
        <f t="shared" si="313"/>
        <v>4.6194888661834908E-17</v>
      </c>
      <c r="AT143" s="514">
        <f t="shared" si="313"/>
        <v>4.6198345075210621E-17</v>
      </c>
      <c r="AU143" s="514">
        <f t="shared" si="313"/>
        <v>4.6201870883281596E-17</v>
      </c>
      <c r="AV143" s="514">
        <f t="shared" si="313"/>
        <v>4.6205467484726167E-17</v>
      </c>
      <c r="AW143" s="514">
        <f t="shared" si="313"/>
        <v>4.6209136306634098E-17</v>
      </c>
      <c r="AX143" s="514">
        <f t="shared" si="313"/>
        <v>4.6212878805090954E-17</v>
      </c>
      <c r="AY143" s="514">
        <f t="shared" si="313"/>
        <v>4.621669646577764E-17</v>
      </c>
      <c r="AZ143" s="514">
        <f t="shared" si="313"/>
        <v>4.6220590804580593E-17</v>
      </c>
      <c r="BA143" s="514">
        <f t="shared" si="313"/>
        <v>4.6224563368217188E-17</v>
      </c>
      <c r="BB143" s="514">
        <f t="shared" si="313"/>
        <v>4.6228615734871663E-17</v>
      </c>
      <c r="BC143" s="514">
        <f t="shared" si="313"/>
        <v>4.6232749514846678E-17</v>
      </c>
      <c r="BD143" s="514">
        <f t="shared" si="313"/>
        <v>4.6236966351228787E-17</v>
      </c>
      <c r="BE143" s="514">
        <f t="shared" si="313"/>
        <v>4.6241267920566808E-17</v>
      </c>
      <c r="BF143" s="514">
        <f t="shared" si="313"/>
        <v>4.6245655933566104E-17</v>
      </c>
      <c r="BG143" s="514">
        <f t="shared" si="313"/>
        <v>4.6250132135796621E-17</v>
      </c>
      <c r="BH143" s="514">
        <f t="shared" si="313"/>
        <v>4.6254698308415736E-17</v>
      </c>
      <c r="BI143" s="514">
        <f t="shared" si="313"/>
        <v>4.6259356268910836E-17</v>
      </c>
      <c r="BJ143" s="514">
        <f t="shared" si="313"/>
        <v>4.6264107871849388E-17</v>
      </c>
      <c r="BK143" s="514">
        <f t="shared" si="313"/>
        <v>4.6268955009655092E-17</v>
      </c>
      <c r="BL143" s="514">
        <f t="shared" si="313"/>
        <v>4.6273899613393733E-17</v>
      </c>
      <c r="BM143" s="514">
        <f t="shared" si="313"/>
        <v>4.6278943653578409E-17</v>
      </c>
      <c r="BN143" s="514">
        <f t="shared" si="313"/>
        <v>4.6284089140992191E-17</v>
      </c>
      <c r="BO143" s="514">
        <f t="shared" si="313"/>
        <v>4.6289338127529333E-17</v>
      </c>
      <c r="BP143" s="514">
        <f t="shared" si="313"/>
        <v>4.6294692707051843E-17</v>
      </c>
      <c r="BQ143" s="514">
        <f t="shared" si="313"/>
        <v>4.630015501626893E-17</v>
      </c>
      <c r="BR143" s="514">
        <f t="shared" si="313"/>
        <v>4.6305727235632453E-17</v>
      </c>
      <c r="BS143" s="514">
        <f t="shared" si="313"/>
        <v>4.6311411590252946E-17</v>
      </c>
      <c r="BT143" s="514">
        <f t="shared" si="313"/>
        <v>4.631721035083399E-17</v>
      </c>
      <c r="BU143" s="514">
        <f t="shared" si="313"/>
        <v>4.6323125834631217E-17</v>
      </c>
      <c r="BV143" s="514">
        <f t="shared" si="313"/>
        <v>4.6329160406427982E-17</v>
      </c>
      <c r="BW143" s="514">
        <f t="shared" si="313"/>
        <v>4.633531647953369E-17</v>
      </c>
      <c r="BX143" s="514">
        <f t="shared" si="313"/>
        <v>4.6341596516805325E-17</v>
      </c>
      <c r="BY143" s="514">
        <f t="shared" si="313"/>
        <v>4.6348003031690654E-17</v>
      </c>
      <c r="BZ143" s="514">
        <f t="shared" si="313"/>
        <v>4.6354538589293183E-17</v>
      </c>
      <c r="CA143" s="514">
        <f t="shared" si="313"/>
        <v>4.6361205807463523E-17</v>
      </c>
      <c r="CB143" s="514">
        <f t="shared" si="313"/>
        <v>4.6368007357910556E-17</v>
      </c>
      <c r="CC143" s="514">
        <f t="shared" si="313"/>
        <v>4.6374945967342835E-17</v>
      </c>
      <c r="CD143" s="514">
        <f t="shared" si="313"/>
        <v>4.6382024418630375E-17</v>
      </c>
      <c r="CE143" s="514">
        <f t="shared" si="313"/>
        <v>4.6389245551994918E-17</v>
      </c>
      <c r="CF143" s="514">
        <f t="shared" si="313"/>
        <v>4.6396612266225008E-17</v>
      </c>
      <c r="CG143" s="514">
        <f t="shared" si="313"/>
        <v>4.6404127519920663E-17</v>
      </c>
      <c r="CH143" s="514">
        <f t="shared" si="313"/>
        <v>4.6411794332764537E-17</v>
      </c>
      <c r="CI143" s="514">
        <f t="shared" si="313"/>
        <v>4.6419615786818587E-17</v>
      </c>
      <c r="CJ143" s="514">
        <f t="shared" si="313"/>
        <v>4.6427595027856532E-17</v>
      </c>
      <c r="CK143" s="514">
        <f t="shared" si="313"/>
        <v>4.6435735266720442E-17</v>
      </c>
      <c r="CL143" s="514">
        <f t="shared" si="313"/>
        <v>4.6444039780709594E-17</v>
      </c>
      <c r="CM143" s="514">
        <f t="shared" si="313"/>
        <v>4.645251191500223E-17</v>
      </c>
      <c r="CN143" s="514">
        <f t="shared" si="313"/>
        <v>4.646115508410789E-17</v>
      </c>
      <c r="CO143" s="514">
        <f t="shared" si="313"/>
        <v>4.6469972773352924E-17</v>
      </c>
      <c r="CP143" s="514">
        <f t="shared" si="313"/>
        <v>4.6478968540400372E-17</v>
      </c>
      <c r="CQ143" s="514">
        <f t="shared" si="313"/>
        <v>4.6488146016804069E-17</v>
      </c>
      <c r="CR143" s="514">
        <f t="shared" si="313"/>
        <v>4.649750890959746E-17</v>
      </c>
      <c r="CS143" s="514">
        <f t="shared" si="313"/>
        <v>4.6507061002921217E-17</v>
      </c>
      <c r="CT143" s="514">
        <f t="shared" si="313"/>
        <v>4.6516806159685038E-17</v>
      </c>
      <c r="CU143" s="514">
        <f t="shared" si="313"/>
        <v>4.6526748323269953E-17</v>
      </c>
      <c r="CV143" s="514">
        <f t="shared" si="313"/>
        <v>4.6536891519269824E-17</v>
      </c>
      <c r="CW143" s="514">
        <f t="shared" si="313"/>
        <v>4.6547239857269927E-17</v>
      </c>
      <c r="CX143" s="514">
        <f t="shared" si="313"/>
        <v>4.6557797532672549E-17</v>
      </c>
      <c r="CY143" s="514">
        <f t="shared" si="313"/>
        <v>4.6568568828558827E-17</v>
      </c>
      <c r="CZ143" s="514">
        <f t="shared" si="313"/>
        <v>4.6579558117598466E-17</v>
      </c>
      <c r="DA143" s="514">
        <f t="shared" si="313"/>
        <v>4.6590769864000724E-17</v>
      </c>
      <c r="DB143" s="514">
        <f t="shared" si="313"/>
        <v>4.6602208625514586E-17</v>
      </c>
      <c r="DC143" s="514">
        <f t="shared" si="313"/>
        <v>4.661387905547147E-17</v>
      </c>
      <c r="DD143" s="514">
        <f t="shared" si="313"/>
        <v>4.6625785904879923E-17</v>
      </c>
      <c r="DE143" s="514">
        <f t="shared" si="313"/>
        <v>4.6637934024567673E-17</v>
      </c>
      <c r="DF143" s="428"/>
      <c r="DG143" s="428"/>
      <c r="DH143" s="428"/>
      <c r="DI143" s="428"/>
      <c r="DJ143" s="428"/>
      <c r="DK143" s="428"/>
      <c r="DL143" s="428"/>
    </row>
    <row r="144" spans="1:116" ht="15.75" customHeight="1" x14ac:dyDescent="0.25">
      <c r="A144" s="537"/>
      <c r="B144" s="538"/>
      <c r="C144" s="504" t="s">
        <v>393</v>
      </c>
      <c r="D144" s="314" t="s">
        <v>247</v>
      </c>
      <c r="E144" s="451"/>
      <c r="F144" s="316" t="s">
        <v>14</v>
      </c>
      <c r="G144" s="317">
        <f t="shared" si="311"/>
        <v>17699.536020404419</v>
      </c>
      <c r="H144" s="539"/>
      <c r="I144" s="540">
        <f t="shared" ref="I144:DE144" si="314">SUM(I134,I126, I143)</f>
        <v>17699.536020404419</v>
      </c>
      <c r="J144" s="540">
        <f t="shared" si="314"/>
        <v>8.5320475153726794E-14</v>
      </c>
      <c r="K144" s="540">
        <f t="shared" si="314"/>
        <v>7.0899478999784753E-14</v>
      </c>
      <c r="L144" s="540">
        <f t="shared" si="314"/>
        <v>7.0902184583621541E-14</v>
      </c>
      <c r="M144" s="540">
        <f t="shared" si="314"/>
        <v>7.0904944385499751E-14</v>
      </c>
      <c r="N144" s="540">
        <f t="shared" si="314"/>
        <v>7.0907759494082988E-14</v>
      </c>
      <c r="O144" s="540">
        <f t="shared" si="314"/>
        <v>7.0910631019980387E-14</v>
      </c>
      <c r="P144" s="540">
        <f t="shared" si="314"/>
        <v>7.0913560096194999E-14</v>
      </c>
      <c r="Q144" s="540">
        <f t="shared" si="314"/>
        <v>7.0916547878577235E-14</v>
      </c>
      <c r="R144" s="540">
        <f t="shared" si="314"/>
        <v>7.0919595546292506E-14</v>
      </c>
      <c r="S144" s="540">
        <f t="shared" si="314"/>
        <v>7.0922704302292377E-14</v>
      </c>
      <c r="T144" s="540">
        <f t="shared" si="314"/>
        <v>7.0925875373800135E-14</v>
      </c>
      <c r="U144" s="540">
        <f t="shared" si="314"/>
        <v>7.0929110012803859E-14</v>
      </c>
      <c r="V144" s="540">
        <f t="shared" si="314"/>
        <v>7.09324094965609E-14</v>
      </c>
      <c r="W144" s="540">
        <f t="shared" si="314"/>
        <v>7.0935775128113973E-14</v>
      </c>
      <c r="X144" s="540">
        <f t="shared" si="314"/>
        <v>7.09392082368152E-14</v>
      </c>
      <c r="Y144" s="540">
        <f t="shared" si="314"/>
        <v>7.0942710178861857E-14</v>
      </c>
      <c r="Z144" s="540">
        <f t="shared" si="314"/>
        <v>7.0946282337845123E-14</v>
      </c>
      <c r="AA144" s="540">
        <f t="shared" si="314"/>
        <v>7.0949926125308047E-14</v>
      </c>
      <c r="AB144" s="540">
        <f t="shared" si="314"/>
        <v>7.0953642981316136E-14</v>
      </c>
      <c r="AC144" s="540">
        <f t="shared" si="314"/>
        <v>7.0957434375040317E-14</v>
      </c>
      <c r="AD144" s="540">
        <f t="shared" si="314"/>
        <v>7.096130180534943E-14</v>
      </c>
      <c r="AE144" s="540">
        <f t="shared" si="314"/>
        <v>7.0965246801419101E-14</v>
      </c>
      <c r="AF144" s="540">
        <f t="shared" si="314"/>
        <v>7.0969270923349704E-14</v>
      </c>
      <c r="AG144" s="540">
        <f t="shared" si="314"/>
        <v>7.0973375762801274E-14</v>
      </c>
      <c r="AH144" s="540">
        <f t="shared" si="314"/>
        <v>7.0977562943634646E-14</v>
      </c>
      <c r="AI144" s="540">
        <f t="shared" si="314"/>
        <v>7.0981834122573512E-14</v>
      </c>
      <c r="AJ144" s="540">
        <f t="shared" si="314"/>
        <v>7.0986190989877924E-14</v>
      </c>
      <c r="AK144" s="540">
        <f t="shared" si="314"/>
        <v>7.0990635270029992E-14</v>
      </c>
      <c r="AL144" s="540">
        <f t="shared" si="314"/>
        <v>7.0995168722434008E-14</v>
      </c>
      <c r="AM144" s="540">
        <f t="shared" si="314"/>
        <v>7.0999793142134604E-14</v>
      </c>
      <c r="AN144" s="540">
        <f t="shared" si="314"/>
        <v>7.1004510360548128E-14</v>
      </c>
      <c r="AO144" s="540">
        <f t="shared" si="314"/>
        <v>7.10093222462059E-14</v>
      </c>
      <c r="AP144" s="540">
        <f t="shared" si="314"/>
        <v>7.1014230705520768E-14</v>
      </c>
      <c r="AQ144" s="540">
        <f t="shared" si="314"/>
        <v>7.1019237683562062E-14</v>
      </c>
      <c r="AR144" s="540">
        <f t="shared" si="314"/>
        <v>7.1024345164851119E-14</v>
      </c>
      <c r="AS144" s="540">
        <f t="shared" si="314"/>
        <v>7.1029555174172788E-14</v>
      </c>
      <c r="AT144" s="540">
        <f t="shared" si="314"/>
        <v>7.1034869777404589E-14</v>
      </c>
      <c r="AU144" s="540">
        <f t="shared" si="314"/>
        <v>7.1040291082362036E-14</v>
      </c>
      <c r="AV144" s="540">
        <f t="shared" si="314"/>
        <v>7.1045821239661824E-14</v>
      </c>
      <c r="AW144" s="540">
        <f t="shared" si="314"/>
        <v>7.1051462443606312E-14</v>
      </c>
      <c r="AX144" s="540">
        <f t="shared" si="314"/>
        <v>7.1057216933081893E-14</v>
      </c>
      <c r="AY144" s="540">
        <f t="shared" si="314"/>
        <v>7.1063086992481028E-14</v>
      </c>
      <c r="AZ144" s="540">
        <f t="shared" si="314"/>
        <v>7.1069074952640353E-14</v>
      </c>
      <c r="BA144" s="540">
        <f t="shared" si="314"/>
        <v>7.1075183191802354E-14</v>
      </c>
      <c r="BB144" s="540">
        <f t="shared" si="314"/>
        <v>7.1081414136593168E-14</v>
      </c>
      <c r="BC144" s="540">
        <f t="shared" si="314"/>
        <v>7.108777026302444E-14</v>
      </c>
      <c r="BD144" s="540">
        <f t="shared" si="314"/>
        <v>7.1094254097516531E-14</v>
      </c>
      <c r="BE144" s="540">
        <f t="shared" si="314"/>
        <v>7.1100868217941546E-14</v>
      </c>
      <c r="BF144" s="540">
        <f t="shared" si="314"/>
        <v>7.1107615254691007E-14</v>
      </c>
      <c r="BG144" s="540">
        <f t="shared" si="314"/>
        <v>7.1114497891764356E-14</v>
      </c>
      <c r="BH144" s="540">
        <f t="shared" si="314"/>
        <v>7.1121518867880542E-14</v>
      </c>
      <c r="BI144" s="540">
        <f t="shared" si="314"/>
        <v>7.1128680977619738E-14</v>
      </c>
      <c r="BJ144" s="540">
        <f t="shared" si="314"/>
        <v>7.113598707257669E-14</v>
      </c>
      <c r="BK144" s="540">
        <f t="shared" si="314"/>
        <v>7.114344006255417E-14</v>
      </c>
      <c r="BL144" s="540">
        <f t="shared" si="314"/>
        <v>7.1151042916771211E-14</v>
      </c>
      <c r="BM144" s="540">
        <f t="shared" si="314"/>
        <v>7.11587986651013E-14</v>
      </c>
      <c r="BN144" s="540">
        <f t="shared" si="314"/>
        <v>7.1166710399337332E-14</v>
      </c>
      <c r="BO144" s="540">
        <f t="shared" si="314"/>
        <v>7.1174781274484977E-14</v>
      </c>
      <c r="BP144" s="540">
        <f t="shared" si="314"/>
        <v>7.1183014510079777E-14</v>
      </c>
      <c r="BQ144" s="540">
        <f t="shared" si="314"/>
        <v>7.1191413391539437E-14</v>
      </c>
      <c r="BR144" s="540">
        <f t="shared" si="314"/>
        <v>7.1199981271540652E-14</v>
      </c>
      <c r="BS144" s="540">
        <f t="shared" si="314"/>
        <v>7.1208721571427543E-14</v>
      </c>
      <c r="BT144" s="540">
        <f t="shared" si="314"/>
        <v>7.1217637782648393E-14</v>
      </c>
      <c r="BU144" s="540">
        <f t="shared" si="314"/>
        <v>7.1226733468230263E-14</v>
      </c>
      <c r="BV144" s="540">
        <f t="shared" si="314"/>
        <v>7.1236012264279087E-14</v>
      </c>
      <c r="BW144" s="540">
        <f t="shared" si="314"/>
        <v>7.1245477881514751E-14</v>
      </c>
      <c r="BX144" s="540">
        <f t="shared" si="314"/>
        <v>7.1255134106841916E-14</v>
      </c>
      <c r="BY144" s="540">
        <f t="shared" si="314"/>
        <v>7.1264984804953834E-14</v>
      </c>
      <c r="BZ144" s="540">
        <f t="shared" si="314"/>
        <v>7.1275033919970034E-14</v>
      </c>
      <c r="CA144" s="540">
        <f t="shared" si="314"/>
        <v>7.128528547711426E-14</v>
      </c>
      <c r="CB144" s="540">
        <f t="shared" si="314"/>
        <v>7.1295743584423146E-14</v>
      </c>
      <c r="CC144" s="540">
        <f t="shared" si="314"/>
        <v>7.1306412434501144E-14</v>
      </c>
      <c r="CD144" s="540">
        <f t="shared" si="314"/>
        <v>7.1317296306306877E-14</v>
      </c>
      <c r="CE144" s="540">
        <f t="shared" si="314"/>
        <v>7.1328399566983427E-14</v>
      </c>
      <c r="CF144" s="540">
        <f t="shared" si="314"/>
        <v>7.1339726673726531E-14</v>
      </c>
      <c r="CG144" s="540">
        <f t="shared" si="314"/>
        <v>7.1351282175698436E-14</v>
      </c>
      <c r="CH144" s="540">
        <f t="shared" si="314"/>
        <v>7.1363070715982414E-14</v>
      </c>
      <c r="CI144" s="540">
        <f t="shared" si="314"/>
        <v>7.1375097033576596E-14</v>
      </c>
      <c r="CJ144" s="540">
        <f t="shared" si="314"/>
        <v>7.1387365965442648E-14</v>
      </c>
      <c r="CK144" s="540">
        <f t="shared" si="314"/>
        <v>7.139988244859185E-14</v>
      </c>
      <c r="CL144" s="540">
        <f t="shared" si="314"/>
        <v>7.1412651522220433E-14</v>
      </c>
      <c r="CM144" s="540">
        <f t="shared" si="314"/>
        <v>7.1425678329895774E-14</v>
      </c>
      <c r="CN144" s="540">
        <f t="shared" si="314"/>
        <v>7.1438968121789514E-14</v>
      </c>
      <c r="CO144" s="540">
        <f t="shared" si="314"/>
        <v>7.1452526256961659E-14</v>
      </c>
      <c r="CP144" s="540">
        <f t="shared" si="314"/>
        <v>7.1466358205697535E-14</v>
      </c>
      <c r="CQ144" s="540">
        <f t="shared" si="314"/>
        <v>7.1480469551897514E-14</v>
      </c>
      <c r="CR144" s="540">
        <f t="shared" si="314"/>
        <v>7.1494865995519801E-14</v>
      </c>
      <c r="CS144" s="540">
        <f t="shared" si="314"/>
        <v>7.150955335508322E-14</v>
      </c>
      <c r="CT144" s="540">
        <f t="shared" si="314"/>
        <v>7.1524537570222342E-14</v>
      </c>
      <c r="CU144" s="540">
        <f t="shared" si="314"/>
        <v>7.1539824704304972E-14</v>
      </c>
      <c r="CV144" s="540">
        <f t="shared" si="314"/>
        <v>7.1555420947109865E-14</v>
      </c>
      <c r="CW144" s="540">
        <f t="shared" si="314"/>
        <v>7.1571332617561556E-14</v>
      </c>
      <c r="CX144" s="540">
        <f t="shared" si="314"/>
        <v>7.1587566166537319E-14</v>
      </c>
      <c r="CY144" s="540">
        <f t="shared" si="314"/>
        <v>7.1604128179729986E-14</v>
      </c>
      <c r="CZ144" s="540">
        <f t="shared" si="314"/>
        <v>7.1621025380584392E-14</v>
      </c>
      <c r="DA144" s="540">
        <f t="shared" si="314"/>
        <v>7.1638264633297139E-14</v>
      </c>
      <c r="DB144" s="540">
        <f t="shared" si="314"/>
        <v>7.1655852945892084E-14</v>
      </c>
      <c r="DC144" s="540">
        <f t="shared" si="314"/>
        <v>7.1673797473361278E-14</v>
      </c>
      <c r="DD144" s="540">
        <f t="shared" si="314"/>
        <v>7.1692105520885753E-14</v>
      </c>
      <c r="DE144" s="540">
        <f t="shared" si="314"/>
        <v>7.1710784547129112E-14</v>
      </c>
      <c r="DF144" s="413"/>
      <c r="DG144" s="413"/>
      <c r="DH144" s="413"/>
      <c r="DI144" s="413"/>
      <c r="DJ144" s="413"/>
      <c r="DK144" s="413"/>
      <c r="DL144" s="413"/>
    </row>
    <row r="145" spans="1:116" ht="15.75" customHeight="1" x14ac:dyDescent="0.25">
      <c r="A145" s="759" t="s">
        <v>373</v>
      </c>
      <c r="B145" s="756"/>
      <c r="C145" s="757"/>
      <c r="D145" s="461" t="s">
        <v>247</v>
      </c>
      <c r="E145" s="462"/>
      <c r="F145" s="316" t="s">
        <v>14</v>
      </c>
      <c r="G145" s="317">
        <f>NPV($C$4, J145:DE145)+I145</f>
        <v>21846952.601947539</v>
      </c>
      <c r="H145" s="416">
        <f>H95+H108+H112</f>
        <v>94271.938044681505</v>
      </c>
      <c r="I145" s="416">
        <f>I95+I108+I112+I144</f>
        <v>9066614.6916555073</v>
      </c>
      <c r="J145" s="416">
        <f t="shared" ref="J145:BU145" si="315">J95+J108+J112+J144</f>
        <v>9275390.963573169</v>
      </c>
      <c r="K145" s="416">
        <f t="shared" si="315"/>
        <v>97736.933753193473</v>
      </c>
      <c r="L145" s="416">
        <f t="shared" si="315"/>
        <v>99520.316006900917</v>
      </c>
      <c r="M145" s="416">
        <f t="shared" si="315"/>
        <v>101339.3659056825</v>
      </c>
      <c r="N145" s="416">
        <f t="shared" si="315"/>
        <v>103194.79680243974</v>
      </c>
      <c r="O145" s="416">
        <f t="shared" si="315"/>
        <v>105087.33631713211</v>
      </c>
      <c r="P145" s="416">
        <f t="shared" si="315"/>
        <v>107017.72662211831</v>
      </c>
      <c r="Q145" s="416">
        <f t="shared" si="315"/>
        <v>108986.72473320429</v>
      </c>
      <c r="R145" s="416">
        <f t="shared" si="315"/>
        <v>110995.10280651193</v>
      </c>
      <c r="S145" s="416">
        <f t="shared" si="315"/>
        <v>113043.64844128575</v>
      </c>
      <c r="T145" s="416">
        <f t="shared" si="315"/>
        <v>115133.16498875504</v>
      </c>
      <c r="U145" s="416">
        <f t="shared" si="315"/>
        <v>117264.47186717374</v>
      </c>
      <c r="V145" s="416">
        <f t="shared" si="315"/>
        <v>119438.40488316077</v>
      </c>
      <c r="W145" s="416">
        <f t="shared" si="315"/>
        <v>121655.81655946758</v>
      </c>
      <c r="X145" s="416">
        <f t="shared" si="315"/>
        <v>123917.57646930047</v>
      </c>
      <c r="Y145" s="416">
        <f t="shared" si="315"/>
        <v>126224.57157733008</v>
      </c>
      <c r="Z145" s="416">
        <f t="shared" si="315"/>
        <v>128577.70658752028</v>
      </c>
      <c r="AA145" s="416">
        <f t="shared" si="315"/>
        <v>130977.90429791425</v>
      </c>
      <c r="AB145" s="416">
        <f t="shared" si="315"/>
        <v>133426.1059625161</v>
      </c>
      <c r="AC145" s="416">
        <f t="shared" si="315"/>
        <v>135923.27166041004</v>
      </c>
      <c r="AD145" s="416">
        <f t="shared" si="315"/>
        <v>138470.38067226182</v>
      </c>
      <c r="AE145" s="416">
        <f t="shared" si="315"/>
        <v>141068.4318643506</v>
      </c>
      <c r="AF145" s="416">
        <f t="shared" si="315"/>
        <v>143718.44408028119</v>
      </c>
      <c r="AG145" s="416">
        <f t="shared" si="315"/>
        <v>146421.45654053037</v>
      </c>
      <c r="AH145" s="416">
        <f t="shared" si="315"/>
        <v>149178.52924998457</v>
      </c>
      <c r="AI145" s="416">
        <f t="shared" si="315"/>
        <v>151990.74341362785</v>
      </c>
      <c r="AJ145" s="416">
        <f t="shared" si="315"/>
        <v>154859.20186054395</v>
      </c>
      <c r="AK145" s="416">
        <f t="shared" si="315"/>
        <v>157785.02947639846</v>
      </c>
      <c r="AL145" s="416">
        <f t="shared" si="315"/>
        <v>160769.37364457001</v>
      </c>
      <c r="AM145" s="416">
        <f t="shared" si="315"/>
        <v>163813.40469610496</v>
      </c>
      <c r="AN145" s="416">
        <f t="shared" si="315"/>
        <v>166918.31636867064</v>
      </c>
      <c r="AO145" s="416">
        <f t="shared" si="315"/>
        <v>170085.32627468766</v>
      </c>
      <c r="AP145" s="416">
        <f t="shared" si="315"/>
        <v>173315.67637882495</v>
      </c>
      <c r="AQ145" s="416">
        <f t="shared" si="315"/>
        <v>176610.63348504502</v>
      </c>
      <c r="AR145" s="416">
        <f t="shared" si="315"/>
        <v>179971.48973338952</v>
      </c>
      <c r="AS145" s="416">
        <f t="shared" si="315"/>
        <v>183399.56310670087</v>
      </c>
      <c r="AT145" s="416">
        <f t="shared" si="315"/>
        <v>186896.19794747847</v>
      </c>
      <c r="AU145" s="416">
        <f t="shared" si="315"/>
        <v>190462.76548507164</v>
      </c>
      <c r="AV145" s="416">
        <f t="shared" si="315"/>
        <v>194100.6643734166</v>
      </c>
      <c r="AW145" s="416">
        <f t="shared" si="315"/>
        <v>197811.32123952854</v>
      </c>
      <c r="AX145" s="416">
        <f t="shared" si="315"/>
        <v>201596.1912429627</v>
      </c>
      <c r="AY145" s="416">
        <f t="shared" si="315"/>
        <v>205456.75864646555</v>
      </c>
      <c r="AZ145" s="416">
        <f t="shared" si="315"/>
        <v>209394.5373980384</v>
      </c>
      <c r="BA145" s="416">
        <f t="shared" si="315"/>
        <v>213411.0717246428</v>
      </c>
      <c r="BB145" s="416">
        <f t="shared" si="315"/>
        <v>217507.93673777918</v>
      </c>
      <c r="BC145" s="416">
        <f t="shared" si="315"/>
        <v>221686.73905117839</v>
      </c>
      <c r="BD145" s="416">
        <f t="shared" si="315"/>
        <v>225949.11741084547</v>
      </c>
      <c r="BE145" s="416">
        <f t="shared" si="315"/>
        <v>230296.74333770599</v>
      </c>
      <c r="BF145" s="416">
        <f t="shared" si="315"/>
        <v>234731.32178310369</v>
      </c>
      <c r="BG145" s="416">
        <f t="shared" si="315"/>
        <v>239254.59179740938</v>
      </c>
      <c r="BH145" s="416">
        <f t="shared" si="315"/>
        <v>243868.32721200108</v>
      </c>
      <c r="BI145" s="416">
        <f t="shared" si="315"/>
        <v>248574.33733488474</v>
      </c>
      <c r="BJ145" s="416">
        <f t="shared" si="315"/>
        <v>253374.46766022599</v>
      </c>
      <c r="BK145" s="416">
        <f t="shared" si="315"/>
        <v>258270.60059207407</v>
      </c>
      <c r="BL145" s="416">
        <f t="shared" si="315"/>
        <v>263264.65618255909</v>
      </c>
      <c r="BM145" s="416">
        <f t="shared" si="315"/>
        <v>268358.59288485389</v>
      </c>
      <c r="BN145" s="416">
        <f t="shared" si="315"/>
        <v>273554.40832119447</v>
      </c>
      <c r="BO145" s="416">
        <f t="shared" si="315"/>
        <v>278854.14006626204</v>
      </c>
      <c r="BP145" s="416">
        <f t="shared" si="315"/>
        <v>284259.86644623079</v>
      </c>
      <c r="BQ145" s="416">
        <f t="shared" si="315"/>
        <v>289773.70735379914</v>
      </c>
      <c r="BR145" s="416">
        <f t="shared" si="315"/>
        <v>295397.82507951854</v>
      </c>
      <c r="BS145" s="416">
        <f t="shared" si="315"/>
        <v>301134.4251597526</v>
      </c>
      <c r="BT145" s="416">
        <f t="shared" si="315"/>
        <v>306985.75724159105</v>
      </c>
      <c r="BU145" s="416">
        <f t="shared" si="315"/>
        <v>312954.11596506659</v>
      </c>
      <c r="BV145" s="416">
        <f t="shared" ref="BV145:DL145" si="316">BV95+BV108+BV112+BV144</f>
        <v>319041.84186301153</v>
      </c>
      <c r="BW145" s="416">
        <f t="shared" si="316"/>
        <v>325251.32227891526</v>
      </c>
      <c r="BX145" s="416">
        <f t="shared" si="316"/>
        <v>331584.99230313714</v>
      </c>
      <c r="BY145" s="416">
        <f t="shared" si="316"/>
        <v>338045.33572784357</v>
      </c>
      <c r="BZ145" s="416">
        <f t="shared" si="316"/>
        <v>344634.88602104393</v>
      </c>
      <c r="CA145" s="416">
        <f t="shared" si="316"/>
        <v>351356.22732010839</v>
      </c>
      <c r="CB145" s="416">
        <f t="shared" si="316"/>
        <v>358211.99544515408</v>
      </c>
      <c r="CC145" s="416">
        <f t="shared" si="316"/>
        <v>365204.87893270084</v>
      </c>
      <c r="CD145" s="416">
        <f t="shared" si="316"/>
        <v>372337.62008999835</v>
      </c>
      <c r="CE145" s="416">
        <f t="shared" si="316"/>
        <v>379613.01607044198</v>
      </c>
      <c r="CF145" s="416">
        <f t="shared" si="316"/>
        <v>387033.91997049429</v>
      </c>
      <c r="CG145" s="416">
        <f t="shared" si="316"/>
        <v>394603.24194854777</v>
      </c>
      <c r="CH145" s="416">
        <f t="shared" si="316"/>
        <v>402323.95036616235</v>
      </c>
      <c r="CI145" s="416">
        <f t="shared" si="316"/>
        <v>410199.07295212924</v>
      </c>
      <c r="CJ145" s="416">
        <f t="shared" si="316"/>
        <v>418231.69798981526</v>
      </c>
      <c r="CK145" s="416">
        <f t="shared" si="316"/>
        <v>426424.97552825522</v>
      </c>
      <c r="CL145" s="416">
        <f t="shared" si="316"/>
        <v>434782.11861746392</v>
      </c>
      <c r="CM145" s="416">
        <f t="shared" si="316"/>
        <v>443306.40456845664</v>
      </c>
      <c r="CN145" s="416">
        <f t="shared" si="316"/>
        <v>452001.17623846949</v>
      </c>
      <c r="CO145" s="416">
        <f t="shared" si="316"/>
        <v>460869.8433418824</v>
      </c>
      <c r="CP145" s="416">
        <f t="shared" si="316"/>
        <v>469915.88378736365</v>
      </c>
      <c r="CQ145" s="416">
        <f t="shared" si="316"/>
        <v>479142.84504175454</v>
      </c>
      <c r="CR145" s="416">
        <f t="shared" si="316"/>
        <v>488554.34552123304</v>
      </c>
      <c r="CS145" s="416">
        <f t="shared" si="316"/>
        <v>498154.0760103013</v>
      </c>
      <c r="CT145" s="416">
        <f t="shared" si="316"/>
        <v>507945.80110915098</v>
      </c>
      <c r="CU145" s="416">
        <f t="shared" si="316"/>
        <v>517933.36070997757</v>
      </c>
      <c r="CV145" s="416">
        <f t="shared" si="316"/>
        <v>528120.67150282068</v>
      </c>
      <c r="CW145" s="416">
        <f t="shared" si="316"/>
        <v>538511.72851152078</v>
      </c>
      <c r="CX145" s="416">
        <f t="shared" si="316"/>
        <v>549110.6066603947</v>
      </c>
      <c r="CY145" s="416">
        <f t="shared" si="316"/>
        <v>559921.4623722462</v>
      </c>
      <c r="CZ145" s="416">
        <f t="shared" si="316"/>
        <v>570948.53519833449</v>
      </c>
      <c r="DA145" s="416">
        <f t="shared" si="316"/>
        <v>582196.14948094485</v>
      </c>
      <c r="DB145" s="416">
        <f t="shared" si="316"/>
        <v>593668.71604920749</v>
      </c>
      <c r="DC145" s="416">
        <f t="shared" si="316"/>
        <v>605370.73394883506</v>
      </c>
      <c r="DD145" s="416">
        <f t="shared" si="316"/>
        <v>617306.79220645537</v>
      </c>
      <c r="DE145" s="416">
        <f t="shared" si="316"/>
        <v>629481.57162922807</v>
      </c>
      <c r="DF145" s="416">
        <f t="shared" si="316"/>
        <v>0</v>
      </c>
      <c r="DG145" s="416">
        <f t="shared" si="316"/>
        <v>0</v>
      </c>
      <c r="DH145" s="416">
        <f t="shared" si="316"/>
        <v>0</v>
      </c>
      <c r="DI145" s="416">
        <f t="shared" si="316"/>
        <v>0</v>
      </c>
      <c r="DJ145" s="416">
        <f t="shared" si="316"/>
        <v>0</v>
      </c>
      <c r="DK145" s="416">
        <f t="shared" si="316"/>
        <v>0</v>
      </c>
      <c r="DL145" s="416">
        <f t="shared" si="316"/>
        <v>0</v>
      </c>
    </row>
    <row r="146" spans="1:116" ht="15.75" customHeight="1" x14ac:dyDescent="0.25">
      <c r="A146" s="466"/>
      <c r="B146" s="466"/>
      <c r="C146" s="467"/>
      <c r="D146" s="279"/>
      <c r="E146" s="280"/>
      <c r="F146" s="280"/>
      <c r="G146" s="279"/>
      <c r="H146" s="409"/>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282"/>
      <c r="AE146" s="282"/>
      <c r="AF146" s="282"/>
      <c r="AG146" s="282"/>
      <c r="AH146" s="282"/>
      <c r="AI146" s="282"/>
      <c r="AJ146" s="282"/>
      <c r="AK146" s="282"/>
      <c r="AL146" s="282"/>
      <c r="AM146" s="282"/>
      <c r="AN146" s="282"/>
      <c r="AO146" s="282"/>
      <c r="AP146" s="282"/>
      <c r="AQ146" s="282"/>
      <c r="AR146" s="282"/>
      <c r="AS146" s="282"/>
      <c r="AT146" s="282"/>
      <c r="AU146" s="282"/>
      <c r="AV146" s="282"/>
      <c r="AW146" s="282"/>
      <c r="AX146" s="282"/>
      <c r="AY146" s="282"/>
      <c r="AZ146" s="282"/>
      <c r="BA146" s="282"/>
      <c r="BB146" s="282"/>
      <c r="BC146" s="282"/>
      <c r="BD146" s="282"/>
      <c r="BE146" s="282"/>
      <c r="BF146" s="282"/>
      <c r="BG146" s="282"/>
      <c r="BH146" s="282"/>
      <c r="BI146" s="282"/>
      <c r="BJ146" s="278"/>
      <c r="BK146" s="278"/>
      <c r="BL146" s="278"/>
      <c r="BM146" s="278"/>
      <c r="BN146" s="278"/>
      <c r="BO146" s="278"/>
      <c r="BP146" s="278"/>
      <c r="BQ146" s="278"/>
      <c r="BR146" s="278"/>
      <c r="BS146" s="278"/>
      <c r="BT146" s="278"/>
      <c r="BU146" s="278"/>
      <c r="BV146" s="278"/>
      <c r="BW146" s="278"/>
      <c r="BX146" s="278"/>
      <c r="BY146" s="278"/>
      <c r="BZ146" s="278"/>
      <c r="CA146" s="278"/>
      <c r="CB146" s="278"/>
      <c r="CC146" s="278"/>
      <c r="CD146" s="278"/>
      <c r="CE146" s="278"/>
      <c r="CF146" s="278"/>
      <c r="CG146" s="278"/>
      <c r="CH146" s="278"/>
      <c r="CI146" s="278"/>
      <c r="CJ146" s="278"/>
      <c r="CK146" s="278"/>
      <c r="CL146" s="278"/>
      <c r="CM146" s="278"/>
      <c r="CN146" s="278"/>
      <c r="CO146" s="278"/>
      <c r="CP146" s="278"/>
      <c r="CQ146" s="278"/>
      <c r="CR146" s="278"/>
      <c r="CS146" s="278"/>
      <c r="CT146" s="278"/>
      <c r="CU146" s="278"/>
      <c r="CV146" s="278"/>
      <c r="CW146" s="278"/>
      <c r="CX146" s="278"/>
      <c r="CY146" s="278"/>
      <c r="CZ146" s="278"/>
      <c r="DA146" s="278"/>
      <c r="DB146" s="278"/>
      <c r="DC146" s="278"/>
      <c r="DD146" s="278"/>
      <c r="DE146" s="278"/>
      <c r="DF146" s="278"/>
      <c r="DG146" s="278"/>
      <c r="DH146" s="278"/>
      <c r="DI146" s="278"/>
      <c r="DJ146" s="278"/>
      <c r="DK146" s="278"/>
      <c r="DL146" s="278"/>
    </row>
    <row r="147" spans="1:116" ht="15.75" customHeight="1" x14ac:dyDescent="0.25">
      <c r="A147" s="466"/>
      <c r="B147" s="466"/>
      <c r="C147" s="467"/>
      <c r="D147" s="279"/>
      <c r="E147" s="280"/>
      <c r="F147" s="280"/>
      <c r="G147" s="279"/>
      <c r="H147" s="409"/>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82"/>
      <c r="AE147" s="282"/>
      <c r="AF147" s="282"/>
      <c r="AG147" s="282"/>
      <c r="AH147" s="282"/>
      <c r="AI147" s="282"/>
      <c r="AJ147" s="282"/>
      <c r="AK147" s="282"/>
      <c r="AL147" s="282"/>
      <c r="AM147" s="282"/>
      <c r="AN147" s="282"/>
      <c r="AO147" s="282"/>
      <c r="AP147" s="282"/>
      <c r="AQ147" s="282"/>
      <c r="AR147" s="282"/>
      <c r="AS147" s="282"/>
      <c r="AT147" s="282"/>
      <c r="AU147" s="282"/>
      <c r="AV147" s="282"/>
      <c r="AW147" s="282"/>
      <c r="AX147" s="282"/>
      <c r="AY147" s="282"/>
      <c r="AZ147" s="282"/>
      <c r="BA147" s="282"/>
      <c r="BB147" s="282"/>
      <c r="BC147" s="282"/>
      <c r="BD147" s="282"/>
      <c r="BE147" s="282"/>
      <c r="BF147" s="282"/>
      <c r="BG147" s="282"/>
      <c r="BH147" s="282"/>
      <c r="BI147" s="282"/>
      <c r="BJ147" s="278"/>
      <c r="BK147" s="278"/>
      <c r="BL147" s="278"/>
      <c r="BM147" s="278"/>
      <c r="BN147" s="278"/>
      <c r="BO147" s="278"/>
      <c r="BP147" s="278"/>
      <c r="BQ147" s="278"/>
      <c r="BR147" s="278"/>
      <c r="BS147" s="278"/>
      <c r="BT147" s="278"/>
      <c r="BU147" s="278"/>
      <c r="BV147" s="278"/>
      <c r="BW147" s="278"/>
      <c r="BX147" s="278"/>
      <c r="BY147" s="278"/>
      <c r="BZ147" s="278"/>
      <c r="CA147" s="278"/>
      <c r="CB147" s="278"/>
      <c r="CC147" s="278"/>
      <c r="CD147" s="278"/>
      <c r="CE147" s="278"/>
      <c r="CF147" s="278"/>
      <c r="CG147" s="278"/>
      <c r="CH147" s="278"/>
      <c r="CI147" s="278"/>
      <c r="CJ147" s="278"/>
      <c r="CK147" s="278"/>
      <c r="CL147" s="278"/>
      <c r="CM147" s="278"/>
      <c r="CN147" s="278"/>
      <c r="CO147" s="278"/>
      <c r="CP147" s="278"/>
      <c r="CQ147" s="278"/>
      <c r="CR147" s="278"/>
      <c r="CS147" s="278"/>
      <c r="CT147" s="278"/>
      <c r="CU147" s="278"/>
      <c r="CV147" s="278"/>
      <c r="CW147" s="278"/>
      <c r="CX147" s="278"/>
      <c r="CY147" s="278"/>
      <c r="CZ147" s="278"/>
      <c r="DA147" s="278"/>
      <c r="DB147" s="278"/>
      <c r="DC147" s="278"/>
      <c r="DD147" s="278"/>
      <c r="DE147" s="278"/>
      <c r="DF147" s="278"/>
      <c r="DG147" s="278"/>
      <c r="DH147" s="278"/>
      <c r="DI147" s="278"/>
      <c r="DJ147" s="278"/>
      <c r="DK147" s="278"/>
      <c r="DL147" s="278"/>
    </row>
    <row r="148" spans="1:116" ht="15.75" customHeight="1" x14ac:dyDescent="0.25">
      <c r="A148" s="466"/>
      <c r="B148" s="466"/>
      <c r="C148" s="467"/>
      <c r="D148" s="279"/>
      <c r="E148" s="280"/>
      <c r="F148" s="280"/>
      <c r="G148" s="279"/>
      <c r="H148" s="409"/>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82"/>
      <c r="AE148" s="282"/>
      <c r="AF148" s="282"/>
      <c r="AG148" s="282"/>
      <c r="AH148" s="282"/>
      <c r="AI148" s="282"/>
      <c r="AJ148" s="282"/>
      <c r="AK148" s="282"/>
      <c r="AL148" s="282"/>
      <c r="AM148" s="282"/>
      <c r="AN148" s="282"/>
      <c r="AO148" s="282"/>
      <c r="AP148" s="282"/>
      <c r="AQ148" s="282"/>
      <c r="AR148" s="282"/>
      <c r="AS148" s="282"/>
      <c r="AT148" s="282"/>
      <c r="AU148" s="282"/>
      <c r="AV148" s="282"/>
      <c r="AW148" s="282"/>
      <c r="AX148" s="282"/>
      <c r="AY148" s="282"/>
      <c r="AZ148" s="282"/>
      <c r="BA148" s="282"/>
      <c r="BB148" s="282"/>
      <c r="BC148" s="282"/>
      <c r="BD148" s="282"/>
      <c r="BE148" s="282"/>
      <c r="BF148" s="282"/>
      <c r="BG148" s="282"/>
      <c r="BH148" s="282"/>
      <c r="BI148" s="282"/>
      <c r="BJ148" s="278"/>
      <c r="BK148" s="278"/>
      <c r="BL148" s="278"/>
      <c r="BM148" s="278"/>
      <c r="BN148" s="278"/>
      <c r="BO148" s="278"/>
      <c r="BP148" s="278"/>
      <c r="BQ148" s="278"/>
      <c r="BR148" s="278"/>
      <c r="BS148" s="278"/>
      <c r="BT148" s="278"/>
      <c r="BU148" s="278"/>
      <c r="BV148" s="278"/>
      <c r="BW148" s="278"/>
      <c r="BX148" s="278"/>
      <c r="BY148" s="278"/>
      <c r="BZ148" s="278"/>
      <c r="CA148" s="278"/>
      <c r="CB148" s="278"/>
      <c r="CC148" s="278"/>
      <c r="CD148" s="278"/>
      <c r="CE148" s="278"/>
      <c r="CF148" s="278"/>
      <c r="CG148" s="278"/>
      <c r="CH148" s="278"/>
      <c r="CI148" s="278"/>
      <c r="CJ148" s="278"/>
      <c r="CK148" s="278"/>
      <c r="CL148" s="278"/>
      <c r="CM148" s="278"/>
      <c r="CN148" s="278"/>
      <c r="CO148" s="278"/>
      <c r="CP148" s="278"/>
      <c r="CQ148" s="278"/>
      <c r="CR148" s="278"/>
      <c r="CS148" s="278"/>
      <c r="CT148" s="278"/>
      <c r="CU148" s="278"/>
      <c r="CV148" s="278"/>
      <c r="CW148" s="278"/>
      <c r="CX148" s="278"/>
      <c r="CY148" s="278"/>
      <c r="CZ148" s="278"/>
      <c r="DA148" s="278"/>
      <c r="DB148" s="278"/>
      <c r="DC148" s="278"/>
      <c r="DD148" s="278"/>
      <c r="DE148" s="278"/>
      <c r="DF148" s="278"/>
      <c r="DG148" s="278"/>
      <c r="DH148" s="278"/>
      <c r="DI148" s="278"/>
      <c r="DJ148" s="278"/>
      <c r="DK148" s="278"/>
      <c r="DL148" s="278"/>
    </row>
    <row r="149" spans="1:116" ht="15.75" customHeight="1" x14ac:dyDescent="0.25">
      <c r="A149" s="466"/>
      <c r="B149" s="466"/>
      <c r="C149" s="467"/>
      <c r="D149" s="279"/>
      <c r="E149" s="280"/>
      <c r="F149" s="280"/>
      <c r="G149" s="279"/>
      <c r="H149" s="409"/>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282"/>
      <c r="AF149" s="282"/>
      <c r="AG149" s="282"/>
      <c r="AH149" s="282"/>
      <c r="AI149" s="282"/>
      <c r="AJ149" s="282"/>
      <c r="AK149" s="282"/>
      <c r="AL149" s="282"/>
      <c r="AM149" s="282"/>
      <c r="AN149" s="282"/>
      <c r="AO149" s="282"/>
      <c r="AP149" s="282"/>
      <c r="AQ149" s="282"/>
      <c r="AR149" s="282"/>
      <c r="AS149" s="282"/>
      <c r="AT149" s="282"/>
      <c r="AU149" s="282"/>
      <c r="AV149" s="282"/>
      <c r="AW149" s="282"/>
      <c r="AX149" s="282"/>
      <c r="AY149" s="282"/>
      <c r="AZ149" s="282"/>
      <c r="BA149" s="282"/>
      <c r="BB149" s="282"/>
      <c r="BC149" s="282"/>
      <c r="BD149" s="282"/>
      <c r="BE149" s="282"/>
      <c r="BF149" s="282"/>
      <c r="BG149" s="282"/>
      <c r="BH149" s="282"/>
      <c r="BI149" s="282"/>
      <c r="BJ149" s="278"/>
      <c r="BK149" s="278"/>
      <c r="BL149" s="278"/>
      <c r="BM149" s="278"/>
      <c r="BN149" s="278"/>
      <c r="BO149" s="278"/>
      <c r="BP149" s="278"/>
      <c r="BQ149" s="278"/>
      <c r="BR149" s="278"/>
      <c r="BS149" s="278"/>
      <c r="BT149" s="278"/>
      <c r="BU149" s="278"/>
      <c r="BV149" s="278"/>
      <c r="BW149" s="278"/>
      <c r="BX149" s="278"/>
      <c r="BY149" s="278"/>
      <c r="BZ149" s="278"/>
      <c r="CA149" s="278"/>
      <c r="CB149" s="278"/>
      <c r="CC149" s="278"/>
      <c r="CD149" s="278"/>
      <c r="CE149" s="278"/>
      <c r="CF149" s="278"/>
      <c r="CG149" s="278"/>
      <c r="CH149" s="278"/>
      <c r="CI149" s="278"/>
      <c r="CJ149" s="278"/>
      <c r="CK149" s="278"/>
      <c r="CL149" s="278"/>
      <c r="CM149" s="278"/>
      <c r="CN149" s="278"/>
      <c r="CO149" s="278"/>
      <c r="CP149" s="278"/>
      <c r="CQ149" s="278"/>
      <c r="CR149" s="278"/>
      <c r="CS149" s="278"/>
      <c r="CT149" s="278"/>
      <c r="CU149" s="278"/>
      <c r="CV149" s="278"/>
      <c r="CW149" s="278"/>
      <c r="CX149" s="278"/>
      <c r="CY149" s="278"/>
      <c r="CZ149" s="278"/>
      <c r="DA149" s="278"/>
      <c r="DB149" s="278"/>
      <c r="DC149" s="278"/>
      <c r="DD149" s="278"/>
      <c r="DE149" s="278"/>
      <c r="DF149" s="278"/>
      <c r="DG149" s="278"/>
      <c r="DH149" s="278"/>
      <c r="DI149" s="278"/>
      <c r="DJ149" s="278"/>
      <c r="DK149" s="278"/>
      <c r="DL149" s="278"/>
    </row>
    <row r="150" spans="1:116" ht="15.75" customHeight="1" x14ac:dyDescent="0.25">
      <c r="A150" s="466"/>
      <c r="B150" s="466"/>
      <c r="C150" s="467"/>
      <c r="D150" s="279"/>
      <c r="E150" s="280"/>
      <c r="F150" s="280"/>
      <c r="G150" s="279"/>
      <c r="H150" s="409"/>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282"/>
      <c r="AF150" s="282"/>
      <c r="AG150" s="282"/>
      <c r="AH150" s="282"/>
      <c r="AI150" s="282"/>
      <c r="AJ150" s="282"/>
      <c r="AK150" s="282"/>
      <c r="AL150" s="282"/>
      <c r="AM150" s="282"/>
      <c r="AN150" s="282"/>
      <c r="AO150" s="282"/>
      <c r="AP150" s="282"/>
      <c r="AQ150" s="282"/>
      <c r="AR150" s="282"/>
      <c r="AS150" s="282"/>
      <c r="AT150" s="282"/>
      <c r="AU150" s="282"/>
      <c r="AV150" s="282"/>
      <c r="AW150" s="282"/>
      <c r="AX150" s="282"/>
      <c r="AY150" s="282"/>
      <c r="AZ150" s="282"/>
      <c r="BA150" s="282"/>
      <c r="BB150" s="282"/>
      <c r="BC150" s="282"/>
      <c r="BD150" s="282"/>
      <c r="BE150" s="282"/>
      <c r="BF150" s="282"/>
      <c r="BG150" s="282"/>
      <c r="BH150" s="282"/>
      <c r="BI150" s="282"/>
      <c r="BJ150" s="278"/>
      <c r="BK150" s="278"/>
      <c r="BL150" s="278"/>
      <c r="BM150" s="278"/>
      <c r="BN150" s="278"/>
      <c r="BO150" s="278"/>
      <c r="BP150" s="278"/>
      <c r="BQ150" s="278"/>
      <c r="BR150" s="278"/>
      <c r="BS150" s="278"/>
      <c r="BT150" s="278"/>
      <c r="BU150" s="278"/>
      <c r="BV150" s="278"/>
      <c r="BW150" s="278"/>
      <c r="BX150" s="278"/>
      <c r="BY150" s="278"/>
      <c r="BZ150" s="278"/>
      <c r="CA150" s="278"/>
      <c r="CB150" s="278"/>
      <c r="CC150" s="278"/>
      <c r="CD150" s="278"/>
      <c r="CE150" s="278"/>
      <c r="CF150" s="278"/>
      <c r="CG150" s="278"/>
      <c r="CH150" s="278"/>
      <c r="CI150" s="278"/>
      <c r="CJ150" s="278"/>
      <c r="CK150" s="278"/>
      <c r="CL150" s="278"/>
      <c r="CM150" s="278"/>
      <c r="CN150" s="278"/>
      <c r="CO150" s="278"/>
      <c r="CP150" s="278"/>
      <c r="CQ150" s="278"/>
      <c r="CR150" s="278"/>
      <c r="CS150" s="278"/>
      <c r="CT150" s="278"/>
      <c r="CU150" s="278"/>
      <c r="CV150" s="278"/>
      <c r="CW150" s="278"/>
      <c r="CX150" s="278"/>
      <c r="CY150" s="278"/>
      <c r="CZ150" s="278"/>
      <c r="DA150" s="278"/>
      <c r="DB150" s="278"/>
      <c r="DC150" s="278"/>
      <c r="DD150" s="278"/>
      <c r="DE150" s="278"/>
      <c r="DF150" s="278"/>
      <c r="DG150" s="278"/>
      <c r="DH150" s="278"/>
      <c r="DI150" s="278"/>
      <c r="DJ150" s="278"/>
      <c r="DK150" s="278"/>
      <c r="DL150" s="278"/>
    </row>
    <row r="151" spans="1:116" ht="15.75" customHeight="1" x14ac:dyDescent="0.25">
      <c r="A151" s="466"/>
      <c r="B151" s="466"/>
      <c r="C151" s="467"/>
      <c r="D151" s="279"/>
      <c r="E151" s="280"/>
      <c r="F151" s="280"/>
      <c r="G151" s="279"/>
      <c r="H151" s="409"/>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282"/>
      <c r="AE151" s="282"/>
      <c r="AF151" s="282"/>
      <c r="AG151" s="282"/>
      <c r="AH151" s="282"/>
      <c r="AI151" s="282"/>
      <c r="AJ151" s="282"/>
      <c r="AK151" s="282"/>
      <c r="AL151" s="282"/>
      <c r="AM151" s="282"/>
      <c r="AN151" s="282"/>
      <c r="AO151" s="282"/>
      <c r="AP151" s="282"/>
      <c r="AQ151" s="282"/>
      <c r="AR151" s="282"/>
      <c r="AS151" s="282"/>
      <c r="AT151" s="282"/>
      <c r="AU151" s="282"/>
      <c r="AV151" s="282"/>
      <c r="AW151" s="282"/>
      <c r="AX151" s="282"/>
      <c r="AY151" s="282"/>
      <c r="AZ151" s="282"/>
      <c r="BA151" s="282"/>
      <c r="BB151" s="282"/>
      <c r="BC151" s="282"/>
      <c r="BD151" s="282"/>
      <c r="BE151" s="282"/>
      <c r="BF151" s="282"/>
      <c r="BG151" s="282"/>
      <c r="BH151" s="282"/>
      <c r="BI151" s="282"/>
      <c r="BJ151" s="278"/>
      <c r="BK151" s="278"/>
      <c r="BL151" s="278"/>
      <c r="BM151" s="278"/>
      <c r="BN151" s="278"/>
      <c r="BO151" s="278"/>
      <c r="BP151" s="278"/>
      <c r="BQ151" s="278"/>
      <c r="BR151" s="278"/>
      <c r="BS151" s="278"/>
      <c r="BT151" s="278"/>
      <c r="BU151" s="278"/>
      <c r="BV151" s="278"/>
      <c r="BW151" s="278"/>
      <c r="BX151" s="278"/>
      <c r="BY151" s="278"/>
      <c r="BZ151" s="278"/>
      <c r="CA151" s="278"/>
      <c r="CB151" s="278"/>
      <c r="CC151" s="278"/>
      <c r="CD151" s="278"/>
      <c r="CE151" s="278"/>
      <c r="CF151" s="278"/>
      <c r="CG151" s="278"/>
      <c r="CH151" s="278"/>
      <c r="CI151" s="278"/>
      <c r="CJ151" s="278"/>
      <c r="CK151" s="278"/>
      <c r="CL151" s="278"/>
      <c r="CM151" s="278"/>
      <c r="CN151" s="278"/>
      <c r="CO151" s="278"/>
      <c r="CP151" s="278"/>
      <c r="CQ151" s="278"/>
      <c r="CR151" s="278"/>
      <c r="CS151" s="278"/>
      <c r="CT151" s="278"/>
      <c r="CU151" s="278"/>
      <c r="CV151" s="278"/>
      <c r="CW151" s="278"/>
      <c r="CX151" s="278"/>
      <c r="CY151" s="278"/>
      <c r="CZ151" s="278"/>
      <c r="DA151" s="278"/>
      <c r="DB151" s="278"/>
      <c r="DC151" s="278"/>
      <c r="DD151" s="278"/>
      <c r="DE151" s="278"/>
      <c r="DF151" s="278"/>
      <c r="DG151" s="278"/>
      <c r="DH151" s="278"/>
      <c r="DI151" s="278"/>
      <c r="DJ151" s="278"/>
      <c r="DK151" s="278"/>
      <c r="DL151" s="278"/>
    </row>
    <row r="152" spans="1:116" ht="15.75" customHeight="1" x14ac:dyDescent="0.25">
      <c r="A152" s="466"/>
      <c r="B152" s="466"/>
      <c r="C152" s="467"/>
      <c r="D152" s="279"/>
      <c r="E152" s="280"/>
      <c r="F152" s="280"/>
      <c r="G152" s="279"/>
      <c r="H152" s="409"/>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282"/>
      <c r="AM152" s="282"/>
      <c r="AN152" s="282"/>
      <c r="AO152" s="282"/>
      <c r="AP152" s="282"/>
      <c r="AQ152" s="282"/>
      <c r="AR152" s="282"/>
      <c r="AS152" s="282"/>
      <c r="AT152" s="282"/>
      <c r="AU152" s="282"/>
      <c r="AV152" s="282"/>
      <c r="AW152" s="282"/>
      <c r="AX152" s="282"/>
      <c r="AY152" s="282"/>
      <c r="AZ152" s="282"/>
      <c r="BA152" s="282"/>
      <c r="BB152" s="282"/>
      <c r="BC152" s="282"/>
      <c r="BD152" s="282"/>
      <c r="BE152" s="282"/>
      <c r="BF152" s="282"/>
      <c r="BG152" s="282"/>
      <c r="BH152" s="282"/>
      <c r="BI152" s="282"/>
      <c r="BJ152" s="278"/>
      <c r="BK152" s="278"/>
      <c r="BL152" s="278"/>
      <c r="BM152" s="278"/>
      <c r="BN152" s="278"/>
      <c r="BO152" s="278"/>
      <c r="BP152" s="278"/>
      <c r="BQ152" s="278"/>
      <c r="BR152" s="278"/>
      <c r="BS152" s="278"/>
      <c r="BT152" s="278"/>
      <c r="BU152" s="278"/>
      <c r="BV152" s="278"/>
      <c r="BW152" s="278"/>
      <c r="BX152" s="278"/>
      <c r="BY152" s="278"/>
      <c r="BZ152" s="278"/>
      <c r="CA152" s="278"/>
      <c r="CB152" s="278"/>
      <c r="CC152" s="278"/>
      <c r="CD152" s="278"/>
      <c r="CE152" s="278"/>
      <c r="CF152" s="278"/>
      <c r="CG152" s="278"/>
      <c r="CH152" s="278"/>
      <c r="CI152" s="278"/>
      <c r="CJ152" s="278"/>
      <c r="CK152" s="278"/>
      <c r="CL152" s="278"/>
      <c r="CM152" s="278"/>
      <c r="CN152" s="278"/>
      <c r="CO152" s="278"/>
      <c r="CP152" s="278"/>
      <c r="CQ152" s="278"/>
      <c r="CR152" s="278"/>
      <c r="CS152" s="278"/>
      <c r="CT152" s="278"/>
      <c r="CU152" s="278"/>
      <c r="CV152" s="278"/>
      <c r="CW152" s="278"/>
      <c r="CX152" s="278"/>
      <c r="CY152" s="278"/>
      <c r="CZ152" s="278"/>
      <c r="DA152" s="278"/>
      <c r="DB152" s="278"/>
      <c r="DC152" s="278"/>
      <c r="DD152" s="278"/>
      <c r="DE152" s="278"/>
      <c r="DF152" s="278"/>
      <c r="DG152" s="278"/>
      <c r="DH152" s="278"/>
      <c r="DI152" s="278"/>
      <c r="DJ152" s="278"/>
      <c r="DK152" s="278"/>
      <c r="DL152" s="278"/>
    </row>
    <row r="153" spans="1:116" ht="15.75" customHeight="1" x14ac:dyDescent="0.25">
      <c r="A153" s="466"/>
      <c r="B153" s="466"/>
      <c r="C153" s="467"/>
      <c r="D153" s="279"/>
      <c r="E153" s="280"/>
      <c r="F153" s="280"/>
      <c r="G153" s="279"/>
      <c r="H153" s="409"/>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282"/>
      <c r="AF153" s="282"/>
      <c r="AG153" s="282"/>
      <c r="AH153" s="282"/>
      <c r="AI153" s="282"/>
      <c r="AJ153" s="282"/>
      <c r="AK153" s="282"/>
      <c r="AL153" s="282"/>
      <c r="AM153" s="282"/>
      <c r="AN153" s="282"/>
      <c r="AO153" s="282"/>
      <c r="AP153" s="282"/>
      <c r="AQ153" s="282"/>
      <c r="AR153" s="282"/>
      <c r="AS153" s="282"/>
      <c r="AT153" s="282"/>
      <c r="AU153" s="282"/>
      <c r="AV153" s="282"/>
      <c r="AW153" s="282"/>
      <c r="AX153" s="282"/>
      <c r="AY153" s="282"/>
      <c r="AZ153" s="282"/>
      <c r="BA153" s="282"/>
      <c r="BB153" s="282"/>
      <c r="BC153" s="282"/>
      <c r="BD153" s="282"/>
      <c r="BE153" s="282"/>
      <c r="BF153" s="282"/>
      <c r="BG153" s="282"/>
      <c r="BH153" s="282"/>
      <c r="BI153" s="282"/>
      <c r="BJ153" s="278"/>
      <c r="BK153" s="278"/>
      <c r="BL153" s="278"/>
      <c r="BM153" s="278"/>
      <c r="BN153" s="278"/>
      <c r="BO153" s="278"/>
      <c r="BP153" s="278"/>
      <c r="BQ153" s="278"/>
      <c r="BR153" s="278"/>
      <c r="BS153" s="278"/>
      <c r="BT153" s="278"/>
      <c r="BU153" s="278"/>
      <c r="BV153" s="278"/>
      <c r="BW153" s="278"/>
      <c r="BX153" s="278"/>
      <c r="BY153" s="278"/>
      <c r="BZ153" s="278"/>
      <c r="CA153" s="278"/>
      <c r="CB153" s="278"/>
      <c r="CC153" s="278"/>
      <c r="CD153" s="278"/>
      <c r="CE153" s="278"/>
      <c r="CF153" s="278"/>
      <c r="CG153" s="278"/>
      <c r="CH153" s="278"/>
      <c r="CI153" s="278"/>
      <c r="CJ153" s="278"/>
      <c r="CK153" s="278"/>
      <c r="CL153" s="278"/>
      <c r="CM153" s="278"/>
      <c r="CN153" s="278"/>
      <c r="CO153" s="278"/>
      <c r="CP153" s="278"/>
      <c r="CQ153" s="278"/>
      <c r="CR153" s="278"/>
      <c r="CS153" s="278"/>
      <c r="CT153" s="278"/>
      <c r="CU153" s="278"/>
      <c r="CV153" s="278"/>
      <c r="CW153" s="278"/>
      <c r="CX153" s="278"/>
      <c r="CY153" s="278"/>
      <c r="CZ153" s="278"/>
      <c r="DA153" s="278"/>
      <c r="DB153" s="278"/>
      <c r="DC153" s="278"/>
      <c r="DD153" s="278"/>
      <c r="DE153" s="278"/>
      <c r="DF153" s="278"/>
      <c r="DG153" s="278"/>
      <c r="DH153" s="278"/>
      <c r="DI153" s="278"/>
      <c r="DJ153" s="278"/>
      <c r="DK153" s="278"/>
      <c r="DL153" s="278"/>
    </row>
    <row r="154" spans="1:116" ht="15.75" customHeight="1" x14ac:dyDescent="0.25">
      <c r="A154" s="466"/>
      <c r="B154" s="466"/>
      <c r="C154" s="467"/>
      <c r="D154" s="279"/>
      <c r="E154" s="280"/>
      <c r="F154" s="280"/>
      <c r="G154" s="279"/>
      <c r="H154" s="409"/>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282"/>
      <c r="AE154" s="282"/>
      <c r="AF154" s="282"/>
      <c r="AG154" s="282"/>
      <c r="AH154" s="282"/>
      <c r="AI154" s="282"/>
      <c r="AJ154" s="282"/>
      <c r="AK154" s="282"/>
      <c r="AL154" s="282"/>
      <c r="AM154" s="282"/>
      <c r="AN154" s="282"/>
      <c r="AO154" s="282"/>
      <c r="AP154" s="282"/>
      <c r="AQ154" s="282"/>
      <c r="AR154" s="282"/>
      <c r="AS154" s="282"/>
      <c r="AT154" s="282"/>
      <c r="AU154" s="282"/>
      <c r="AV154" s="282"/>
      <c r="AW154" s="282"/>
      <c r="AX154" s="282"/>
      <c r="AY154" s="282"/>
      <c r="AZ154" s="282"/>
      <c r="BA154" s="282"/>
      <c r="BB154" s="282"/>
      <c r="BC154" s="282"/>
      <c r="BD154" s="282"/>
      <c r="BE154" s="282"/>
      <c r="BF154" s="282"/>
      <c r="BG154" s="282"/>
      <c r="BH154" s="282"/>
      <c r="BI154" s="282"/>
      <c r="BJ154" s="278"/>
      <c r="BK154" s="278"/>
      <c r="BL154" s="278"/>
      <c r="BM154" s="278"/>
      <c r="BN154" s="278"/>
      <c r="BO154" s="278"/>
      <c r="BP154" s="278"/>
      <c r="BQ154" s="278"/>
      <c r="BR154" s="278"/>
      <c r="BS154" s="278"/>
      <c r="BT154" s="278"/>
      <c r="BU154" s="278"/>
      <c r="BV154" s="278"/>
      <c r="BW154" s="278"/>
      <c r="BX154" s="278"/>
      <c r="BY154" s="278"/>
      <c r="BZ154" s="278"/>
      <c r="CA154" s="278"/>
      <c r="CB154" s="278"/>
      <c r="CC154" s="278"/>
      <c r="CD154" s="278"/>
      <c r="CE154" s="278"/>
      <c r="CF154" s="278"/>
      <c r="CG154" s="278"/>
      <c r="CH154" s="278"/>
      <c r="CI154" s="278"/>
      <c r="CJ154" s="278"/>
      <c r="CK154" s="278"/>
      <c r="CL154" s="278"/>
      <c r="CM154" s="278"/>
      <c r="CN154" s="278"/>
      <c r="CO154" s="278"/>
      <c r="CP154" s="278"/>
      <c r="CQ154" s="278"/>
      <c r="CR154" s="278"/>
      <c r="CS154" s="278"/>
      <c r="CT154" s="278"/>
      <c r="CU154" s="278"/>
      <c r="CV154" s="278"/>
      <c r="CW154" s="278"/>
      <c r="CX154" s="278"/>
      <c r="CY154" s="278"/>
      <c r="CZ154" s="278"/>
      <c r="DA154" s="278"/>
      <c r="DB154" s="278"/>
      <c r="DC154" s="278"/>
      <c r="DD154" s="278"/>
      <c r="DE154" s="278"/>
      <c r="DF154" s="278"/>
      <c r="DG154" s="278"/>
      <c r="DH154" s="278"/>
      <c r="DI154" s="278"/>
      <c r="DJ154" s="278"/>
      <c r="DK154" s="278"/>
      <c r="DL154" s="278"/>
    </row>
    <row r="155" spans="1:116" ht="15.75" customHeight="1" x14ac:dyDescent="0.25">
      <c r="A155" s="466"/>
      <c r="B155" s="466"/>
      <c r="C155" s="467"/>
      <c r="D155" s="279"/>
      <c r="E155" s="280"/>
      <c r="F155" s="280"/>
      <c r="G155" s="279"/>
      <c r="H155" s="409"/>
      <c r="I155" s="282"/>
      <c r="J155" s="282"/>
      <c r="K155" s="282"/>
      <c r="L155" s="282"/>
      <c r="M155" s="282"/>
      <c r="N155" s="282"/>
      <c r="O155" s="282"/>
      <c r="P155" s="282"/>
      <c r="Q155" s="282"/>
      <c r="R155" s="282"/>
      <c r="S155" s="282"/>
      <c r="T155" s="282"/>
      <c r="U155" s="282"/>
      <c r="V155" s="282"/>
      <c r="W155" s="282"/>
      <c r="X155" s="282"/>
      <c r="Y155" s="282"/>
      <c r="Z155" s="282"/>
      <c r="AA155" s="282"/>
      <c r="AB155" s="282"/>
      <c r="AC155" s="282"/>
      <c r="AD155" s="282"/>
      <c r="AE155" s="282"/>
      <c r="AF155" s="282"/>
      <c r="AG155" s="282"/>
      <c r="AH155" s="282"/>
      <c r="AI155" s="282"/>
      <c r="AJ155" s="282"/>
      <c r="AK155" s="282"/>
      <c r="AL155" s="282"/>
      <c r="AM155" s="282"/>
      <c r="AN155" s="282"/>
      <c r="AO155" s="282"/>
      <c r="AP155" s="282"/>
      <c r="AQ155" s="282"/>
      <c r="AR155" s="282"/>
      <c r="AS155" s="282"/>
      <c r="AT155" s="282"/>
      <c r="AU155" s="282"/>
      <c r="AV155" s="282"/>
      <c r="AW155" s="282"/>
      <c r="AX155" s="282"/>
      <c r="AY155" s="282"/>
      <c r="AZ155" s="282"/>
      <c r="BA155" s="282"/>
      <c r="BB155" s="282"/>
      <c r="BC155" s="282"/>
      <c r="BD155" s="282"/>
      <c r="BE155" s="282"/>
      <c r="BF155" s="282"/>
      <c r="BG155" s="282"/>
      <c r="BH155" s="282"/>
      <c r="BI155" s="282"/>
      <c r="BJ155" s="278"/>
      <c r="BK155" s="278"/>
      <c r="BL155" s="278"/>
      <c r="BM155" s="278"/>
      <c r="BN155" s="278"/>
      <c r="BO155" s="278"/>
      <c r="BP155" s="278"/>
      <c r="BQ155" s="278"/>
      <c r="BR155" s="278"/>
      <c r="BS155" s="278"/>
      <c r="BT155" s="278"/>
      <c r="BU155" s="278"/>
      <c r="BV155" s="278"/>
      <c r="BW155" s="278"/>
      <c r="BX155" s="278"/>
      <c r="BY155" s="278"/>
      <c r="BZ155" s="278"/>
      <c r="CA155" s="278"/>
      <c r="CB155" s="278"/>
      <c r="CC155" s="278"/>
      <c r="CD155" s="278"/>
      <c r="CE155" s="278"/>
      <c r="CF155" s="278"/>
      <c r="CG155" s="278"/>
      <c r="CH155" s="278"/>
      <c r="CI155" s="278"/>
      <c r="CJ155" s="278"/>
      <c r="CK155" s="278"/>
      <c r="CL155" s="278"/>
      <c r="CM155" s="278"/>
      <c r="CN155" s="278"/>
      <c r="CO155" s="278"/>
      <c r="CP155" s="278"/>
      <c r="CQ155" s="278"/>
      <c r="CR155" s="278"/>
      <c r="CS155" s="278"/>
      <c r="CT155" s="278"/>
      <c r="CU155" s="278"/>
      <c r="CV155" s="278"/>
      <c r="CW155" s="278"/>
      <c r="CX155" s="278"/>
      <c r="CY155" s="278"/>
      <c r="CZ155" s="278"/>
      <c r="DA155" s="278"/>
      <c r="DB155" s="278"/>
      <c r="DC155" s="278"/>
      <c r="DD155" s="278"/>
      <c r="DE155" s="278"/>
      <c r="DF155" s="278"/>
      <c r="DG155" s="278"/>
      <c r="DH155" s="278"/>
      <c r="DI155" s="278"/>
      <c r="DJ155" s="278"/>
      <c r="DK155" s="278"/>
      <c r="DL155" s="278"/>
    </row>
    <row r="156" spans="1:116" ht="15.75" customHeight="1" x14ac:dyDescent="0.25">
      <c r="A156" s="466"/>
      <c r="B156" s="466"/>
      <c r="C156" s="467"/>
      <c r="D156" s="279"/>
      <c r="E156" s="280"/>
      <c r="F156" s="280"/>
      <c r="G156" s="279"/>
      <c r="H156" s="409"/>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c r="AF156" s="282"/>
      <c r="AG156" s="282"/>
      <c r="AH156" s="282"/>
      <c r="AI156" s="282"/>
      <c r="AJ156" s="282"/>
      <c r="AK156" s="282"/>
      <c r="AL156" s="282"/>
      <c r="AM156" s="282"/>
      <c r="AN156" s="282"/>
      <c r="AO156" s="282"/>
      <c r="AP156" s="282"/>
      <c r="AQ156" s="282"/>
      <c r="AR156" s="282"/>
      <c r="AS156" s="282"/>
      <c r="AT156" s="282"/>
      <c r="AU156" s="282"/>
      <c r="AV156" s="282"/>
      <c r="AW156" s="282"/>
      <c r="AX156" s="282"/>
      <c r="AY156" s="282"/>
      <c r="AZ156" s="282"/>
      <c r="BA156" s="282"/>
      <c r="BB156" s="282"/>
      <c r="BC156" s="282"/>
      <c r="BD156" s="282"/>
      <c r="BE156" s="282"/>
      <c r="BF156" s="282"/>
      <c r="BG156" s="282"/>
      <c r="BH156" s="282"/>
      <c r="BI156" s="282"/>
      <c r="BJ156" s="278"/>
      <c r="BK156" s="278"/>
      <c r="BL156" s="278"/>
      <c r="BM156" s="278"/>
      <c r="BN156" s="278"/>
      <c r="BO156" s="278"/>
      <c r="BP156" s="278"/>
      <c r="BQ156" s="278"/>
      <c r="BR156" s="278"/>
      <c r="BS156" s="278"/>
      <c r="BT156" s="278"/>
      <c r="BU156" s="278"/>
      <c r="BV156" s="278"/>
      <c r="BW156" s="278"/>
      <c r="BX156" s="278"/>
      <c r="BY156" s="278"/>
      <c r="BZ156" s="278"/>
      <c r="CA156" s="278"/>
      <c r="CB156" s="278"/>
      <c r="CC156" s="278"/>
      <c r="CD156" s="278"/>
      <c r="CE156" s="278"/>
      <c r="CF156" s="278"/>
      <c r="CG156" s="278"/>
      <c r="CH156" s="278"/>
      <c r="CI156" s="278"/>
      <c r="CJ156" s="278"/>
      <c r="CK156" s="278"/>
      <c r="CL156" s="278"/>
      <c r="CM156" s="278"/>
      <c r="CN156" s="278"/>
      <c r="CO156" s="278"/>
      <c r="CP156" s="278"/>
      <c r="CQ156" s="278"/>
      <c r="CR156" s="278"/>
      <c r="CS156" s="278"/>
      <c r="CT156" s="278"/>
      <c r="CU156" s="278"/>
      <c r="CV156" s="278"/>
      <c r="CW156" s="278"/>
      <c r="CX156" s="278"/>
      <c r="CY156" s="278"/>
      <c r="CZ156" s="278"/>
      <c r="DA156" s="278"/>
      <c r="DB156" s="278"/>
      <c r="DC156" s="278"/>
      <c r="DD156" s="278"/>
      <c r="DE156" s="278"/>
      <c r="DF156" s="278"/>
      <c r="DG156" s="278"/>
      <c r="DH156" s="278"/>
      <c r="DI156" s="278"/>
      <c r="DJ156" s="278"/>
      <c r="DK156" s="278"/>
      <c r="DL156" s="278"/>
    </row>
    <row r="157" spans="1:116" ht="15.75" customHeight="1" x14ac:dyDescent="0.25">
      <c r="A157" s="466"/>
      <c r="B157" s="466"/>
      <c r="C157" s="467"/>
      <c r="D157" s="279"/>
      <c r="E157" s="280"/>
      <c r="F157" s="280"/>
      <c r="G157" s="279"/>
      <c r="H157" s="409"/>
      <c r="I157" s="282"/>
      <c r="J157" s="282"/>
      <c r="K157" s="282"/>
      <c r="L157" s="282"/>
      <c r="M157" s="282"/>
      <c r="N157" s="282"/>
      <c r="O157" s="282"/>
      <c r="P157" s="282"/>
      <c r="Q157" s="282"/>
      <c r="R157" s="282"/>
      <c r="S157" s="282"/>
      <c r="T157" s="282"/>
      <c r="U157" s="282"/>
      <c r="V157" s="282"/>
      <c r="W157" s="282"/>
      <c r="X157" s="282"/>
      <c r="Y157" s="282"/>
      <c r="Z157" s="282"/>
      <c r="AA157" s="282"/>
      <c r="AB157" s="282"/>
      <c r="AC157" s="282"/>
      <c r="AD157" s="282"/>
      <c r="AE157" s="282"/>
      <c r="AF157" s="282"/>
      <c r="AG157" s="282"/>
      <c r="AH157" s="282"/>
      <c r="AI157" s="282"/>
      <c r="AJ157" s="282"/>
      <c r="AK157" s="282"/>
      <c r="AL157" s="282"/>
      <c r="AM157" s="282"/>
      <c r="AN157" s="282"/>
      <c r="AO157" s="282"/>
      <c r="AP157" s="282"/>
      <c r="AQ157" s="282"/>
      <c r="AR157" s="282"/>
      <c r="AS157" s="282"/>
      <c r="AT157" s="282"/>
      <c r="AU157" s="282"/>
      <c r="AV157" s="282"/>
      <c r="AW157" s="282"/>
      <c r="AX157" s="282"/>
      <c r="AY157" s="282"/>
      <c r="AZ157" s="282"/>
      <c r="BA157" s="282"/>
      <c r="BB157" s="282"/>
      <c r="BC157" s="282"/>
      <c r="BD157" s="282"/>
      <c r="BE157" s="282"/>
      <c r="BF157" s="282"/>
      <c r="BG157" s="282"/>
      <c r="BH157" s="282"/>
      <c r="BI157" s="282"/>
      <c r="BJ157" s="278"/>
      <c r="BK157" s="278"/>
      <c r="BL157" s="278"/>
      <c r="BM157" s="278"/>
      <c r="BN157" s="278"/>
      <c r="BO157" s="278"/>
      <c r="BP157" s="278"/>
      <c r="BQ157" s="278"/>
      <c r="BR157" s="278"/>
      <c r="BS157" s="278"/>
      <c r="BT157" s="278"/>
      <c r="BU157" s="278"/>
      <c r="BV157" s="278"/>
      <c r="BW157" s="278"/>
      <c r="BX157" s="278"/>
      <c r="BY157" s="278"/>
      <c r="BZ157" s="278"/>
      <c r="CA157" s="278"/>
      <c r="CB157" s="278"/>
      <c r="CC157" s="278"/>
      <c r="CD157" s="278"/>
      <c r="CE157" s="278"/>
      <c r="CF157" s="278"/>
      <c r="CG157" s="278"/>
      <c r="CH157" s="278"/>
      <c r="CI157" s="278"/>
      <c r="CJ157" s="278"/>
      <c r="CK157" s="278"/>
      <c r="CL157" s="278"/>
      <c r="CM157" s="278"/>
      <c r="CN157" s="278"/>
      <c r="CO157" s="278"/>
      <c r="CP157" s="278"/>
      <c r="CQ157" s="278"/>
      <c r="CR157" s="278"/>
      <c r="CS157" s="278"/>
      <c r="CT157" s="278"/>
      <c r="CU157" s="278"/>
      <c r="CV157" s="278"/>
      <c r="CW157" s="278"/>
      <c r="CX157" s="278"/>
      <c r="CY157" s="278"/>
      <c r="CZ157" s="278"/>
      <c r="DA157" s="278"/>
      <c r="DB157" s="278"/>
      <c r="DC157" s="278"/>
      <c r="DD157" s="278"/>
      <c r="DE157" s="278"/>
      <c r="DF157" s="278"/>
      <c r="DG157" s="278"/>
      <c r="DH157" s="278"/>
      <c r="DI157" s="278"/>
      <c r="DJ157" s="278"/>
      <c r="DK157" s="278"/>
      <c r="DL157" s="278"/>
    </row>
    <row r="158" spans="1:116" ht="15.75" customHeight="1" x14ac:dyDescent="0.25">
      <c r="A158" s="466"/>
      <c r="B158" s="466"/>
      <c r="C158" s="467"/>
      <c r="D158" s="279"/>
      <c r="E158" s="280"/>
      <c r="F158" s="280"/>
      <c r="G158" s="279"/>
      <c r="H158" s="409"/>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282"/>
      <c r="AF158" s="282"/>
      <c r="AG158" s="282"/>
      <c r="AH158" s="282"/>
      <c r="AI158" s="282"/>
      <c r="AJ158" s="282"/>
      <c r="AK158" s="282"/>
      <c r="AL158" s="282"/>
      <c r="AM158" s="282"/>
      <c r="AN158" s="282"/>
      <c r="AO158" s="282"/>
      <c r="AP158" s="282"/>
      <c r="AQ158" s="282"/>
      <c r="AR158" s="282"/>
      <c r="AS158" s="282"/>
      <c r="AT158" s="282"/>
      <c r="AU158" s="282"/>
      <c r="AV158" s="282"/>
      <c r="AW158" s="282"/>
      <c r="AX158" s="282"/>
      <c r="AY158" s="282"/>
      <c r="AZ158" s="282"/>
      <c r="BA158" s="282"/>
      <c r="BB158" s="282"/>
      <c r="BC158" s="282"/>
      <c r="BD158" s="282"/>
      <c r="BE158" s="282"/>
      <c r="BF158" s="282"/>
      <c r="BG158" s="282"/>
      <c r="BH158" s="282"/>
      <c r="BI158" s="282"/>
      <c r="BJ158" s="278"/>
      <c r="BK158" s="278"/>
      <c r="BL158" s="278"/>
      <c r="BM158" s="278"/>
      <c r="BN158" s="278"/>
      <c r="BO158" s="278"/>
      <c r="BP158" s="278"/>
      <c r="BQ158" s="278"/>
      <c r="BR158" s="278"/>
      <c r="BS158" s="278"/>
      <c r="BT158" s="278"/>
      <c r="BU158" s="278"/>
      <c r="BV158" s="278"/>
      <c r="BW158" s="278"/>
      <c r="BX158" s="278"/>
      <c r="BY158" s="278"/>
      <c r="BZ158" s="278"/>
      <c r="CA158" s="278"/>
      <c r="CB158" s="278"/>
      <c r="CC158" s="278"/>
      <c r="CD158" s="278"/>
      <c r="CE158" s="278"/>
      <c r="CF158" s="278"/>
      <c r="CG158" s="278"/>
      <c r="CH158" s="278"/>
      <c r="CI158" s="278"/>
      <c r="CJ158" s="278"/>
      <c r="CK158" s="278"/>
      <c r="CL158" s="278"/>
      <c r="CM158" s="278"/>
      <c r="CN158" s="278"/>
      <c r="CO158" s="278"/>
      <c r="CP158" s="278"/>
      <c r="CQ158" s="278"/>
      <c r="CR158" s="278"/>
      <c r="CS158" s="278"/>
      <c r="CT158" s="278"/>
      <c r="CU158" s="278"/>
      <c r="CV158" s="278"/>
      <c r="CW158" s="278"/>
      <c r="CX158" s="278"/>
      <c r="CY158" s="278"/>
      <c r="CZ158" s="278"/>
      <c r="DA158" s="278"/>
      <c r="DB158" s="278"/>
      <c r="DC158" s="278"/>
      <c r="DD158" s="278"/>
      <c r="DE158" s="278"/>
      <c r="DF158" s="278"/>
      <c r="DG158" s="278"/>
      <c r="DH158" s="278"/>
      <c r="DI158" s="278"/>
      <c r="DJ158" s="278"/>
      <c r="DK158" s="278"/>
      <c r="DL158" s="278"/>
    </row>
    <row r="159" spans="1:116" ht="15.75" customHeight="1" x14ac:dyDescent="0.25">
      <c r="A159" s="466"/>
      <c r="B159" s="466"/>
      <c r="C159" s="467"/>
      <c r="D159" s="279"/>
      <c r="E159" s="280"/>
      <c r="F159" s="280"/>
      <c r="G159" s="279"/>
      <c r="H159" s="409"/>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282"/>
      <c r="AF159" s="282"/>
      <c r="AG159" s="282"/>
      <c r="AH159" s="282"/>
      <c r="AI159" s="282"/>
      <c r="AJ159" s="282"/>
      <c r="AK159" s="282"/>
      <c r="AL159" s="282"/>
      <c r="AM159" s="282"/>
      <c r="AN159" s="282"/>
      <c r="AO159" s="282"/>
      <c r="AP159" s="282"/>
      <c r="AQ159" s="282"/>
      <c r="AR159" s="282"/>
      <c r="AS159" s="282"/>
      <c r="AT159" s="282"/>
      <c r="AU159" s="282"/>
      <c r="AV159" s="282"/>
      <c r="AW159" s="282"/>
      <c r="AX159" s="282"/>
      <c r="AY159" s="282"/>
      <c r="AZ159" s="282"/>
      <c r="BA159" s="282"/>
      <c r="BB159" s="282"/>
      <c r="BC159" s="282"/>
      <c r="BD159" s="282"/>
      <c r="BE159" s="282"/>
      <c r="BF159" s="282"/>
      <c r="BG159" s="282"/>
      <c r="BH159" s="282"/>
      <c r="BI159" s="282"/>
      <c r="BJ159" s="278"/>
      <c r="BK159" s="278"/>
      <c r="BL159" s="278"/>
      <c r="BM159" s="278"/>
      <c r="BN159" s="278"/>
      <c r="BO159" s="278"/>
      <c r="BP159" s="278"/>
      <c r="BQ159" s="278"/>
      <c r="BR159" s="278"/>
      <c r="BS159" s="278"/>
      <c r="BT159" s="278"/>
      <c r="BU159" s="278"/>
      <c r="BV159" s="278"/>
      <c r="BW159" s="278"/>
      <c r="BX159" s="278"/>
      <c r="BY159" s="278"/>
      <c r="BZ159" s="278"/>
      <c r="CA159" s="278"/>
      <c r="CB159" s="278"/>
      <c r="CC159" s="278"/>
      <c r="CD159" s="278"/>
      <c r="CE159" s="278"/>
      <c r="CF159" s="278"/>
      <c r="CG159" s="278"/>
      <c r="CH159" s="278"/>
      <c r="CI159" s="278"/>
      <c r="CJ159" s="278"/>
      <c r="CK159" s="278"/>
      <c r="CL159" s="278"/>
      <c r="CM159" s="278"/>
      <c r="CN159" s="278"/>
      <c r="CO159" s="278"/>
      <c r="CP159" s="278"/>
      <c r="CQ159" s="278"/>
      <c r="CR159" s="278"/>
      <c r="CS159" s="278"/>
      <c r="CT159" s="278"/>
      <c r="CU159" s="278"/>
      <c r="CV159" s="278"/>
      <c r="CW159" s="278"/>
      <c r="CX159" s="278"/>
      <c r="CY159" s="278"/>
      <c r="CZ159" s="278"/>
      <c r="DA159" s="278"/>
      <c r="DB159" s="278"/>
      <c r="DC159" s="278"/>
      <c r="DD159" s="278"/>
      <c r="DE159" s="278"/>
      <c r="DF159" s="278"/>
      <c r="DG159" s="278"/>
      <c r="DH159" s="278"/>
      <c r="DI159" s="278"/>
      <c r="DJ159" s="278"/>
      <c r="DK159" s="278"/>
      <c r="DL159" s="278"/>
    </row>
    <row r="160" spans="1:116" ht="15.75" customHeight="1" x14ac:dyDescent="0.25">
      <c r="A160" s="466"/>
      <c r="B160" s="466"/>
      <c r="C160" s="467"/>
      <c r="D160" s="279"/>
      <c r="E160" s="280"/>
      <c r="F160" s="280"/>
      <c r="G160" s="279"/>
      <c r="H160" s="409"/>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c r="AI160" s="282"/>
      <c r="AJ160" s="282"/>
      <c r="AK160" s="282"/>
      <c r="AL160" s="282"/>
      <c r="AM160" s="282"/>
      <c r="AN160" s="282"/>
      <c r="AO160" s="282"/>
      <c r="AP160" s="282"/>
      <c r="AQ160" s="282"/>
      <c r="AR160" s="282"/>
      <c r="AS160" s="282"/>
      <c r="AT160" s="282"/>
      <c r="AU160" s="282"/>
      <c r="AV160" s="282"/>
      <c r="AW160" s="282"/>
      <c r="AX160" s="282"/>
      <c r="AY160" s="282"/>
      <c r="AZ160" s="282"/>
      <c r="BA160" s="282"/>
      <c r="BB160" s="282"/>
      <c r="BC160" s="282"/>
      <c r="BD160" s="282"/>
      <c r="BE160" s="282"/>
      <c r="BF160" s="282"/>
      <c r="BG160" s="282"/>
      <c r="BH160" s="282"/>
      <c r="BI160" s="282"/>
      <c r="BJ160" s="278"/>
      <c r="BK160" s="278"/>
      <c r="BL160" s="278"/>
      <c r="BM160" s="278"/>
      <c r="BN160" s="278"/>
      <c r="BO160" s="278"/>
      <c r="BP160" s="278"/>
      <c r="BQ160" s="278"/>
      <c r="BR160" s="278"/>
      <c r="BS160" s="278"/>
      <c r="BT160" s="278"/>
      <c r="BU160" s="278"/>
      <c r="BV160" s="278"/>
      <c r="BW160" s="278"/>
      <c r="BX160" s="278"/>
      <c r="BY160" s="278"/>
      <c r="BZ160" s="278"/>
      <c r="CA160" s="278"/>
      <c r="CB160" s="278"/>
      <c r="CC160" s="278"/>
      <c r="CD160" s="278"/>
      <c r="CE160" s="278"/>
      <c r="CF160" s="278"/>
      <c r="CG160" s="278"/>
      <c r="CH160" s="278"/>
      <c r="CI160" s="278"/>
      <c r="CJ160" s="278"/>
      <c r="CK160" s="278"/>
      <c r="CL160" s="278"/>
      <c r="CM160" s="278"/>
      <c r="CN160" s="278"/>
      <c r="CO160" s="278"/>
      <c r="CP160" s="278"/>
      <c r="CQ160" s="278"/>
      <c r="CR160" s="278"/>
      <c r="CS160" s="278"/>
      <c r="CT160" s="278"/>
      <c r="CU160" s="278"/>
      <c r="CV160" s="278"/>
      <c r="CW160" s="278"/>
      <c r="CX160" s="278"/>
      <c r="CY160" s="278"/>
      <c r="CZ160" s="278"/>
      <c r="DA160" s="278"/>
      <c r="DB160" s="278"/>
      <c r="DC160" s="278"/>
      <c r="DD160" s="278"/>
      <c r="DE160" s="278"/>
      <c r="DF160" s="278"/>
      <c r="DG160" s="278"/>
      <c r="DH160" s="278"/>
      <c r="DI160" s="278"/>
      <c r="DJ160" s="278"/>
      <c r="DK160" s="278"/>
      <c r="DL160" s="278"/>
    </row>
    <row r="161" spans="1:116" ht="15.75" customHeight="1" x14ac:dyDescent="0.25">
      <c r="A161" s="466"/>
      <c r="B161" s="466"/>
      <c r="C161" s="467"/>
      <c r="D161" s="279"/>
      <c r="E161" s="280"/>
      <c r="F161" s="280"/>
      <c r="G161" s="279"/>
      <c r="H161" s="409"/>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c r="AL161" s="282"/>
      <c r="AM161" s="282"/>
      <c r="AN161" s="282"/>
      <c r="AO161" s="282"/>
      <c r="AP161" s="282"/>
      <c r="AQ161" s="282"/>
      <c r="AR161" s="282"/>
      <c r="AS161" s="282"/>
      <c r="AT161" s="282"/>
      <c r="AU161" s="282"/>
      <c r="AV161" s="282"/>
      <c r="AW161" s="282"/>
      <c r="AX161" s="282"/>
      <c r="AY161" s="282"/>
      <c r="AZ161" s="282"/>
      <c r="BA161" s="282"/>
      <c r="BB161" s="282"/>
      <c r="BC161" s="282"/>
      <c r="BD161" s="282"/>
      <c r="BE161" s="282"/>
      <c r="BF161" s="282"/>
      <c r="BG161" s="282"/>
      <c r="BH161" s="282"/>
      <c r="BI161" s="282"/>
      <c r="BJ161" s="278"/>
      <c r="BK161" s="278"/>
      <c r="BL161" s="278"/>
      <c r="BM161" s="278"/>
      <c r="BN161" s="278"/>
      <c r="BO161" s="278"/>
      <c r="BP161" s="278"/>
      <c r="BQ161" s="278"/>
      <c r="BR161" s="278"/>
      <c r="BS161" s="278"/>
      <c r="BT161" s="278"/>
      <c r="BU161" s="278"/>
      <c r="BV161" s="278"/>
      <c r="BW161" s="278"/>
      <c r="BX161" s="278"/>
      <c r="BY161" s="278"/>
      <c r="BZ161" s="278"/>
      <c r="CA161" s="278"/>
      <c r="CB161" s="278"/>
      <c r="CC161" s="278"/>
      <c r="CD161" s="278"/>
      <c r="CE161" s="278"/>
      <c r="CF161" s="278"/>
      <c r="CG161" s="278"/>
      <c r="CH161" s="278"/>
      <c r="CI161" s="278"/>
      <c r="CJ161" s="278"/>
      <c r="CK161" s="278"/>
      <c r="CL161" s="278"/>
      <c r="CM161" s="278"/>
      <c r="CN161" s="278"/>
      <c r="CO161" s="278"/>
      <c r="CP161" s="278"/>
      <c r="CQ161" s="278"/>
      <c r="CR161" s="278"/>
      <c r="CS161" s="278"/>
      <c r="CT161" s="278"/>
      <c r="CU161" s="278"/>
      <c r="CV161" s="278"/>
      <c r="CW161" s="278"/>
      <c r="CX161" s="278"/>
      <c r="CY161" s="278"/>
      <c r="CZ161" s="278"/>
      <c r="DA161" s="278"/>
      <c r="DB161" s="278"/>
      <c r="DC161" s="278"/>
      <c r="DD161" s="278"/>
      <c r="DE161" s="278"/>
      <c r="DF161" s="278"/>
      <c r="DG161" s="278"/>
      <c r="DH161" s="278"/>
      <c r="DI161" s="278"/>
      <c r="DJ161" s="278"/>
      <c r="DK161" s="278"/>
      <c r="DL161" s="278"/>
    </row>
    <row r="162" spans="1:116" ht="15.75" customHeight="1" x14ac:dyDescent="0.25">
      <c r="A162" s="466"/>
      <c r="B162" s="466"/>
      <c r="C162" s="467"/>
      <c r="D162" s="279"/>
      <c r="E162" s="280"/>
      <c r="F162" s="280"/>
      <c r="G162" s="279"/>
      <c r="H162" s="409"/>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c r="AL162" s="282"/>
      <c r="AM162" s="282"/>
      <c r="AN162" s="282"/>
      <c r="AO162" s="282"/>
      <c r="AP162" s="282"/>
      <c r="AQ162" s="282"/>
      <c r="AR162" s="282"/>
      <c r="AS162" s="282"/>
      <c r="AT162" s="282"/>
      <c r="AU162" s="282"/>
      <c r="AV162" s="282"/>
      <c r="AW162" s="282"/>
      <c r="AX162" s="282"/>
      <c r="AY162" s="282"/>
      <c r="AZ162" s="282"/>
      <c r="BA162" s="282"/>
      <c r="BB162" s="282"/>
      <c r="BC162" s="282"/>
      <c r="BD162" s="282"/>
      <c r="BE162" s="282"/>
      <c r="BF162" s="282"/>
      <c r="BG162" s="282"/>
      <c r="BH162" s="282"/>
      <c r="BI162" s="282"/>
      <c r="BJ162" s="278"/>
      <c r="BK162" s="278"/>
      <c r="BL162" s="278"/>
      <c r="BM162" s="278"/>
      <c r="BN162" s="278"/>
      <c r="BO162" s="278"/>
      <c r="BP162" s="278"/>
      <c r="BQ162" s="278"/>
      <c r="BR162" s="278"/>
      <c r="BS162" s="278"/>
      <c r="BT162" s="278"/>
      <c r="BU162" s="278"/>
      <c r="BV162" s="278"/>
      <c r="BW162" s="278"/>
      <c r="BX162" s="278"/>
      <c r="BY162" s="278"/>
      <c r="BZ162" s="278"/>
      <c r="CA162" s="278"/>
      <c r="CB162" s="278"/>
      <c r="CC162" s="278"/>
      <c r="CD162" s="278"/>
      <c r="CE162" s="278"/>
      <c r="CF162" s="278"/>
      <c r="CG162" s="278"/>
      <c r="CH162" s="278"/>
      <c r="CI162" s="278"/>
      <c r="CJ162" s="278"/>
      <c r="CK162" s="278"/>
      <c r="CL162" s="278"/>
      <c r="CM162" s="278"/>
      <c r="CN162" s="278"/>
      <c r="CO162" s="278"/>
      <c r="CP162" s="278"/>
      <c r="CQ162" s="278"/>
      <c r="CR162" s="278"/>
      <c r="CS162" s="278"/>
      <c r="CT162" s="278"/>
      <c r="CU162" s="278"/>
      <c r="CV162" s="278"/>
      <c r="CW162" s="278"/>
      <c r="CX162" s="278"/>
      <c r="CY162" s="278"/>
      <c r="CZ162" s="278"/>
      <c r="DA162" s="278"/>
      <c r="DB162" s="278"/>
      <c r="DC162" s="278"/>
      <c r="DD162" s="278"/>
      <c r="DE162" s="278"/>
      <c r="DF162" s="278"/>
      <c r="DG162" s="278"/>
      <c r="DH162" s="278"/>
      <c r="DI162" s="278"/>
      <c r="DJ162" s="278"/>
      <c r="DK162" s="278"/>
      <c r="DL162" s="278"/>
    </row>
    <row r="163" spans="1:116" ht="15.75" customHeight="1" x14ac:dyDescent="0.25">
      <c r="A163" s="466"/>
      <c r="B163" s="466"/>
      <c r="C163" s="467"/>
      <c r="D163" s="279"/>
      <c r="E163" s="280"/>
      <c r="F163" s="280"/>
      <c r="G163" s="279"/>
      <c r="H163" s="409"/>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282"/>
      <c r="AE163" s="282"/>
      <c r="AF163" s="282"/>
      <c r="AG163" s="282"/>
      <c r="AH163" s="282"/>
      <c r="AI163" s="282"/>
      <c r="AJ163" s="282"/>
      <c r="AK163" s="282"/>
      <c r="AL163" s="282"/>
      <c r="AM163" s="282"/>
      <c r="AN163" s="282"/>
      <c r="AO163" s="282"/>
      <c r="AP163" s="282"/>
      <c r="AQ163" s="282"/>
      <c r="AR163" s="282"/>
      <c r="AS163" s="282"/>
      <c r="AT163" s="282"/>
      <c r="AU163" s="282"/>
      <c r="AV163" s="282"/>
      <c r="AW163" s="282"/>
      <c r="AX163" s="282"/>
      <c r="AY163" s="282"/>
      <c r="AZ163" s="282"/>
      <c r="BA163" s="282"/>
      <c r="BB163" s="282"/>
      <c r="BC163" s="282"/>
      <c r="BD163" s="282"/>
      <c r="BE163" s="282"/>
      <c r="BF163" s="282"/>
      <c r="BG163" s="282"/>
      <c r="BH163" s="282"/>
      <c r="BI163" s="282"/>
      <c r="BJ163" s="278"/>
      <c r="BK163" s="278"/>
      <c r="BL163" s="278"/>
      <c r="BM163" s="278"/>
      <c r="BN163" s="278"/>
      <c r="BO163" s="278"/>
      <c r="BP163" s="278"/>
      <c r="BQ163" s="278"/>
      <c r="BR163" s="278"/>
      <c r="BS163" s="278"/>
      <c r="BT163" s="278"/>
      <c r="BU163" s="278"/>
      <c r="BV163" s="278"/>
      <c r="BW163" s="278"/>
      <c r="BX163" s="278"/>
      <c r="BY163" s="278"/>
      <c r="BZ163" s="278"/>
      <c r="CA163" s="278"/>
      <c r="CB163" s="278"/>
      <c r="CC163" s="278"/>
      <c r="CD163" s="278"/>
      <c r="CE163" s="278"/>
      <c r="CF163" s="278"/>
      <c r="CG163" s="278"/>
      <c r="CH163" s="278"/>
      <c r="CI163" s="278"/>
      <c r="CJ163" s="278"/>
      <c r="CK163" s="278"/>
      <c r="CL163" s="278"/>
      <c r="CM163" s="278"/>
      <c r="CN163" s="278"/>
      <c r="CO163" s="278"/>
      <c r="CP163" s="278"/>
      <c r="CQ163" s="278"/>
      <c r="CR163" s="278"/>
      <c r="CS163" s="278"/>
      <c r="CT163" s="278"/>
      <c r="CU163" s="278"/>
      <c r="CV163" s="278"/>
      <c r="CW163" s="278"/>
      <c r="CX163" s="278"/>
      <c r="CY163" s="278"/>
      <c r="CZ163" s="278"/>
      <c r="DA163" s="278"/>
      <c r="DB163" s="278"/>
      <c r="DC163" s="278"/>
      <c r="DD163" s="278"/>
      <c r="DE163" s="278"/>
      <c r="DF163" s="278"/>
      <c r="DG163" s="278"/>
      <c r="DH163" s="278"/>
      <c r="DI163" s="278"/>
      <c r="DJ163" s="278"/>
      <c r="DK163" s="278"/>
      <c r="DL163" s="278"/>
    </row>
    <row r="164" spans="1:116" ht="15.75" customHeight="1" x14ac:dyDescent="0.25">
      <c r="A164" s="466"/>
      <c r="B164" s="466"/>
      <c r="C164" s="467"/>
      <c r="D164" s="279"/>
      <c r="E164" s="280"/>
      <c r="F164" s="280"/>
      <c r="G164" s="279"/>
      <c r="H164" s="409"/>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282"/>
      <c r="AE164" s="282"/>
      <c r="AF164" s="282"/>
      <c r="AG164" s="282"/>
      <c r="AH164" s="282"/>
      <c r="AI164" s="282"/>
      <c r="AJ164" s="282"/>
      <c r="AK164" s="282"/>
      <c r="AL164" s="282"/>
      <c r="AM164" s="282"/>
      <c r="AN164" s="282"/>
      <c r="AO164" s="282"/>
      <c r="AP164" s="282"/>
      <c r="AQ164" s="282"/>
      <c r="AR164" s="282"/>
      <c r="AS164" s="282"/>
      <c r="AT164" s="282"/>
      <c r="AU164" s="282"/>
      <c r="AV164" s="282"/>
      <c r="AW164" s="282"/>
      <c r="AX164" s="282"/>
      <c r="AY164" s="282"/>
      <c r="AZ164" s="282"/>
      <c r="BA164" s="282"/>
      <c r="BB164" s="282"/>
      <c r="BC164" s="282"/>
      <c r="BD164" s="282"/>
      <c r="BE164" s="282"/>
      <c r="BF164" s="282"/>
      <c r="BG164" s="282"/>
      <c r="BH164" s="282"/>
      <c r="BI164" s="282"/>
      <c r="BJ164" s="278"/>
      <c r="BK164" s="278"/>
      <c r="BL164" s="278"/>
      <c r="BM164" s="278"/>
      <c r="BN164" s="278"/>
      <c r="BO164" s="278"/>
      <c r="BP164" s="278"/>
      <c r="BQ164" s="278"/>
      <c r="BR164" s="278"/>
      <c r="BS164" s="278"/>
      <c r="BT164" s="278"/>
      <c r="BU164" s="278"/>
      <c r="BV164" s="278"/>
      <c r="BW164" s="278"/>
      <c r="BX164" s="278"/>
      <c r="BY164" s="278"/>
      <c r="BZ164" s="278"/>
      <c r="CA164" s="278"/>
      <c r="CB164" s="278"/>
      <c r="CC164" s="278"/>
      <c r="CD164" s="278"/>
      <c r="CE164" s="278"/>
      <c r="CF164" s="278"/>
      <c r="CG164" s="278"/>
      <c r="CH164" s="278"/>
      <c r="CI164" s="278"/>
      <c r="CJ164" s="278"/>
      <c r="CK164" s="278"/>
      <c r="CL164" s="278"/>
      <c r="CM164" s="278"/>
      <c r="CN164" s="278"/>
      <c r="CO164" s="278"/>
      <c r="CP164" s="278"/>
      <c r="CQ164" s="278"/>
      <c r="CR164" s="278"/>
      <c r="CS164" s="278"/>
      <c r="CT164" s="278"/>
      <c r="CU164" s="278"/>
      <c r="CV164" s="278"/>
      <c r="CW164" s="278"/>
      <c r="CX164" s="278"/>
      <c r="CY164" s="278"/>
      <c r="CZ164" s="278"/>
      <c r="DA164" s="278"/>
      <c r="DB164" s="278"/>
      <c r="DC164" s="278"/>
      <c r="DD164" s="278"/>
      <c r="DE164" s="278"/>
      <c r="DF164" s="278"/>
      <c r="DG164" s="278"/>
      <c r="DH164" s="278"/>
      <c r="DI164" s="278"/>
      <c r="DJ164" s="278"/>
      <c r="DK164" s="278"/>
      <c r="DL164" s="278"/>
    </row>
    <row r="165" spans="1:116" ht="15.75" customHeight="1" x14ac:dyDescent="0.25">
      <c r="A165" s="466"/>
      <c r="B165" s="466"/>
      <c r="C165" s="467"/>
      <c r="D165" s="279"/>
      <c r="E165" s="280"/>
      <c r="F165" s="280"/>
      <c r="G165" s="279"/>
      <c r="H165" s="409"/>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282"/>
      <c r="AF165" s="282"/>
      <c r="AG165" s="282"/>
      <c r="AH165" s="282"/>
      <c r="AI165" s="282"/>
      <c r="AJ165" s="282"/>
      <c r="AK165" s="282"/>
      <c r="AL165" s="282"/>
      <c r="AM165" s="282"/>
      <c r="AN165" s="282"/>
      <c r="AO165" s="282"/>
      <c r="AP165" s="282"/>
      <c r="AQ165" s="282"/>
      <c r="AR165" s="282"/>
      <c r="AS165" s="282"/>
      <c r="AT165" s="282"/>
      <c r="AU165" s="282"/>
      <c r="AV165" s="282"/>
      <c r="AW165" s="282"/>
      <c r="AX165" s="282"/>
      <c r="AY165" s="282"/>
      <c r="AZ165" s="282"/>
      <c r="BA165" s="282"/>
      <c r="BB165" s="282"/>
      <c r="BC165" s="282"/>
      <c r="BD165" s="282"/>
      <c r="BE165" s="282"/>
      <c r="BF165" s="282"/>
      <c r="BG165" s="282"/>
      <c r="BH165" s="282"/>
      <c r="BI165" s="282"/>
      <c r="BJ165" s="278"/>
      <c r="BK165" s="278"/>
      <c r="BL165" s="278"/>
      <c r="BM165" s="278"/>
      <c r="BN165" s="278"/>
      <c r="BO165" s="278"/>
      <c r="BP165" s="278"/>
      <c r="BQ165" s="278"/>
      <c r="BR165" s="278"/>
      <c r="BS165" s="278"/>
      <c r="BT165" s="278"/>
      <c r="BU165" s="278"/>
      <c r="BV165" s="278"/>
      <c r="BW165" s="278"/>
      <c r="BX165" s="278"/>
      <c r="BY165" s="278"/>
      <c r="BZ165" s="278"/>
      <c r="CA165" s="278"/>
      <c r="CB165" s="278"/>
      <c r="CC165" s="278"/>
      <c r="CD165" s="278"/>
      <c r="CE165" s="278"/>
      <c r="CF165" s="278"/>
      <c r="CG165" s="278"/>
      <c r="CH165" s="278"/>
      <c r="CI165" s="278"/>
      <c r="CJ165" s="278"/>
      <c r="CK165" s="278"/>
      <c r="CL165" s="278"/>
      <c r="CM165" s="278"/>
      <c r="CN165" s="278"/>
      <c r="CO165" s="278"/>
      <c r="CP165" s="278"/>
      <c r="CQ165" s="278"/>
      <c r="CR165" s="278"/>
      <c r="CS165" s="278"/>
      <c r="CT165" s="278"/>
      <c r="CU165" s="278"/>
      <c r="CV165" s="278"/>
      <c r="CW165" s="278"/>
      <c r="CX165" s="278"/>
      <c r="CY165" s="278"/>
      <c r="CZ165" s="278"/>
      <c r="DA165" s="278"/>
      <c r="DB165" s="278"/>
      <c r="DC165" s="278"/>
      <c r="DD165" s="278"/>
      <c r="DE165" s="278"/>
      <c r="DF165" s="278"/>
      <c r="DG165" s="278"/>
      <c r="DH165" s="278"/>
      <c r="DI165" s="278"/>
      <c r="DJ165" s="278"/>
      <c r="DK165" s="278"/>
      <c r="DL165" s="278"/>
    </row>
    <row r="166" spans="1:116" ht="15.75" customHeight="1" x14ac:dyDescent="0.25">
      <c r="A166" s="466"/>
      <c r="B166" s="466"/>
      <c r="C166" s="467"/>
      <c r="D166" s="279"/>
      <c r="E166" s="280"/>
      <c r="F166" s="280"/>
      <c r="G166" s="279"/>
      <c r="H166" s="409"/>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282"/>
      <c r="AE166" s="282"/>
      <c r="AF166" s="282"/>
      <c r="AG166" s="282"/>
      <c r="AH166" s="282"/>
      <c r="AI166" s="282"/>
      <c r="AJ166" s="282"/>
      <c r="AK166" s="282"/>
      <c r="AL166" s="282"/>
      <c r="AM166" s="282"/>
      <c r="AN166" s="282"/>
      <c r="AO166" s="282"/>
      <c r="AP166" s="282"/>
      <c r="AQ166" s="282"/>
      <c r="AR166" s="282"/>
      <c r="AS166" s="282"/>
      <c r="AT166" s="282"/>
      <c r="AU166" s="282"/>
      <c r="AV166" s="282"/>
      <c r="AW166" s="282"/>
      <c r="AX166" s="282"/>
      <c r="AY166" s="282"/>
      <c r="AZ166" s="282"/>
      <c r="BA166" s="282"/>
      <c r="BB166" s="282"/>
      <c r="BC166" s="282"/>
      <c r="BD166" s="282"/>
      <c r="BE166" s="282"/>
      <c r="BF166" s="282"/>
      <c r="BG166" s="282"/>
      <c r="BH166" s="282"/>
      <c r="BI166" s="282"/>
      <c r="BJ166" s="278"/>
      <c r="BK166" s="278"/>
      <c r="BL166" s="278"/>
      <c r="BM166" s="278"/>
      <c r="BN166" s="278"/>
      <c r="BO166" s="278"/>
      <c r="BP166" s="278"/>
      <c r="BQ166" s="278"/>
      <c r="BR166" s="278"/>
      <c r="BS166" s="278"/>
      <c r="BT166" s="278"/>
      <c r="BU166" s="278"/>
      <c r="BV166" s="278"/>
      <c r="BW166" s="278"/>
      <c r="BX166" s="278"/>
      <c r="BY166" s="278"/>
      <c r="BZ166" s="278"/>
      <c r="CA166" s="278"/>
      <c r="CB166" s="278"/>
      <c r="CC166" s="278"/>
      <c r="CD166" s="278"/>
      <c r="CE166" s="278"/>
      <c r="CF166" s="278"/>
      <c r="CG166" s="278"/>
      <c r="CH166" s="278"/>
      <c r="CI166" s="278"/>
      <c r="CJ166" s="278"/>
      <c r="CK166" s="278"/>
      <c r="CL166" s="278"/>
      <c r="CM166" s="278"/>
      <c r="CN166" s="278"/>
      <c r="CO166" s="278"/>
      <c r="CP166" s="278"/>
      <c r="CQ166" s="278"/>
      <c r="CR166" s="278"/>
      <c r="CS166" s="278"/>
      <c r="CT166" s="278"/>
      <c r="CU166" s="278"/>
      <c r="CV166" s="278"/>
      <c r="CW166" s="278"/>
      <c r="CX166" s="278"/>
      <c r="CY166" s="278"/>
      <c r="CZ166" s="278"/>
      <c r="DA166" s="278"/>
      <c r="DB166" s="278"/>
      <c r="DC166" s="278"/>
      <c r="DD166" s="278"/>
      <c r="DE166" s="278"/>
      <c r="DF166" s="278"/>
      <c r="DG166" s="278"/>
      <c r="DH166" s="278"/>
      <c r="DI166" s="278"/>
      <c r="DJ166" s="278"/>
      <c r="DK166" s="278"/>
      <c r="DL166" s="278"/>
    </row>
    <row r="167" spans="1:116" ht="15.75" customHeight="1" x14ac:dyDescent="0.25">
      <c r="A167" s="466"/>
      <c r="B167" s="466"/>
      <c r="C167" s="467"/>
      <c r="D167" s="279"/>
      <c r="E167" s="280"/>
      <c r="F167" s="280"/>
      <c r="G167" s="279"/>
      <c r="H167" s="409"/>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282"/>
      <c r="AE167" s="282"/>
      <c r="AF167" s="282"/>
      <c r="AG167" s="282"/>
      <c r="AH167" s="282"/>
      <c r="AI167" s="282"/>
      <c r="AJ167" s="282"/>
      <c r="AK167" s="282"/>
      <c r="AL167" s="282"/>
      <c r="AM167" s="282"/>
      <c r="AN167" s="282"/>
      <c r="AO167" s="282"/>
      <c r="AP167" s="282"/>
      <c r="AQ167" s="282"/>
      <c r="AR167" s="282"/>
      <c r="AS167" s="282"/>
      <c r="AT167" s="282"/>
      <c r="AU167" s="282"/>
      <c r="AV167" s="282"/>
      <c r="AW167" s="282"/>
      <c r="AX167" s="282"/>
      <c r="AY167" s="282"/>
      <c r="AZ167" s="282"/>
      <c r="BA167" s="282"/>
      <c r="BB167" s="282"/>
      <c r="BC167" s="282"/>
      <c r="BD167" s="282"/>
      <c r="BE167" s="282"/>
      <c r="BF167" s="282"/>
      <c r="BG167" s="282"/>
      <c r="BH167" s="282"/>
      <c r="BI167" s="282"/>
      <c r="BJ167" s="278"/>
      <c r="BK167" s="278"/>
      <c r="BL167" s="278"/>
      <c r="BM167" s="278"/>
      <c r="BN167" s="278"/>
      <c r="BO167" s="278"/>
      <c r="BP167" s="278"/>
      <c r="BQ167" s="278"/>
      <c r="BR167" s="278"/>
      <c r="BS167" s="278"/>
      <c r="BT167" s="278"/>
      <c r="BU167" s="278"/>
      <c r="BV167" s="278"/>
      <c r="BW167" s="278"/>
      <c r="BX167" s="278"/>
      <c r="BY167" s="278"/>
      <c r="BZ167" s="278"/>
      <c r="CA167" s="278"/>
      <c r="CB167" s="278"/>
      <c r="CC167" s="278"/>
      <c r="CD167" s="278"/>
      <c r="CE167" s="278"/>
      <c r="CF167" s="278"/>
      <c r="CG167" s="278"/>
      <c r="CH167" s="278"/>
      <c r="CI167" s="278"/>
      <c r="CJ167" s="278"/>
      <c r="CK167" s="278"/>
      <c r="CL167" s="278"/>
      <c r="CM167" s="278"/>
      <c r="CN167" s="278"/>
      <c r="CO167" s="278"/>
      <c r="CP167" s="278"/>
      <c r="CQ167" s="278"/>
      <c r="CR167" s="278"/>
      <c r="CS167" s="278"/>
      <c r="CT167" s="278"/>
      <c r="CU167" s="278"/>
      <c r="CV167" s="278"/>
      <c r="CW167" s="278"/>
      <c r="CX167" s="278"/>
      <c r="CY167" s="278"/>
      <c r="CZ167" s="278"/>
      <c r="DA167" s="278"/>
      <c r="DB167" s="278"/>
      <c r="DC167" s="278"/>
      <c r="DD167" s="278"/>
      <c r="DE167" s="278"/>
      <c r="DF167" s="278"/>
      <c r="DG167" s="278"/>
      <c r="DH167" s="278"/>
      <c r="DI167" s="278"/>
      <c r="DJ167" s="278"/>
      <c r="DK167" s="278"/>
      <c r="DL167" s="278"/>
    </row>
    <row r="168" spans="1:116" ht="15.75" customHeight="1" x14ac:dyDescent="0.25">
      <c r="A168" s="466"/>
      <c r="B168" s="466"/>
      <c r="C168" s="467"/>
      <c r="D168" s="279"/>
      <c r="E168" s="280"/>
      <c r="F168" s="280"/>
      <c r="G168" s="279"/>
      <c r="H168" s="409"/>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282"/>
      <c r="AE168" s="282"/>
      <c r="AF168" s="282"/>
      <c r="AG168" s="282"/>
      <c r="AH168" s="282"/>
      <c r="AI168" s="282"/>
      <c r="AJ168" s="282"/>
      <c r="AK168" s="282"/>
      <c r="AL168" s="282"/>
      <c r="AM168" s="282"/>
      <c r="AN168" s="282"/>
      <c r="AO168" s="282"/>
      <c r="AP168" s="282"/>
      <c r="AQ168" s="282"/>
      <c r="AR168" s="282"/>
      <c r="AS168" s="282"/>
      <c r="AT168" s="282"/>
      <c r="AU168" s="282"/>
      <c r="AV168" s="282"/>
      <c r="AW168" s="282"/>
      <c r="AX168" s="282"/>
      <c r="AY168" s="282"/>
      <c r="AZ168" s="282"/>
      <c r="BA168" s="282"/>
      <c r="BB168" s="282"/>
      <c r="BC168" s="282"/>
      <c r="BD168" s="282"/>
      <c r="BE168" s="282"/>
      <c r="BF168" s="282"/>
      <c r="BG168" s="282"/>
      <c r="BH168" s="282"/>
      <c r="BI168" s="282"/>
      <c r="BJ168" s="278"/>
      <c r="BK168" s="278"/>
      <c r="BL168" s="278"/>
      <c r="BM168" s="278"/>
      <c r="BN168" s="278"/>
      <c r="BO168" s="278"/>
      <c r="BP168" s="278"/>
      <c r="BQ168" s="278"/>
      <c r="BR168" s="278"/>
      <c r="BS168" s="278"/>
      <c r="BT168" s="278"/>
      <c r="BU168" s="278"/>
      <c r="BV168" s="278"/>
      <c r="BW168" s="278"/>
      <c r="BX168" s="278"/>
      <c r="BY168" s="278"/>
      <c r="BZ168" s="278"/>
      <c r="CA168" s="278"/>
      <c r="CB168" s="278"/>
      <c r="CC168" s="278"/>
      <c r="CD168" s="278"/>
      <c r="CE168" s="278"/>
      <c r="CF168" s="278"/>
      <c r="CG168" s="278"/>
      <c r="CH168" s="278"/>
      <c r="CI168" s="278"/>
      <c r="CJ168" s="278"/>
      <c r="CK168" s="278"/>
      <c r="CL168" s="278"/>
      <c r="CM168" s="278"/>
      <c r="CN168" s="278"/>
      <c r="CO168" s="278"/>
      <c r="CP168" s="278"/>
      <c r="CQ168" s="278"/>
      <c r="CR168" s="278"/>
      <c r="CS168" s="278"/>
      <c r="CT168" s="278"/>
      <c r="CU168" s="278"/>
      <c r="CV168" s="278"/>
      <c r="CW168" s="278"/>
      <c r="CX168" s="278"/>
      <c r="CY168" s="278"/>
      <c r="CZ168" s="278"/>
      <c r="DA168" s="278"/>
      <c r="DB168" s="278"/>
      <c r="DC168" s="278"/>
      <c r="DD168" s="278"/>
      <c r="DE168" s="278"/>
      <c r="DF168" s="278"/>
      <c r="DG168" s="278"/>
      <c r="DH168" s="278"/>
      <c r="DI168" s="278"/>
      <c r="DJ168" s="278"/>
      <c r="DK168" s="278"/>
      <c r="DL168" s="278"/>
    </row>
    <row r="169" spans="1:116" ht="15.75" customHeight="1" x14ac:dyDescent="0.25">
      <c r="A169" s="466"/>
      <c r="B169" s="466"/>
      <c r="C169" s="467"/>
      <c r="D169" s="279"/>
      <c r="E169" s="280"/>
      <c r="F169" s="280"/>
      <c r="G169" s="279"/>
      <c r="H169" s="409"/>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282"/>
      <c r="AE169" s="282"/>
      <c r="AF169" s="282"/>
      <c r="AG169" s="282"/>
      <c r="AH169" s="282"/>
      <c r="AI169" s="282"/>
      <c r="AJ169" s="282"/>
      <c r="AK169" s="282"/>
      <c r="AL169" s="282"/>
      <c r="AM169" s="282"/>
      <c r="AN169" s="282"/>
      <c r="AO169" s="282"/>
      <c r="AP169" s="282"/>
      <c r="AQ169" s="282"/>
      <c r="AR169" s="282"/>
      <c r="AS169" s="282"/>
      <c r="AT169" s="282"/>
      <c r="AU169" s="282"/>
      <c r="AV169" s="282"/>
      <c r="AW169" s="282"/>
      <c r="AX169" s="282"/>
      <c r="AY169" s="282"/>
      <c r="AZ169" s="282"/>
      <c r="BA169" s="282"/>
      <c r="BB169" s="282"/>
      <c r="BC169" s="282"/>
      <c r="BD169" s="282"/>
      <c r="BE169" s="282"/>
      <c r="BF169" s="282"/>
      <c r="BG169" s="282"/>
      <c r="BH169" s="282"/>
      <c r="BI169" s="282"/>
      <c r="BJ169" s="278"/>
      <c r="BK169" s="278"/>
      <c r="BL169" s="278"/>
      <c r="BM169" s="278"/>
      <c r="BN169" s="278"/>
      <c r="BO169" s="278"/>
      <c r="BP169" s="278"/>
      <c r="BQ169" s="278"/>
      <c r="BR169" s="278"/>
      <c r="BS169" s="278"/>
      <c r="BT169" s="278"/>
      <c r="BU169" s="278"/>
      <c r="BV169" s="278"/>
      <c r="BW169" s="278"/>
      <c r="BX169" s="278"/>
      <c r="BY169" s="278"/>
      <c r="BZ169" s="278"/>
      <c r="CA169" s="278"/>
      <c r="CB169" s="278"/>
      <c r="CC169" s="278"/>
      <c r="CD169" s="278"/>
      <c r="CE169" s="278"/>
      <c r="CF169" s="278"/>
      <c r="CG169" s="278"/>
      <c r="CH169" s="278"/>
      <c r="CI169" s="278"/>
      <c r="CJ169" s="278"/>
      <c r="CK169" s="278"/>
      <c r="CL169" s="278"/>
      <c r="CM169" s="278"/>
      <c r="CN169" s="278"/>
      <c r="CO169" s="278"/>
      <c r="CP169" s="278"/>
      <c r="CQ169" s="278"/>
      <c r="CR169" s="278"/>
      <c r="CS169" s="278"/>
      <c r="CT169" s="278"/>
      <c r="CU169" s="278"/>
      <c r="CV169" s="278"/>
      <c r="CW169" s="278"/>
      <c r="CX169" s="278"/>
      <c r="CY169" s="278"/>
      <c r="CZ169" s="278"/>
      <c r="DA169" s="278"/>
      <c r="DB169" s="278"/>
      <c r="DC169" s="278"/>
      <c r="DD169" s="278"/>
      <c r="DE169" s="278"/>
      <c r="DF169" s="278"/>
      <c r="DG169" s="278"/>
      <c r="DH169" s="278"/>
      <c r="DI169" s="278"/>
      <c r="DJ169" s="278"/>
      <c r="DK169" s="278"/>
      <c r="DL169" s="278"/>
    </row>
    <row r="170" spans="1:116" ht="15.75" customHeight="1" x14ac:dyDescent="0.25">
      <c r="A170" s="466"/>
      <c r="B170" s="466"/>
      <c r="C170" s="467"/>
      <c r="D170" s="279"/>
      <c r="E170" s="280"/>
      <c r="F170" s="280"/>
      <c r="G170" s="279"/>
      <c r="H170" s="409"/>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282"/>
      <c r="AE170" s="282"/>
      <c r="AF170" s="282"/>
      <c r="AG170" s="282"/>
      <c r="AH170" s="282"/>
      <c r="AI170" s="282"/>
      <c r="AJ170" s="282"/>
      <c r="AK170" s="282"/>
      <c r="AL170" s="282"/>
      <c r="AM170" s="282"/>
      <c r="AN170" s="282"/>
      <c r="AO170" s="282"/>
      <c r="AP170" s="282"/>
      <c r="AQ170" s="282"/>
      <c r="AR170" s="282"/>
      <c r="AS170" s="282"/>
      <c r="AT170" s="282"/>
      <c r="AU170" s="282"/>
      <c r="AV170" s="282"/>
      <c r="AW170" s="282"/>
      <c r="AX170" s="282"/>
      <c r="AY170" s="282"/>
      <c r="AZ170" s="282"/>
      <c r="BA170" s="282"/>
      <c r="BB170" s="282"/>
      <c r="BC170" s="282"/>
      <c r="BD170" s="282"/>
      <c r="BE170" s="282"/>
      <c r="BF170" s="282"/>
      <c r="BG170" s="282"/>
      <c r="BH170" s="282"/>
      <c r="BI170" s="282"/>
      <c r="BJ170" s="278"/>
      <c r="BK170" s="278"/>
      <c r="BL170" s="278"/>
      <c r="BM170" s="278"/>
      <c r="BN170" s="278"/>
      <c r="BO170" s="278"/>
      <c r="BP170" s="278"/>
      <c r="BQ170" s="278"/>
      <c r="BR170" s="278"/>
      <c r="BS170" s="278"/>
      <c r="BT170" s="278"/>
      <c r="BU170" s="278"/>
      <c r="BV170" s="278"/>
      <c r="BW170" s="278"/>
      <c r="BX170" s="278"/>
      <c r="BY170" s="278"/>
      <c r="BZ170" s="278"/>
      <c r="CA170" s="278"/>
      <c r="CB170" s="278"/>
      <c r="CC170" s="278"/>
      <c r="CD170" s="278"/>
      <c r="CE170" s="278"/>
      <c r="CF170" s="278"/>
      <c r="CG170" s="278"/>
      <c r="CH170" s="278"/>
      <c r="CI170" s="278"/>
      <c r="CJ170" s="278"/>
      <c r="CK170" s="278"/>
      <c r="CL170" s="278"/>
      <c r="CM170" s="278"/>
      <c r="CN170" s="278"/>
      <c r="CO170" s="278"/>
      <c r="CP170" s="278"/>
      <c r="CQ170" s="278"/>
      <c r="CR170" s="278"/>
      <c r="CS170" s="278"/>
      <c r="CT170" s="278"/>
      <c r="CU170" s="278"/>
      <c r="CV170" s="278"/>
      <c r="CW170" s="278"/>
      <c r="CX170" s="278"/>
      <c r="CY170" s="278"/>
      <c r="CZ170" s="278"/>
      <c r="DA170" s="278"/>
      <c r="DB170" s="278"/>
      <c r="DC170" s="278"/>
      <c r="DD170" s="278"/>
      <c r="DE170" s="278"/>
      <c r="DF170" s="278"/>
      <c r="DG170" s="278"/>
      <c r="DH170" s="278"/>
      <c r="DI170" s="278"/>
      <c r="DJ170" s="278"/>
      <c r="DK170" s="278"/>
      <c r="DL170" s="278"/>
    </row>
    <row r="171" spans="1:116" ht="15.75" customHeight="1" x14ac:dyDescent="0.25">
      <c r="A171" s="466"/>
      <c r="B171" s="466"/>
      <c r="C171" s="467"/>
      <c r="D171" s="279"/>
      <c r="E171" s="280"/>
      <c r="F171" s="280"/>
      <c r="G171" s="279"/>
      <c r="H171" s="409"/>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282"/>
      <c r="AE171" s="282"/>
      <c r="AF171" s="282"/>
      <c r="AG171" s="282"/>
      <c r="AH171" s="282"/>
      <c r="AI171" s="282"/>
      <c r="AJ171" s="282"/>
      <c r="AK171" s="282"/>
      <c r="AL171" s="282"/>
      <c r="AM171" s="282"/>
      <c r="AN171" s="282"/>
      <c r="AO171" s="282"/>
      <c r="AP171" s="282"/>
      <c r="AQ171" s="282"/>
      <c r="AR171" s="282"/>
      <c r="AS171" s="282"/>
      <c r="AT171" s="282"/>
      <c r="AU171" s="282"/>
      <c r="AV171" s="282"/>
      <c r="AW171" s="282"/>
      <c r="AX171" s="282"/>
      <c r="AY171" s="282"/>
      <c r="AZ171" s="282"/>
      <c r="BA171" s="282"/>
      <c r="BB171" s="282"/>
      <c r="BC171" s="282"/>
      <c r="BD171" s="282"/>
      <c r="BE171" s="282"/>
      <c r="BF171" s="282"/>
      <c r="BG171" s="282"/>
      <c r="BH171" s="282"/>
      <c r="BI171" s="282"/>
      <c r="BJ171" s="278"/>
      <c r="BK171" s="278"/>
      <c r="BL171" s="278"/>
      <c r="BM171" s="278"/>
      <c r="BN171" s="278"/>
      <c r="BO171" s="278"/>
      <c r="BP171" s="278"/>
      <c r="BQ171" s="278"/>
      <c r="BR171" s="278"/>
      <c r="BS171" s="278"/>
      <c r="BT171" s="278"/>
      <c r="BU171" s="278"/>
      <c r="BV171" s="278"/>
      <c r="BW171" s="278"/>
      <c r="BX171" s="278"/>
      <c r="BY171" s="278"/>
      <c r="BZ171" s="278"/>
      <c r="CA171" s="278"/>
      <c r="CB171" s="278"/>
      <c r="CC171" s="278"/>
      <c r="CD171" s="278"/>
      <c r="CE171" s="278"/>
      <c r="CF171" s="278"/>
      <c r="CG171" s="278"/>
      <c r="CH171" s="278"/>
      <c r="CI171" s="278"/>
      <c r="CJ171" s="278"/>
      <c r="CK171" s="278"/>
      <c r="CL171" s="278"/>
      <c r="CM171" s="278"/>
      <c r="CN171" s="278"/>
      <c r="CO171" s="278"/>
      <c r="CP171" s="278"/>
      <c r="CQ171" s="278"/>
      <c r="CR171" s="278"/>
      <c r="CS171" s="278"/>
      <c r="CT171" s="278"/>
      <c r="CU171" s="278"/>
      <c r="CV171" s="278"/>
      <c r="CW171" s="278"/>
      <c r="CX171" s="278"/>
      <c r="CY171" s="278"/>
      <c r="CZ171" s="278"/>
      <c r="DA171" s="278"/>
      <c r="DB171" s="278"/>
      <c r="DC171" s="278"/>
      <c r="DD171" s="278"/>
      <c r="DE171" s="278"/>
      <c r="DF171" s="278"/>
      <c r="DG171" s="278"/>
      <c r="DH171" s="278"/>
      <c r="DI171" s="278"/>
      <c r="DJ171" s="278"/>
      <c r="DK171" s="278"/>
      <c r="DL171" s="278"/>
    </row>
    <row r="172" spans="1:116" ht="15.75" customHeight="1" x14ac:dyDescent="0.25">
      <c r="A172" s="466"/>
      <c r="B172" s="466"/>
      <c r="C172" s="467"/>
      <c r="D172" s="279"/>
      <c r="E172" s="280"/>
      <c r="F172" s="280"/>
      <c r="G172" s="279"/>
      <c r="H172" s="409"/>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c r="AL172" s="282"/>
      <c r="AM172" s="282"/>
      <c r="AN172" s="282"/>
      <c r="AO172" s="282"/>
      <c r="AP172" s="282"/>
      <c r="AQ172" s="282"/>
      <c r="AR172" s="282"/>
      <c r="AS172" s="282"/>
      <c r="AT172" s="282"/>
      <c r="AU172" s="282"/>
      <c r="AV172" s="282"/>
      <c r="AW172" s="282"/>
      <c r="AX172" s="282"/>
      <c r="AY172" s="282"/>
      <c r="AZ172" s="282"/>
      <c r="BA172" s="282"/>
      <c r="BB172" s="282"/>
      <c r="BC172" s="282"/>
      <c r="BD172" s="282"/>
      <c r="BE172" s="282"/>
      <c r="BF172" s="282"/>
      <c r="BG172" s="282"/>
      <c r="BH172" s="282"/>
      <c r="BI172" s="282"/>
      <c r="BJ172" s="278"/>
      <c r="BK172" s="278"/>
      <c r="BL172" s="278"/>
      <c r="BM172" s="278"/>
      <c r="BN172" s="278"/>
      <c r="BO172" s="278"/>
      <c r="BP172" s="278"/>
      <c r="BQ172" s="278"/>
      <c r="BR172" s="278"/>
      <c r="BS172" s="278"/>
      <c r="BT172" s="278"/>
      <c r="BU172" s="278"/>
      <c r="BV172" s="278"/>
      <c r="BW172" s="278"/>
      <c r="BX172" s="278"/>
      <c r="BY172" s="278"/>
      <c r="BZ172" s="278"/>
      <c r="CA172" s="278"/>
      <c r="CB172" s="278"/>
      <c r="CC172" s="278"/>
      <c r="CD172" s="278"/>
      <c r="CE172" s="278"/>
      <c r="CF172" s="278"/>
      <c r="CG172" s="278"/>
      <c r="CH172" s="278"/>
      <c r="CI172" s="278"/>
      <c r="CJ172" s="278"/>
      <c r="CK172" s="278"/>
      <c r="CL172" s="278"/>
      <c r="CM172" s="278"/>
      <c r="CN172" s="278"/>
      <c r="CO172" s="278"/>
      <c r="CP172" s="278"/>
      <c r="CQ172" s="278"/>
      <c r="CR172" s="278"/>
      <c r="CS172" s="278"/>
      <c r="CT172" s="278"/>
      <c r="CU172" s="278"/>
      <c r="CV172" s="278"/>
      <c r="CW172" s="278"/>
      <c r="CX172" s="278"/>
      <c r="CY172" s="278"/>
      <c r="CZ172" s="278"/>
      <c r="DA172" s="278"/>
      <c r="DB172" s="278"/>
      <c r="DC172" s="278"/>
      <c r="DD172" s="278"/>
      <c r="DE172" s="278"/>
      <c r="DF172" s="278"/>
      <c r="DG172" s="278"/>
      <c r="DH172" s="278"/>
      <c r="DI172" s="278"/>
      <c r="DJ172" s="278"/>
      <c r="DK172" s="278"/>
      <c r="DL172" s="278"/>
    </row>
    <row r="173" spans="1:116" ht="15.75" customHeight="1" x14ac:dyDescent="0.25">
      <c r="A173" s="466"/>
      <c r="B173" s="466"/>
      <c r="C173" s="467"/>
      <c r="D173" s="279"/>
      <c r="E173" s="280"/>
      <c r="F173" s="280"/>
      <c r="G173" s="279"/>
      <c r="H173" s="409"/>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c r="AL173" s="282"/>
      <c r="AM173" s="282"/>
      <c r="AN173" s="282"/>
      <c r="AO173" s="282"/>
      <c r="AP173" s="282"/>
      <c r="AQ173" s="282"/>
      <c r="AR173" s="282"/>
      <c r="AS173" s="282"/>
      <c r="AT173" s="282"/>
      <c r="AU173" s="282"/>
      <c r="AV173" s="282"/>
      <c r="AW173" s="282"/>
      <c r="AX173" s="282"/>
      <c r="AY173" s="282"/>
      <c r="AZ173" s="282"/>
      <c r="BA173" s="282"/>
      <c r="BB173" s="282"/>
      <c r="BC173" s="282"/>
      <c r="BD173" s="282"/>
      <c r="BE173" s="282"/>
      <c r="BF173" s="282"/>
      <c r="BG173" s="282"/>
      <c r="BH173" s="282"/>
      <c r="BI173" s="282"/>
      <c r="BJ173" s="278"/>
      <c r="BK173" s="278"/>
      <c r="BL173" s="278"/>
      <c r="BM173" s="278"/>
      <c r="BN173" s="278"/>
      <c r="BO173" s="278"/>
      <c r="BP173" s="278"/>
      <c r="BQ173" s="278"/>
      <c r="BR173" s="278"/>
      <c r="BS173" s="278"/>
      <c r="BT173" s="278"/>
      <c r="BU173" s="278"/>
      <c r="BV173" s="278"/>
      <c r="BW173" s="278"/>
      <c r="BX173" s="278"/>
      <c r="BY173" s="278"/>
      <c r="BZ173" s="278"/>
      <c r="CA173" s="278"/>
      <c r="CB173" s="278"/>
      <c r="CC173" s="278"/>
      <c r="CD173" s="278"/>
      <c r="CE173" s="278"/>
      <c r="CF173" s="278"/>
      <c r="CG173" s="278"/>
      <c r="CH173" s="278"/>
      <c r="CI173" s="278"/>
      <c r="CJ173" s="278"/>
      <c r="CK173" s="278"/>
      <c r="CL173" s="278"/>
      <c r="CM173" s="278"/>
      <c r="CN173" s="278"/>
      <c r="CO173" s="278"/>
      <c r="CP173" s="278"/>
      <c r="CQ173" s="278"/>
      <c r="CR173" s="278"/>
      <c r="CS173" s="278"/>
      <c r="CT173" s="278"/>
      <c r="CU173" s="278"/>
      <c r="CV173" s="278"/>
      <c r="CW173" s="278"/>
      <c r="CX173" s="278"/>
      <c r="CY173" s="278"/>
      <c r="CZ173" s="278"/>
      <c r="DA173" s="278"/>
      <c r="DB173" s="278"/>
      <c r="DC173" s="278"/>
      <c r="DD173" s="278"/>
      <c r="DE173" s="278"/>
      <c r="DF173" s="278"/>
      <c r="DG173" s="278"/>
      <c r="DH173" s="278"/>
      <c r="DI173" s="278"/>
      <c r="DJ173" s="278"/>
      <c r="DK173" s="278"/>
      <c r="DL173" s="278"/>
    </row>
    <row r="174" spans="1:116" ht="15.75" customHeight="1" x14ac:dyDescent="0.25">
      <c r="A174" s="466"/>
      <c r="B174" s="466"/>
      <c r="C174" s="467"/>
      <c r="D174" s="279"/>
      <c r="E174" s="280"/>
      <c r="F174" s="280"/>
      <c r="G174" s="279"/>
      <c r="H174" s="409"/>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c r="AL174" s="282"/>
      <c r="AM174" s="282"/>
      <c r="AN174" s="282"/>
      <c r="AO174" s="282"/>
      <c r="AP174" s="282"/>
      <c r="AQ174" s="282"/>
      <c r="AR174" s="282"/>
      <c r="AS174" s="282"/>
      <c r="AT174" s="282"/>
      <c r="AU174" s="282"/>
      <c r="AV174" s="282"/>
      <c r="AW174" s="282"/>
      <c r="AX174" s="282"/>
      <c r="AY174" s="282"/>
      <c r="AZ174" s="282"/>
      <c r="BA174" s="282"/>
      <c r="BB174" s="282"/>
      <c r="BC174" s="282"/>
      <c r="BD174" s="282"/>
      <c r="BE174" s="282"/>
      <c r="BF174" s="282"/>
      <c r="BG174" s="282"/>
      <c r="BH174" s="282"/>
      <c r="BI174" s="282"/>
      <c r="BJ174" s="278"/>
      <c r="BK174" s="278"/>
      <c r="BL174" s="278"/>
      <c r="BM174" s="278"/>
      <c r="BN174" s="278"/>
      <c r="BO174" s="278"/>
      <c r="BP174" s="278"/>
      <c r="BQ174" s="278"/>
      <c r="BR174" s="278"/>
      <c r="BS174" s="278"/>
      <c r="BT174" s="278"/>
      <c r="BU174" s="278"/>
      <c r="BV174" s="278"/>
      <c r="BW174" s="278"/>
      <c r="BX174" s="278"/>
      <c r="BY174" s="278"/>
      <c r="BZ174" s="278"/>
      <c r="CA174" s="278"/>
      <c r="CB174" s="278"/>
      <c r="CC174" s="278"/>
      <c r="CD174" s="278"/>
      <c r="CE174" s="278"/>
      <c r="CF174" s="278"/>
      <c r="CG174" s="278"/>
      <c r="CH174" s="278"/>
      <c r="CI174" s="278"/>
      <c r="CJ174" s="278"/>
      <c r="CK174" s="278"/>
      <c r="CL174" s="278"/>
      <c r="CM174" s="278"/>
      <c r="CN174" s="278"/>
      <c r="CO174" s="278"/>
      <c r="CP174" s="278"/>
      <c r="CQ174" s="278"/>
      <c r="CR174" s="278"/>
      <c r="CS174" s="278"/>
      <c r="CT174" s="278"/>
      <c r="CU174" s="278"/>
      <c r="CV174" s="278"/>
      <c r="CW174" s="278"/>
      <c r="CX174" s="278"/>
      <c r="CY174" s="278"/>
      <c r="CZ174" s="278"/>
      <c r="DA174" s="278"/>
      <c r="DB174" s="278"/>
      <c r="DC174" s="278"/>
      <c r="DD174" s="278"/>
      <c r="DE174" s="278"/>
      <c r="DF174" s="278"/>
      <c r="DG174" s="278"/>
      <c r="DH174" s="278"/>
      <c r="DI174" s="278"/>
      <c r="DJ174" s="278"/>
      <c r="DK174" s="278"/>
      <c r="DL174" s="278"/>
    </row>
    <row r="175" spans="1:116" ht="15.75" customHeight="1" x14ac:dyDescent="0.25">
      <c r="A175" s="466"/>
      <c r="B175" s="466"/>
      <c r="C175" s="467"/>
      <c r="D175" s="279"/>
      <c r="E175" s="280"/>
      <c r="F175" s="280"/>
      <c r="G175" s="279"/>
      <c r="H175" s="409"/>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c r="AL175" s="282"/>
      <c r="AM175" s="282"/>
      <c r="AN175" s="282"/>
      <c r="AO175" s="282"/>
      <c r="AP175" s="282"/>
      <c r="AQ175" s="282"/>
      <c r="AR175" s="282"/>
      <c r="AS175" s="282"/>
      <c r="AT175" s="282"/>
      <c r="AU175" s="282"/>
      <c r="AV175" s="282"/>
      <c r="AW175" s="282"/>
      <c r="AX175" s="282"/>
      <c r="AY175" s="282"/>
      <c r="AZ175" s="282"/>
      <c r="BA175" s="282"/>
      <c r="BB175" s="282"/>
      <c r="BC175" s="282"/>
      <c r="BD175" s="282"/>
      <c r="BE175" s="282"/>
      <c r="BF175" s="282"/>
      <c r="BG175" s="282"/>
      <c r="BH175" s="282"/>
      <c r="BI175" s="282"/>
      <c r="BJ175" s="278"/>
      <c r="BK175" s="278"/>
      <c r="BL175" s="278"/>
      <c r="BM175" s="278"/>
      <c r="BN175" s="278"/>
      <c r="BO175" s="278"/>
      <c r="BP175" s="278"/>
      <c r="BQ175" s="278"/>
      <c r="BR175" s="278"/>
      <c r="BS175" s="278"/>
      <c r="BT175" s="278"/>
      <c r="BU175" s="278"/>
      <c r="BV175" s="278"/>
      <c r="BW175" s="278"/>
      <c r="BX175" s="278"/>
      <c r="BY175" s="278"/>
      <c r="BZ175" s="278"/>
      <c r="CA175" s="278"/>
      <c r="CB175" s="278"/>
      <c r="CC175" s="278"/>
      <c r="CD175" s="278"/>
      <c r="CE175" s="278"/>
      <c r="CF175" s="278"/>
      <c r="CG175" s="278"/>
      <c r="CH175" s="278"/>
      <c r="CI175" s="278"/>
      <c r="CJ175" s="278"/>
      <c r="CK175" s="278"/>
      <c r="CL175" s="278"/>
      <c r="CM175" s="278"/>
      <c r="CN175" s="278"/>
      <c r="CO175" s="278"/>
      <c r="CP175" s="278"/>
      <c r="CQ175" s="278"/>
      <c r="CR175" s="278"/>
      <c r="CS175" s="278"/>
      <c r="CT175" s="278"/>
      <c r="CU175" s="278"/>
      <c r="CV175" s="278"/>
      <c r="CW175" s="278"/>
      <c r="CX175" s="278"/>
      <c r="CY175" s="278"/>
      <c r="CZ175" s="278"/>
      <c r="DA175" s="278"/>
      <c r="DB175" s="278"/>
      <c r="DC175" s="278"/>
      <c r="DD175" s="278"/>
      <c r="DE175" s="278"/>
      <c r="DF175" s="278"/>
      <c r="DG175" s="278"/>
      <c r="DH175" s="278"/>
      <c r="DI175" s="278"/>
      <c r="DJ175" s="278"/>
      <c r="DK175" s="278"/>
      <c r="DL175" s="278"/>
    </row>
    <row r="176" spans="1:116" ht="15.75" customHeight="1" x14ac:dyDescent="0.25">
      <c r="A176" s="466"/>
      <c r="B176" s="466"/>
      <c r="C176" s="467"/>
      <c r="D176" s="279"/>
      <c r="E176" s="280"/>
      <c r="F176" s="280"/>
      <c r="G176" s="279"/>
      <c r="H176" s="409"/>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c r="AL176" s="282"/>
      <c r="AM176" s="282"/>
      <c r="AN176" s="282"/>
      <c r="AO176" s="282"/>
      <c r="AP176" s="282"/>
      <c r="AQ176" s="282"/>
      <c r="AR176" s="282"/>
      <c r="AS176" s="282"/>
      <c r="AT176" s="282"/>
      <c r="AU176" s="282"/>
      <c r="AV176" s="282"/>
      <c r="AW176" s="282"/>
      <c r="AX176" s="282"/>
      <c r="AY176" s="282"/>
      <c r="AZ176" s="282"/>
      <c r="BA176" s="282"/>
      <c r="BB176" s="282"/>
      <c r="BC176" s="282"/>
      <c r="BD176" s="282"/>
      <c r="BE176" s="282"/>
      <c r="BF176" s="282"/>
      <c r="BG176" s="282"/>
      <c r="BH176" s="282"/>
      <c r="BI176" s="282"/>
      <c r="BJ176" s="278"/>
      <c r="BK176" s="278"/>
      <c r="BL176" s="278"/>
      <c r="BM176" s="278"/>
      <c r="BN176" s="278"/>
      <c r="BO176" s="278"/>
      <c r="BP176" s="278"/>
      <c r="BQ176" s="278"/>
      <c r="BR176" s="278"/>
      <c r="BS176" s="278"/>
      <c r="BT176" s="278"/>
      <c r="BU176" s="278"/>
      <c r="BV176" s="278"/>
      <c r="BW176" s="278"/>
      <c r="BX176" s="278"/>
      <c r="BY176" s="278"/>
      <c r="BZ176" s="278"/>
      <c r="CA176" s="278"/>
      <c r="CB176" s="278"/>
      <c r="CC176" s="278"/>
      <c r="CD176" s="278"/>
      <c r="CE176" s="278"/>
      <c r="CF176" s="278"/>
      <c r="CG176" s="278"/>
      <c r="CH176" s="278"/>
      <c r="CI176" s="278"/>
      <c r="CJ176" s="278"/>
      <c r="CK176" s="278"/>
      <c r="CL176" s="278"/>
      <c r="CM176" s="278"/>
      <c r="CN176" s="278"/>
      <c r="CO176" s="278"/>
      <c r="CP176" s="278"/>
      <c r="CQ176" s="278"/>
      <c r="CR176" s="278"/>
      <c r="CS176" s="278"/>
      <c r="CT176" s="278"/>
      <c r="CU176" s="278"/>
      <c r="CV176" s="278"/>
      <c r="CW176" s="278"/>
      <c r="CX176" s="278"/>
      <c r="CY176" s="278"/>
      <c r="CZ176" s="278"/>
      <c r="DA176" s="278"/>
      <c r="DB176" s="278"/>
      <c r="DC176" s="278"/>
      <c r="DD176" s="278"/>
      <c r="DE176" s="278"/>
      <c r="DF176" s="278"/>
      <c r="DG176" s="278"/>
      <c r="DH176" s="278"/>
      <c r="DI176" s="278"/>
      <c r="DJ176" s="278"/>
      <c r="DK176" s="278"/>
      <c r="DL176" s="278"/>
    </row>
    <row r="177" spans="1:116" ht="15.75" customHeight="1" x14ac:dyDescent="0.25">
      <c r="A177" s="466"/>
      <c r="B177" s="466"/>
      <c r="C177" s="467"/>
      <c r="D177" s="279"/>
      <c r="E177" s="280"/>
      <c r="F177" s="280"/>
      <c r="G177" s="279"/>
      <c r="H177" s="409"/>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282"/>
      <c r="AF177" s="282"/>
      <c r="AG177" s="282"/>
      <c r="AH177" s="282"/>
      <c r="AI177" s="282"/>
      <c r="AJ177" s="282"/>
      <c r="AK177" s="282"/>
      <c r="AL177" s="282"/>
      <c r="AM177" s="282"/>
      <c r="AN177" s="282"/>
      <c r="AO177" s="282"/>
      <c r="AP177" s="282"/>
      <c r="AQ177" s="282"/>
      <c r="AR177" s="282"/>
      <c r="AS177" s="282"/>
      <c r="AT177" s="282"/>
      <c r="AU177" s="282"/>
      <c r="AV177" s="282"/>
      <c r="AW177" s="282"/>
      <c r="AX177" s="282"/>
      <c r="AY177" s="282"/>
      <c r="AZ177" s="282"/>
      <c r="BA177" s="282"/>
      <c r="BB177" s="282"/>
      <c r="BC177" s="282"/>
      <c r="BD177" s="282"/>
      <c r="BE177" s="282"/>
      <c r="BF177" s="282"/>
      <c r="BG177" s="282"/>
      <c r="BH177" s="282"/>
      <c r="BI177" s="282"/>
      <c r="BJ177" s="278"/>
      <c r="BK177" s="278"/>
      <c r="BL177" s="278"/>
      <c r="BM177" s="278"/>
      <c r="BN177" s="278"/>
      <c r="BO177" s="278"/>
      <c r="BP177" s="278"/>
      <c r="BQ177" s="278"/>
      <c r="BR177" s="278"/>
      <c r="BS177" s="278"/>
      <c r="BT177" s="278"/>
      <c r="BU177" s="278"/>
      <c r="BV177" s="278"/>
      <c r="BW177" s="278"/>
      <c r="BX177" s="278"/>
      <c r="BY177" s="278"/>
      <c r="BZ177" s="278"/>
      <c r="CA177" s="278"/>
      <c r="CB177" s="278"/>
      <c r="CC177" s="278"/>
      <c r="CD177" s="278"/>
      <c r="CE177" s="278"/>
      <c r="CF177" s="278"/>
      <c r="CG177" s="278"/>
      <c r="CH177" s="278"/>
      <c r="CI177" s="278"/>
      <c r="CJ177" s="278"/>
      <c r="CK177" s="278"/>
      <c r="CL177" s="278"/>
      <c r="CM177" s="278"/>
      <c r="CN177" s="278"/>
      <c r="CO177" s="278"/>
      <c r="CP177" s="278"/>
      <c r="CQ177" s="278"/>
      <c r="CR177" s="278"/>
      <c r="CS177" s="278"/>
      <c r="CT177" s="278"/>
      <c r="CU177" s="278"/>
      <c r="CV177" s="278"/>
      <c r="CW177" s="278"/>
      <c r="CX177" s="278"/>
      <c r="CY177" s="278"/>
      <c r="CZ177" s="278"/>
      <c r="DA177" s="278"/>
      <c r="DB177" s="278"/>
      <c r="DC177" s="278"/>
      <c r="DD177" s="278"/>
      <c r="DE177" s="278"/>
      <c r="DF177" s="278"/>
      <c r="DG177" s="278"/>
      <c r="DH177" s="278"/>
      <c r="DI177" s="278"/>
      <c r="DJ177" s="278"/>
      <c r="DK177" s="278"/>
      <c r="DL177" s="278"/>
    </row>
    <row r="178" spans="1:116" ht="15.75" customHeight="1" x14ac:dyDescent="0.25">
      <c r="A178" s="466"/>
      <c r="B178" s="466"/>
      <c r="C178" s="467"/>
      <c r="D178" s="279"/>
      <c r="E178" s="280"/>
      <c r="F178" s="280"/>
      <c r="G178" s="279"/>
      <c r="H178" s="409"/>
      <c r="I178" s="282"/>
      <c r="J178" s="282"/>
      <c r="K178" s="282"/>
      <c r="L178" s="282"/>
      <c r="M178" s="282"/>
      <c r="N178" s="282"/>
      <c r="O178" s="282"/>
      <c r="P178" s="282"/>
      <c r="Q178" s="282"/>
      <c r="R178" s="282"/>
      <c r="S178" s="282"/>
      <c r="T178" s="282"/>
      <c r="U178" s="282"/>
      <c r="V178" s="282"/>
      <c r="W178" s="282"/>
      <c r="X178" s="282"/>
      <c r="Y178" s="282"/>
      <c r="Z178" s="282"/>
      <c r="AA178" s="282"/>
      <c r="AB178" s="282"/>
      <c r="AC178" s="282"/>
      <c r="AD178" s="282"/>
      <c r="AE178" s="282"/>
      <c r="AF178" s="282"/>
      <c r="AG178" s="282"/>
      <c r="AH178" s="282"/>
      <c r="AI178" s="282"/>
      <c r="AJ178" s="282"/>
      <c r="AK178" s="282"/>
      <c r="AL178" s="282"/>
      <c r="AM178" s="282"/>
      <c r="AN178" s="282"/>
      <c r="AO178" s="282"/>
      <c r="AP178" s="282"/>
      <c r="AQ178" s="282"/>
      <c r="AR178" s="282"/>
      <c r="AS178" s="282"/>
      <c r="AT178" s="282"/>
      <c r="AU178" s="282"/>
      <c r="AV178" s="282"/>
      <c r="AW178" s="282"/>
      <c r="AX178" s="282"/>
      <c r="AY178" s="282"/>
      <c r="AZ178" s="282"/>
      <c r="BA178" s="282"/>
      <c r="BB178" s="282"/>
      <c r="BC178" s="282"/>
      <c r="BD178" s="282"/>
      <c r="BE178" s="282"/>
      <c r="BF178" s="282"/>
      <c r="BG178" s="282"/>
      <c r="BH178" s="282"/>
      <c r="BI178" s="282"/>
      <c r="BJ178" s="278"/>
      <c r="BK178" s="278"/>
      <c r="BL178" s="278"/>
      <c r="BM178" s="278"/>
      <c r="BN178" s="278"/>
      <c r="BO178" s="278"/>
      <c r="BP178" s="278"/>
      <c r="BQ178" s="278"/>
      <c r="BR178" s="278"/>
      <c r="BS178" s="278"/>
      <c r="BT178" s="278"/>
      <c r="BU178" s="278"/>
      <c r="BV178" s="278"/>
      <c r="BW178" s="278"/>
      <c r="BX178" s="278"/>
      <c r="BY178" s="278"/>
      <c r="BZ178" s="278"/>
      <c r="CA178" s="278"/>
      <c r="CB178" s="278"/>
      <c r="CC178" s="278"/>
      <c r="CD178" s="278"/>
      <c r="CE178" s="278"/>
      <c r="CF178" s="278"/>
      <c r="CG178" s="278"/>
      <c r="CH178" s="278"/>
      <c r="CI178" s="278"/>
      <c r="CJ178" s="278"/>
      <c r="CK178" s="278"/>
      <c r="CL178" s="278"/>
      <c r="CM178" s="278"/>
      <c r="CN178" s="278"/>
      <c r="CO178" s="278"/>
      <c r="CP178" s="278"/>
      <c r="CQ178" s="278"/>
      <c r="CR178" s="278"/>
      <c r="CS178" s="278"/>
      <c r="CT178" s="278"/>
      <c r="CU178" s="278"/>
      <c r="CV178" s="278"/>
      <c r="CW178" s="278"/>
      <c r="CX178" s="278"/>
      <c r="CY178" s="278"/>
      <c r="CZ178" s="278"/>
      <c r="DA178" s="278"/>
      <c r="DB178" s="278"/>
      <c r="DC178" s="278"/>
      <c r="DD178" s="278"/>
      <c r="DE178" s="278"/>
      <c r="DF178" s="278"/>
      <c r="DG178" s="278"/>
      <c r="DH178" s="278"/>
      <c r="DI178" s="278"/>
      <c r="DJ178" s="278"/>
      <c r="DK178" s="278"/>
      <c r="DL178" s="278"/>
    </row>
    <row r="179" spans="1:116" ht="15.75" customHeight="1" x14ac:dyDescent="0.25">
      <c r="A179" s="466"/>
      <c r="B179" s="466"/>
      <c r="C179" s="467"/>
      <c r="D179" s="279"/>
      <c r="E179" s="280"/>
      <c r="F179" s="280"/>
      <c r="G179" s="279"/>
      <c r="H179" s="409"/>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282"/>
      <c r="AF179" s="282"/>
      <c r="AG179" s="282"/>
      <c r="AH179" s="282"/>
      <c r="AI179" s="282"/>
      <c r="AJ179" s="282"/>
      <c r="AK179" s="282"/>
      <c r="AL179" s="282"/>
      <c r="AM179" s="282"/>
      <c r="AN179" s="282"/>
      <c r="AO179" s="282"/>
      <c r="AP179" s="282"/>
      <c r="AQ179" s="282"/>
      <c r="AR179" s="282"/>
      <c r="AS179" s="282"/>
      <c r="AT179" s="282"/>
      <c r="AU179" s="282"/>
      <c r="AV179" s="282"/>
      <c r="AW179" s="282"/>
      <c r="AX179" s="282"/>
      <c r="AY179" s="282"/>
      <c r="AZ179" s="282"/>
      <c r="BA179" s="282"/>
      <c r="BB179" s="282"/>
      <c r="BC179" s="282"/>
      <c r="BD179" s="282"/>
      <c r="BE179" s="282"/>
      <c r="BF179" s="282"/>
      <c r="BG179" s="282"/>
      <c r="BH179" s="282"/>
      <c r="BI179" s="282"/>
      <c r="BJ179" s="278"/>
      <c r="BK179" s="278"/>
      <c r="BL179" s="278"/>
      <c r="BM179" s="278"/>
      <c r="BN179" s="278"/>
      <c r="BO179" s="278"/>
      <c r="BP179" s="278"/>
      <c r="BQ179" s="278"/>
      <c r="BR179" s="278"/>
      <c r="BS179" s="278"/>
      <c r="BT179" s="278"/>
      <c r="BU179" s="278"/>
      <c r="BV179" s="278"/>
      <c r="BW179" s="278"/>
      <c r="BX179" s="278"/>
      <c r="BY179" s="278"/>
      <c r="BZ179" s="278"/>
      <c r="CA179" s="278"/>
      <c r="CB179" s="278"/>
      <c r="CC179" s="278"/>
      <c r="CD179" s="278"/>
      <c r="CE179" s="278"/>
      <c r="CF179" s="278"/>
      <c r="CG179" s="278"/>
      <c r="CH179" s="278"/>
      <c r="CI179" s="278"/>
      <c r="CJ179" s="278"/>
      <c r="CK179" s="278"/>
      <c r="CL179" s="278"/>
      <c r="CM179" s="278"/>
      <c r="CN179" s="278"/>
      <c r="CO179" s="278"/>
      <c r="CP179" s="278"/>
      <c r="CQ179" s="278"/>
      <c r="CR179" s="278"/>
      <c r="CS179" s="278"/>
      <c r="CT179" s="278"/>
      <c r="CU179" s="278"/>
      <c r="CV179" s="278"/>
      <c r="CW179" s="278"/>
      <c r="CX179" s="278"/>
      <c r="CY179" s="278"/>
      <c r="CZ179" s="278"/>
      <c r="DA179" s="278"/>
      <c r="DB179" s="278"/>
      <c r="DC179" s="278"/>
      <c r="DD179" s="278"/>
      <c r="DE179" s="278"/>
      <c r="DF179" s="278"/>
      <c r="DG179" s="278"/>
      <c r="DH179" s="278"/>
      <c r="DI179" s="278"/>
      <c r="DJ179" s="278"/>
      <c r="DK179" s="278"/>
      <c r="DL179" s="278"/>
    </row>
    <row r="180" spans="1:116" ht="15.75" customHeight="1" x14ac:dyDescent="0.25">
      <c r="A180" s="466"/>
      <c r="B180" s="466"/>
      <c r="C180" s="467"/>
      <c r="D180" s="279"/>
      <c r="E180" s="280"/>
      <c r="F180" s="280"/>
      <c r="G180" s="279"/>
      <c r="H180" s="409"/>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82"/>
      <c r="AE180" s="282"/>
      <c r="AF180" s="282"/>
      <c r="AG180" s="282"/>
      <c r="AH180" s="282"/>
      <c r="AI180" s="282"/>
      <c r="AJ180" s="282"/>
      <c r="AK180" s="282"/>
      <c r="AL180" s="282"/>
      <c r="AM180" s="282"/>
      <c r="AN180" s="282"/>
      <c r="AO180" s="282"/>
      <c r="AP180" s="282"/>
      <c r="AQ180" s="282"/>
      <c r="AR180" s="282"/>
      <c r="AS180" s="282"/>
      <c r="AT180" s="282"/>
      <c r="AU180" s="282"/>
      <c r="AV180" s="282"/>
      <c r="AW180" s="282"/>
      <c r="AX180" s="282"/>
      <c r="AY180" s="282"/>
      <c r="AZ180" s="282"/>
      <c r="BA180" s="282"/>
      <c r="BB180" s="282"/>
      <c r="BC180" s="282"/>
      <c r="BD180" s="282"/>
      <c r="BE180" s="282"/>
      <c r="BF180" s="282"/>
      <c r="BG180" s="282"/>
      <c r="BH180" s="282"/>
      <c r="BI180" s="282"/>
      <c r="BJ180" s="278"/>
      <c r="BK180" s="278"/>
      <c r="BL180" s="278"/>
      <c r="BM180" s="278"/>
      <c r="BN180" s="278"/>
      <c r="BO180" s="278"/>
      <c r="BP180" s="278"/>
      <c r="BQ180" s="278"/>
      <c r="BR180" s="278"/>
      <c r="BS180" s="278"/>
      <c r="BT180" s="278"/>
      <c r="BU180" s="278"/>
      <c r="BV180" s="278"/>
      <c r="BW180" s="278"/>
      <c r="BX180" s="278"/>
      <c r="BY180" s="278"/>
      <c r="BZ180" s="278"/>
      <c r="CA180" s="278"/>
      <c r="CB180" s="278"/>
      <c r="CC180" s="278"/>
      <c r="CD180" s="278"/>
      <c r="CE180" s="278"/>
      <c r="CF180" s="278"/>
      <c r="CG180" s="278"/>
      <c r="CH180" s="278"/>
      <c r="CI180" s="278"/>
      <c r="CJ180" s="278"/>
      <c r="CK180" s="278"/>
      <c r="CL180" s="278"/>
      <c r="CM180" s="278"/>
      <c r="CN180" s="278"/>
      <c r="CO180" s="278"/>
      <c r="CP180" s="278"/>
      <c r="CQ180" s="278"/>
      <c r="CR180" s="278"/>
      <c r="CS180" s="278"/>
      <c r="CT180" s="278"/>
      <c r="CU180" s="278"/>
      <c r="CV180" s="278"/>
      <c r="CW180" s="278"/>
      <c r="CX180" s="278"/>
      <c r="CY180" s="278"/>
      <c r="CZ180" s="278"/>
      <c r="DA180" s="278"/>
      <c r="DB180" s="278"/>
      <c r="DC180" s="278"/>
      <c r="DD180" s="278"/>
      <c r="DE180" s="278"/>
      <c r="DF180" s="278"/>
      <c r="DG180" s="278"/>
      <c r="DH180" s="278"/>
      <c r="DI180" s="278"/>
      <c r="DJ180" s="278"/>
      <c r="DK180" s="278"/>
      <c r="DL180" s="278"/>
    </row>
    <row r="181" spans="1:116" ht="15.75" customHeight="1" x14ac:dyDescent="0.25">
      <c r="A181" s="466"/>
      <c r="B181" s="466"/>
      <c r="C181" s="467"/>
      <c r="D181" s="279"/>
      <c r="E181" s="280"/>
      <c r="F181" s="280"/>
      <c r="G181" s="279"/>
      <c r="H181" s="409"/>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282"/>
      <c r="AF181" s="282"/>
      <c r="AG181" s="282"/>
      <c r="AH181" s="282"/>
      <c r="AI181" s="282"/>
      <c r="AJ181" s="282"/>
      <c r="AK181" s="282"/>
      <c r="AL181" s="282"/>
      <c r="AM181" s="282"/>
      <c r="AN181" s="282"/>
      <c r="AO181" s="282"/>
      <c r="AP181" s="282"/>
      <c r="AQ181" s="282"/>
      <c r="AR181" s="282"/>
      <c r="AS181" s="282"/>
      <c r="AT181" s="282"/>
      <c r="AU181" s="282"/>
      <c r="AV181" s="282"/>
      <c r="AW181" s="282"/>
      <c r="AX181" s="282"/>
      <c r="AY181" s="282"/>
      <c r="AZ181" s="282"/>
      <c r="BA181" s="282"/>
      <c r="BB181" s="282"/>
      <c r="BC181" s="282"/>
      <c r="BD181" s="282"/>
      <c r="BE181" s="282"/>
      <c r="BF181" s="282"/>
      <c r="BG181" s="282"/>
      <c r="BH181" s="282"/>
      <c r="BI181" s="282"/>
      <c r="BJ181" s="278"/>
      <c r="BK181" s="278"/>
      <c r="BL181" s="278"/>
      <c r="BM181" s="278"/>
      <c r="BN181" s="278"/>
      <c r="BO181" s="278"/>
      <c r="BP181" s="278"/>
      <c r="BQ181" s="278"/>
      <c r="BR181" s="278"/>
      <c r="BS181" s="278"/>
      <c r="BT181" s="278"/>
      <c r="BU181" s="278"/>
      <c r="BV181" s="278"/>
      <c r="BW181" s="278"/>
      <c r="BX181" s="278"/>
      <c r="BY181" s="278"/>
      <c r="BZ181" s="278"/>
      <c r="CA181" s="278"/>
      <c r="CB181" s="278"/>
      <c r="CC181" s="278"/>
      <c r="CD181" s="278"/>
      <c r="CE181" s="278"/>
      <c r="CF181" s="278"/>
      <c r="CG181" s="278"/>
      <c r="CH181" s="278"/>
      <c r="CI181" s="278"/>
      <c r="CJ181" s="278"/>
      <c r="CK181" s="278"/>
      <c r="CL181" s="278"/>
      <c r="CM181" s="278"/>
      <c r="CN181" s="278"/>
      <c r="CO181" s="278"/>
      <c r="CP181" s="278"/>
      <c r="CQ181" s="278"/>
      <c r="CR181" s="278"/>
      <c r="CS181" s="278"/>
      <c r="CT181" s="278"/>
      <c r="CU181" s="278"/>
      <c r="CV181" s="278"/>
      <c r="CW181" s="278"/>
      <c r="CX181" s="278"/>
      <c r="CY181" s="278"/>
      <c r="CZ181" s="278"/>
      <c r="DA181" s="278"/>
      <c r="DB181" s="278"/>
      <c r="DC181" s="278"/>
      <c r="DD181" s="278"/>
      <c r="DE181" s="278"/>
      <c r="DF181" s="278"/>
      <c r="DG181" s="278"/>
      <c r="DH181" s="278"/>
      <c r="DI181" s="278"/>
      <c r="DJ181" s="278"/>
      <c r="DK181" s="278"/>
      <c r="DL181" s="278"/>
    </row>
    <row r="182" spans="1:116" ht="15.75" customHeight="1" x14ac:dyDescent="0.25">
      <c r="A182" s="466"/>
      <c r="B182" s="466"/>
      <c r="C182" s="467"/>
      <c r="D182" s="279"/>
      <c r="E182" s="280"/>
      <c r="F182" s="280"/>
      <c r="G182" s="279"/>
      <c r="H182" s="409"/>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282"/>
      <c r="AE182" s="282"/>
      <c r="AF182" s="282"/>
      <c r="AG182" s="282"/>
      <c r="AH182" s="282"/>
      <c r="AI182" s="282"/>
      <c r="AJ182" s="282"/>
      <c r="AK182" s="282"/>
      <c r="AL182" s="282"/>
      <c r="AM182" s="282"/>
      <c r="AN182" s="282"/>
      <c r="AO182" s="282"/>
      <c r="AP182" s="282"/>
      <c r="AQ182" s="282"/>
      <c r="AR182" s="282"/>
      <c r="AS182" s="282"/>
      <c r="AT182" s="282"/>
      <c r="AU182" s="282"/>
      <c r="AV182" s="282"/>
      <c r="AW182" s="282"/>
      <c r="AX182" s="282"/>
      <c r="AY182" s="282"/>
      <c r="AZ182" s="282"/>
      <c r="BA182" s="282"/>
      <c r="BB182" s="282"/>
      <c r="BC182" s="282"/>
      <c r="BD182" s="282"/>
      <c r="BE182" s="282"/>
      <c r="BF182" s="282"/>
      <c r="BG182" s="282"/>
      <c r="BH182" s="282"/>
      <c r="BI182" s="282"/>
      <c r="BJ182" s="278"/>
      <c r="BK182" s="278"/>
      <c r="BL182" s="278"/>
      <c r="BM182" s="278"/>
      <c r="BN182" s="278"/>
      <c r="BO182" s="278"/>
      <c r="BP182" s="278"/>
      <c r="BQ182" s="278"/>
      <c r="BR182" s="278"/>
      <c r="BS182" s="278"/>
      <c r="BT182" s="278"/>
      <c r="BU182" s="278"/>
      <c r="BV182" s="278"/>
      <c r="BW182" s="278"/>
      <c r="BX182" s="278"/>
      <c r="BY182" s="278"/>
      <c r="BZ182" s="278"/>
      <c r="CA182" s="278"/>
      <c r="CB182" s="278"/>
      <c r="CC182" s="278"/>
      <c r="CD182" s="278"/>
      <c r="CE182" s="278"/>
      <c r="CF182" s="278"/>
      <c r="CG182" s="278"/>
      <c r="CH182" s="278"/>
      <c r="CI182" s="278"/>
      <c r="CJ182" s="278"/>
      <c r="CK182" s="278"/>
      <c r="CL182" s="278"/>
      <c r="CM182" s="278"/>
      <c r="CN182" s="278"/>
      <c r="CO182" s="278"/>
      <c r="CP182" s="278"/>
      <c r="CQ182" s="278"/>
      <c r="CR182" s="278"/>
      <c r="CS182" s="278"/>
      <c r="CT182" s="278"/>
      <c r="CU182" s="278"/>
      <c r="CV182" s="278"/>
      <c r="CW182" s="278"/>
      <c r="CX182" s="278"/>
      <c r="CY182" s="278"/>
      <c r="CZ182" s="278"/>
      <c r="DA182" s="278"/>
      <c r="DB182" s="278"/>
      <c r="DC182" s="278"/>
      <c r="DD182" s="278"/>
      <c r="DE182" s="278"/>
      <c r="DF182" s="278"/>
      <c r="DG182" s="278"/>
      <c r="DH182" s="278"/>
      <c r="DI182" s="278"/>
      <c r="DJ182" s="278"/>
      <c r="DK182" s="278"/>
      <c r="DL182" s="278"/>
    </row>
    <row r="183" spans="1:116" ht="15.75" customHeight="1" x14ac:dyDescent="0.25">
      <c r="A183" s="466"/>
      <c r="B183" s="466"/>
      <c r="C183" s="467"/>
      <c r="D183" s="279"/>
      <c r="E183" s="280"/>
      <c r="F183" s="280"/>
      <c r="G183" s="279"/>
      <c r="H183" s="409"/>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282"/>
      <c r="AE183" s="282"/>
      <c r="AF183" s="282"/>
      <c r="AG183" s="282"/>
      <c r="AH183" s="282"/>
      <c r="AI183" s="282"/>
      <c r="AJ183" s="282"/>
      <c r="AK183" s="282"/>
      <c r="AL183" s="282"/>
      <c r="AM183" s="282"/>
      <c r="AN183" s="282"/>
      <c r="AO183" s="282"/>
      <c r="AP183" s="282"/>
      <c r="AQ183" s="282"/>
      <c r="AR183" s="282"/>
      <c r="AS183" s="282"/>
      <c r="AT183" s="282"/>
      <c r="AU183" s="282"/>
      <c r="AV183" s="282"/>
      <c r="AW183" s="282"/>
      <c r="AX183" s="282"/>
      <c r="AY183" s="282"/>
      <c r="AZ183" s="282"/>
      <c r="BA183" s="282"/>
      <c r="BB183" s="282"/>
      <c r="BC183" s="282"/>
      <c r="BD183" s="282"/>
      <c r="BE183" s="282"/>
      <c r="BF183" s="282"/>
      <c r="BG183" s="282"/>
      <c r="BH183" s="282"/>
      <c r="BI183" s="282"/>
      <c r="BJ183" s="278"/>
      <c r="BK183" s="278"/>
      <c r="BL183" s="278"/>
      <c r="BM183" s="278"/>
      <c r="BN183" s="278"/>
      <c r="BO183" s="278"/>
      <c r="BP183" s="278"/>
      <c r="BQ183" s="278"/>
      <c r="BR183" s="278"/>
      <c r="BS183" s="278"/>
      <c r="BT183" s="278"/>
      <c r="BU183" s="278"/>
      <c r="BV183" s="278"/>
      <c r="BW183" s="278"/>
      <c r="BX183" s="278"/>
      <c r="BY183" s="278"/>
      <c r="BZ183" s="278"/>
      <c r="CA183" s="278"/>
      <c r="CB183" s="278"/>
      <c r="CC183" s="278"/>
      <c r="CD183" s="278"/>
      <c r="CE183" s="278"/>
      <c r="CF183" s="278"/>
      <c r="CG183" s="278"/>
      <c r="CH183" s="278"/>
      <c r="CI183" s="278"/>
      <c r="CJ183" s="278"/>
      <c r="CK183" s="278"/>
      <c r="CL183" s="278"/>
      <c r="CM183" s="278"/>
      <c r="CN183" s="278"/>
      <c r="CO183" s="278"/>
      <c r="CP183" s="278"/>
      <c r="CQ183" s="278"/>
      <c r="CR183" s="278"/>
      <c r="CS183" s="278"/>
      <c r="CT183" s="278"/>
      <c r="CU183" s="278"/>
      <c r="CV183" s="278"/>
      <c r="CW183" s="278"/>
      <c r="CX183" s="278"/>
      <c r="CY183" s="278"/>
      <c r="CZ183" s="278"/>
      <c r="DA183" s="278"/>
      <c r="DB183" s="278"/>
      <c r="DC183" s="278"/>
      <c r="DD183" s="278"/>
      <c r="DE183" s="278"/>
      <c r="DF183" s="278"/>
      <c r="DG183" s="278"/>
      <c r="DH183" s="278"/>
      <c r="DI183" s="278"/>
      <c r="DJ183" s="278"/>
      <c r="DK183" s="278"/>
      <c r="DL183" s="278"/>
    </row>
    <row r="184" spans="1:116" ht="15.75" customHeight="1" x14ac:dyDescent="0.25">
      <c r="A184" s="466"/>
      <c r="B184" s="466"/>
      <c r="C184" s="467"/>
      <c r="D184" s="279"/>
      <c r="E184" s="280"/>
      <c r="F184" s="280"/>
      <c r="G184" s="279"/>
      <c r="H184" s="409"/>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82"/>
      <c r="AE184" s="282"/>
      <c r="AF184" s="282"/>
      <c r="AG184" s="282"/>
      <c r="AH184" s="282"/>
      <c r="AI184" s="282"/>
      <c r="AJ184" s="282"/>
      <c r="AK184" s="282"/>
      <c r="AL184" s="282"/>
      <c r="AM184" s="282"/>
      <c r="AN184" s="282"/>
      <c r="AO184" s="282"/>
      <c r="AP184" s="282"/>
      <c r="AQ184" s="282"/>
      <c r="AR184" s="282"/>
      <c r="AS184" s="282"/>
      <c r="AT184" s="282"/>
      <c r="AU184" s="282"/>
      <c r="AV184" s="282"/>
      <c r="AW184" s="282"/>
      <c r="AX184" s="282"/>
      <c r="AY184" s="282"/>
      <c r="AZ184" s="282"/>
      <c r="BA184" s="282"/>
      <c r="BB184" s="282"/>
      <c r="BC184" s="282"/>
      <c r="BD184" s="282"/>
      <c r="BE184" s="282"/>
      <c r="BF184" s="282"/>
      <c r="BG184" s="282"/>
      <c r="BH184" s="282"/>
      <c r="BI184" s="282"/>
      <c r="BJ184" s="278"/>
      <c r="BK184" s="278"/>
      <c r="BL184" s="278"/>
      <c r="BM184" s="278"/>
      <c r="BN184" s="278"/>
      <c r="BO184" s="278"/>
      <c r="BP184" s="278"/>
      <c r="BQ184" s="278"/>
      <c r="BR184" s="278"/>
      <c r="BS184" s="278"/>
      <c r="BT184" s="278"/>
      <c r="BU184" s="278"/>
      <c r="BV184" s="278"/>
      <c r="BW184" s="278"/>
      <c r="BX184" s="278"/>
      <c r="BY184" s="278"/>
      <c r="BZ184" s="278"/>
      <c r="CA184" s="278"/>
      <c r="CB184" s="278"/>
      <c r="CC184" s="278"/>
      <c r="CD184" s="278"/>
      <c r="CE184" s="278"/>
      <c r="CF184" s="278"/>
      <c r="CG184" s="278"/>
      <c r="CH184" s="278"/>
      <c r="CI184" s="278"/>
      <c r="CJ184" s="278"/>
      <c r="CK184" s="278"/>
      <c r="CL184" s="278"/>
      <c r="CM184" s="278"/>
      <c r="CN184" s="278"/>
      <c r="CO184" s="278"/>
      <c r="CP184" s="278"/>
      <c r="CQ184" s="278"/>
      <c r="CR184" s="278"/>
      <c r="CS184" s="278"/>
      <c r="CT184" s="278"/>
      <c r="CU184" s="278"/>
      <c r="CV184" s="278"/>
      <c r="CW184" s="278"/>
      <c r="CX184" s="278"/>
      <c r="CY184" s="278"/>
      <c r="CZ184" s="278"/>
      <c r="DA184" s="278"/>
      <c r="DB184" s="278"/>
      <c r="DC184" s="278"/>
      <c r="DD184" s="278"/>
      <c r="DE184" s="278"/>
      <c r="DF184" s="278"/>
      <c r="DG184" s="278"/>
      <c r="DH184" s="278"/>
      <c r="DI184" s="278"/>
      <c r="DJ184" s="278"/>
      <c r="DK184" s="278"/>
      <c r="DL184" s="278"/>
    </row>
    <row r="185" spans="1:116" ht="15.75" customHeight="1" x14ac:dyDescent="0.25">
      <c r="A185" s="466"/>
      <c r="B185" s="466"/>
      <c r="C185" s="467"/>
      <c r="D185" s="279"/>
      <c r="E185" s="280"/>
      <c r="F185" s="280"/>
      <c r="G185" s="279"/>
      <c r="H185" s="409"/>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282"/>
      <c r="AF185" s="282"/>
      <c r="AG185" s="282"/>
      <c r="AH185" s="282"/>
      <c r="AI185" s="282"/>
      <c r="AJ185" s="282"/>
      <c r="AK185" s="282"/>
      <c r="AL185" s="282"/>
      <c r="AM185" s="282"/>
      <c r="AN185" s="282"/>
      <c r="AO185" s="282"/>
      <c r="AP185" s="282"/>
      <c r="AQ185" s="282"/>
      <c r="AR185" s="282"/>
      <c r="AS185" s="282"/>
      <c r="AT185" s="282"/>
      <c r="AU185" s="282"/>
      <c r="AV185" s="282"/>
      <c r="AW185" s="282"/>
      <c r="AX185" s="282"/>
      <c r="AY185" s="282"/>
      <c r="AZ185" s="282"/>
      <c r="BA185" s="282"/>
      <c r="BB185" s="282"/>
      <c r="BC185" s="282"/>
      <c r="BD185" s="282"/>
      <c r="BE185" s="282"/>
      <c r="BF185" s="282"/>
      <c r="BG185" s="282"/>
      <c r="BH185" s="282"/>
      <c r="BI185" s="282"/>
      <c r="BJ185" s="278"/>
      <c r="BK185" s="278"/>
      <c r="BL185" s="278"/>
      <c r="BM185" s="278"/>
      <c r="BN185" s="278"/>
      <c r="BO185" s="278"/>
      <c r="BP185" s="278"/>
      <c r="BQ185" s="278"/>
      <c r="BR185" s="278"/>
      <c r="BS185" s="278"/>
      <c r="BT185" s="278"/>
      <c r="BU185" s="278"/>
      <c r="BV185" s="278"/>
      <c r="BW185" s="278"/>
      <c r="BX185" s="278"/>
      <c r="BY185" s="278"/>
      <c r="BZ185" s="278"/>
      <c r="CA185" s="278"/>
      <c r="CB185" s="278"/>
      <c r="CC185" s="278"/>
      <c r="CD185" s="278"/>
      <c r="CE185" s="278"/>
      <c r="CF185" s="278"/>
      <c r="CG185" s="278"/>
      <c r="CH185" s="278"/>
      <c r="CI185" s="278"/>
      <c r="CJ185" s="278"/>
      <c r="CK185" s="278"/>
      <c r="CL185" s="278"/>
      <c r="CM185" s="278"/>
      <c r="CN185" s="278"/>
      <c r="CO185" s="278"/>
      <c r="CP185" s="278"/>
      <c r="CQ185" s="278"/>
      <c r="CR185" s="278"/>
      <c r="CS185" s="278"/>
      <c r="CT185" s="278"/>
      <c r="CU185" s="278"/>
      <c r="CV185" s="278"/>
      <c r="CW185" s="278"/>
      <c r="CX185" s="278"/>
      <c r="CY185" s="278"/>
      <c r="CZ185" s="278"/>
      <c r="DA185" s="278"/>
      <c r="DB185" s="278"/>
      <c r="DC185" s="278"/>
      <c r="DD185" s="278"/>
      <c r="DE185" s="278"/>
      <c r="DF185" s="278"/>
      <c r="DG185" s="278"/>
      <c r="DH185" s="278"/>
      <c r="DI185" s="278"/>
      <c r="DJ185" s="278"/>
      <c r="DK185" s="278"/>
      <c r="DL185" s="278"/>
    </row>
    <row r="186" spans="1:116" ht="15.75" customHeight="1" x14ac:dyDescent="0.25">
      <c r="A186" s="466"/>
      <c r="B186" s="466"/>
      <c r="C186" s="467"/>
      <c r="D186" s="279"/>
      <c r="E186" s="280"/>
      <c r="F186" s="280"/>
      <c r="G186" s="279"/>
      <c r="H186" s="409"/>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282"/>
      <c r="AF186" s="282"/>
      <c r="AG186" s="282"/>
      <c r="AH186" s="282"/>
      <c r="AI186" s="282"/>
      <c r="AJ186" s="282"/>
      <c r="AK186" s="282"/>
      <c r="AL186" s="282"/>
      <c r="AM186" s="282"/>
      <c r="AN186" s="282"/>
      <c r="AO186" s="282"/>
      <c r="AP186" s="282"/>
      <c r="AQ186" s="282"/>
      <c r="AR186" s="282"/>
      <c r="AS186" s="282"/>
      <c r="AT186" s="282"/>
      <c r="AU186" s="282"/>
      <c r="AV186" s="282"/>
      <c r="AW186" s="282"/>
      <c r="AX186" s="282"/>
      <c r="AY186" s="282"/>
      <c r="AZ186" s="282"/>
      <c r="BA186" s="282"/>
      <c r="BB186" s="282"/>
      <c r="BC186" s="282"/>
      <c r="BD186" s="282"/>
      <c r="BE186" s="282"/>
      <c r="BF186" s="282"/>
      <c r="BG186" s="282"/>
      <c r="BH186" s="282"/>
      <c r="BI186" s="282"/>
      <c r="BJ186" s="278"/>
      <c r="BK186" s="278"/>
      <c r="BL186" s="278"/>
      <c r="BM186" s="278"/>
      <c r="BN186" s="278"/>
      <c r="BO186" s="278"/>
      <c r="BP186" s="278"/>
      <c r="BQ186" s="278"/>
      <c r="BR186" s="278"/>
      <c r="BS186" s="278"/>
      <c r="BT186" s="278"/>
      <c r="BU186" s="278"/>
      <c r="BV186" s="278"/>
      <c r="BW186" s="278"/>
      <c r="BX186" s="278"/>
      <c r="BY186" s="278"/>
      <c r="BZ186" s="278"/>
      <c r="CA186" s="278"/>
      <c r="CB186" s="278"/>
      <c r="CC186" s="278"/>
      <c r="CD186" s="278"/>
      <c r="CE186" s="278"/>
      <c r="CF186" s="278"/>
      <c r="CG186" s="278"/>
      <c r="CH186" s="278"/>
      <c r="CI186" s="278"/>
      <c r="CJ186" s="278"/>
      <c r="CK186" s="278"/>
      <c r="CL186" s="278"/>
      <c r="CM186" s="278"/>
      <c r="CN186" s="278"/>
      <c r="CO186" s="278"/>
      <c r="CP186" s="278"/>
      <c r="CQ186" s="278"/>
      <c r="CR186" s="278"/>
      <c r="CS186" s="278"/>
      <c r="CT186" s="278"/>
      <c r="CU186" s="278"/>
      <c r="CV186" s="278"/>
      <c r="CW186" s="278"/>
      <c r="CX186" s="278"/>
      <c r="CY186" s="278"/>
      <c r="CZ186" s="278"/>
      <c r="DA186" s="278"/>
      <c r="DB186" s="278"/>
      <c r="DC186" s="278"/>
      <c r="DD186" s="278"/>
      <c r="DE186" s="278"/>
      <c r="DF186" s="278"/>
      <c r="DG186" s="278"/>
      <c r="DH186" s="278"/>
      <c r="DI186" s="278"/>
      <c r="DJ186" s="278"/>
      <c r="DK186" s="278"/>
      <c r="DL186" s="278"/>
    </row>
    <row r="187" spans="1:116" ht="15.75" customHeight="1" x14ac:dyDescent="0.25">
      <c r="A187" s="466"/>
      <c r="B187" s="466"/>
      <c r="C187" s="467"/>
      <c r="D187" s="279"/>
      <c r="E187" s="280"/>
      <c r="F187" s="280"/>
      <c r="G187" s="279"/>
      <c r="H187" s="409"/>
      <c r="I187" s="282"/>
      <c r="J187" s="282"/>
      <c r="K187" s="282"/>
      <c r="L187" s="282"/>
      <c r="M187" s="282"/>
      <c r="N187" s="282"/>
      <c r="O187" s="282"/>
      <c r="P187" s="282"/>
      <c r="Q187" s="282"/>
      <c r="R187" s="282"/>
      <c r="S187" s="282"/>
      <c r="T187" s="282"/>
      <c r="U187" s="282"/>
      <c r="V187" s="282"/>
      <c r="W187" s="282"/>
      <c r="X187" s="282"/>
      <c r="Y187" s="282"/>
      <c r="Z187" s="282"/>
      <c r="AA187" s="282"/>
      <c r="AB187" s="282"/>
      <c r="AC187" s="282"/>
      <c r="AD187" s="282"/>
      <c r="AE187" s="282"/>
      <c r="AF187" s="282"/>
      <c r="AG187" s="282"/>
      <c r="AH187" s="282"/>
      <c r="AI187" s="282"/>
      <c r="AJ187" s="282"/>
      <c r="AK187" s="282"/>
      <c r="AL187" s="282"/>
      <c r="AM187" s="282"/>
      <c r="AN187" s="282"/>
      <c r="AO187" s="282"/>
      <c r="AP187" s="282"/>
      <c r="AQ187" s="282"/>
      <c r="AR187" s="282"/>
      <c r="AS187" s="282"/>
      <c r="AT187" s="282"/>
      <c r="AU187" s="282"/>
      <c r="AV187" s="282"/>
      <c r="AW187" s="282"/>
      <c r="AX187" s="282"/>
      <c r="AY187" s="282"/>
      <c r="AZ187" s="282"/>
      <c r="BA187" s="282"/>
      <c r="BB187" s="282"/>
      <c r="BC187" s="282"/>
      <c r="BD187" s="282"/>
      <c r="BE187" s="282"/>
      <c r="BF187" s="282"/>
      <c r="BG187" s="282"/>
      <c r="BH187" s="282"/>
      <c r="BI187" s="282"/>
      <c r="BJ187" s="278"/>
      <c r="BK187" s="278"/>
      <c r="BL187" s="278"/>
      <c r="BM187" s="278"/>
      <c r="BN187" s="278"/>
      <c r="BO187" s="278"/>
      <c r="BP187" s="278"/>
      <c r="BQ187" s="278"/>
      <c r="BR187" s="278"/>
      <c r="BS187" s="278"/>
      <c r="BT187" s="278"/>
      <c r="BU187" s="278"/>
      <c r="BV187" s="278"/>
      <c r="BW187" s="278"/>
      <c r="BX187" s="278"/>
      <c r="BY187" s="278"/>
      <c r="BZ187" s="278"/>
      <c r="CA187" s="278"/>
      <c r="CB187" s="278"/>
      <c r="CC187" s="278"/>
      <c r="CD187" s="278"/>
      <c r="CE187" s="278"/>
      <c r="CF187" s="278"/>
      <c r="CG187" s="278"/>
      <c r="CH187" s="278"/>
      <c r="CI187" s="278"/>
      <c r="CJ187" s="278"/>
      <c r="CK187" s="278"/>
      <c r="CL187" s="278"/>
      <c r="CM187" s="278"/>
      <c r="CN187" s="278"/>
      <c r="CO187" s="278"/>
      <c r="CP187" s="278"/>
      <c r="CQ187" s="278"/>
      <c r="CR187" s="278"/>
      <c r="CS187" s="278"/>
      <c r="CT187" s="278"/>
      <c r="CU187" s="278"/>
      <c r="CV187" s="278"/>
      <c r="CW187" s="278"/>
      <c r="CX187" s="278"/>
      <c r="CY187" s="278"/>
      <c r="CZ187" s="278"/>
      <c r="DA187" s="278"/>
      <c r="DB187" s="278"/>
      <c r="DC187" s="278"/>
      <c r="DD187" s="278"/>
      <c r="DE187" s="278"/>
      <c r="DF187" s="278"/>
      <c r="DG187" s="278"/>
      <c r="DH187" s="278"/>
      <c r="DI187" s="278"/>
      <c r="DJ187" s="278"/>
      <c r="DK187" s="278"/>
      <c r="DL187" s="278"/>
    </row>
    <row r="188" spans="1:116" ht="15.75" customHeight="1" x14ac:dyDescent="0.25">
      <c r="A188" s="466"/>
      <c r="B188" s="466"/>
      <c r="C188" s="467"/>
      <c r="D188" s="279"/>
      <c r="E188" s="280"/>
      <c r="F188" s="280"/>
      <c r="G188" s="279"/>
      <c r="H188" s="409"/>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282"/>
      <c r="AF188" s="282"/>
      <c r="AG188" s="282"/>
      <c r="AH188" s="282"/>
      <c r="AI188" s="282"/>
      <c r="AJ188" s="282"/>
      <c r="AK188" s="282"/>
      <c r="AL188" s="282"/>
      <c r="AM188" s="282"/>
      <c r="AN188" s="282"/>
      <c r="AO188" s="282"/>
      <c r="AP188" s="282"/>
      <c r="AQ188" s="282"/>
      <c r="AR188" s="282"/>
      <c r="AS188" s="282"/>
      <c r="AT188" s="282"/>
      <c r="AU188" s="282"/>
      <c r="AV188" s="282"/>
      <c r="AW188" s="282"/>
      <c r="AX188" s="282"/>
      <c r="AY188" s="282"/>
      <c r="AZ188" s="282"/>
      <c r="BA188" s="282"/>
      <c r="BB188" s="282"/>
      <c r="BC188" s="282"/>
      <c r="BD188" s="282"/>
      <c r="BE188" s="282"/>
      <c r="BF188" s="282"/>
      <c r="BG188" s="282"/>
      <c r="BH188" s="282"/>
      <c r="BI188" s="282"/>
      <c r="BJ188" s="278"/>
      <c r="BK188" s="278"/>
      <c r="BL188" s="278"/>
      <c r="BM188" s="278"/>
      <c r="BN188" s="278"/>
      <c r="BO188" s="278"/>
      <c r="BP188" s="278"/>
      <c r="BQ188" s="278"/>
      <c r="BR188" s="278"/>
      <c r="BS188" s="278"/>
      <c r="BT188" s="278"/>
      <c r="BU188" s="278"/>
      <c r="BV188" s="278"/>
      <c r="BW188" s="278"/>
      <c r="BX188" s="278"/>
      <c r="BY188" s="278"/>
      <c r="BZ188" s="278"/>
      <c r="CA188" s="278"/>
      <c r="CB188" s="278"/>
      <c r="CC188" s="278"/>
      <c r="CD188" s="278"/>
      <c r="CE188" s="278"/>
      <c r="CF188" s="278"/>
      <c r="CG188" s="278"/>
      <c r="CH188" s="278"/>
      <c r="CI188" s="278"/>
      <c r="CJ188" s="278"/>
      <c r="CK188" s="278"/>
      <c r="CL188" s="278"/>
      <c r="CM188" s="278"/>
      <c r="CN188" s="278"/>
      <c r="CO188" s="278"/>
      <c r="CP188" s="278"/>
      <c r="CQ188" s="278"/>
      <c r="CR188" s="278"/>
      <c r="CS188" s="278"/>
      <c r="CT188" s="278"/>
      <c r="CU188" s="278"/>
      <c r="CV188" s="278"/>
      <c r="CW188" s="278"/>
      <c r="CX188" s="278"/>
      <c r="CY188" s="278"/>
      <c r="CZ188" s="278"/>
      <c r="DA188" s="278"/>
      <c r="DB188" s="278"/>
      <c r="DC188" s="278"/>
      <c r="DD188" s="278"/>
      <c r="DE188" s="278"/>
      <c r="DF188" s="278"/>
      <c r="DG188" s="278"/>
      <c r="DH188" s="278"/>
      <c r="DI188" s="278"/>
      <c r="DJ188" s="278"/>
      <c r="DK188" s="278"/>
      <c r="DL188" s="278"/>
    </row>
    <row r="189" spans="1:116" ht="15.75" customHeight="1" x14ac:dyDescent="0.25">
      <c r="A189" s="466"/>
      <c r="B189" s="466"/>
      <c r="C189" s="467"/>
      <c r="D189" s="279"/>
      <c r="E189" s="280"/>
      <c r="F189" s="280"/>
      <c r="G189" s="279"/>
      <c r="H189" s="409"/>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c r="AF189" s="282"/>
      <c r="AG189" s="282"/>
      <c r="AH189" s="282"/>
      <c r="AI189" s="282"/>
      <c r="AJ189" s="282"/>
      <c r="AK189" s="282"/>
      <c r="AL189" s="282"/>
      <c r="AM189" s="282"/>
      <c r="AN189" s="282"/>
      <c r="AO189" s="282"/>
      <c r="AP189" s="282"/>
      <c r="AQ189" s="282"/>
      <c r="AR189" s="282"/>
      <c r="AS189" s="282"/>
      <c r="AT189" s="282"/>
      <c r="AU189" s="282"/>
      <c r="AV189" s="282"/>
      <c r="AW189" s="282"/>
      <c r="AX189" s="282"/>
      <c r="AY189" s="282"/>
      <c r="AZ189" s="282"/>
      <c r="BA189" s="282"/>
      <c r="BB189" s="282"/>
      <c r="BC189" s="282"/>
      <c r="BD189" s="282"/>
      <c r="BE189" s="282"/>
      <c r="BF189" s="282"/>
      <c r="BG189" s="282"/>
      <c r="BH189" s="282"/>
      <c r="BI189" s="282"/>
      <c r="BJ189" s="278"/>
      <c r="BK189" s="278"/>
      <c r="BL189" s="278"/>
      <c r="BM189" s="278"/>
      <c r="BN189" s="278"/>
      <c r="BO189" s="278"/>
      <c r="BP189" s="278"/>
      <c r="BQ189" s="278"/>
      <c r="BR189" s="278"/>
      <c r="BS189" s="278"/>
      <c r="BT189" s="278"/>
      <c r="BU189" s="278"/>
      <c r="BV189" s="278"/>
      <c r="BW189" s="278"/>
      <c r="BX189" s="278"/>
      <c r="BY189" s="278"/>
      <c r="BZ189" s="278"/>
      <c r="CA189" s="278"/>
      <c r="CB189" s="278"/>
      <c r="CC189" s="278"/>
      <c r="CD189" s="278"/>
      <c r="CE189" s="278"/>
      <c r="CF189" s="278"/>
      <c r="CG189" s="278"/>
      <c r="CH189" s="278"/>
      <c r="CI189" s="278"/>
      <c r="CJ189" s="278"/>
      <c r="CK189" s="278"/>
      <c r="CL189" s="278"/>
      <c r="CM189" s="278"/>
      <c r="CN189" s="278"/>
      <c r="CO189" s="278"/>
      <c r="CP189" s="278"/>
      <c r="CQ189" s="278"/>
      <c r="CR189" s="278"/>
      <c r="CS189" s="278"/>
      <c r="CT189" s="278"/>
      <c r="CU189" s="278"/>
      <c r="CV189" s="278"/>
      <c r="CW189" s="278"/>
      <c r="CX189" s="278"/>
      <c r="CY189" s="278"/>
      <c r="CZ189" s="278"/>
      <c r="DA189" s="278"/>
      <c r="DB189" s="278"/>
      <c r="DC189" s="278"/>
      <c r="DD189" s="278"/>
      <c r="DE189" s="278"/>
      <c r="DF189" s="278"/>
      <c r="DG189" s="278"/>
      <c r="DH189" s="278"/>
      <c r="DI189" s="278"/>
      <c r="DJ189" s="278"/>
      <c r="DK189" s="278"/>
      <c r="DL189" s="278"/>
    </row>
    <row r="190" spans="1:116" ht="15.75" customHeight="1" x14ac:dyDescent="0.25">
      <c r="A190" s="466"/>
      <c r="B190" s="466"/>
      <c r="C190" s="467"/>
      <c r="D190" s="279"/>
      <c r="E190" s="280"/>
      <c r="F190" s="280"/>
      <c r="G190" s="279"/>
      <c r="H190" s="409"/>
      <c r="I190" s="282"/>
      <c r="J190" s="282"/>
      <c r="K190" s="282"/>
      <c r="L190" s="282"/>
      <c r="M190" s="282"/>
      <c r="N190" s="282"/>
      <c r="O190" s="282"/>
      <c r="P190" s="282"/>
      <c r="Q190" s="282"/>
      <c r="R190" s="282"/>
      <c r="S190" s="282"/>
      <c r="T190" s="282"/>
      <c r="U190" s="282"/>
      <c r="V190" s="282"/>
      <c r="W190" s="282"/>
      <c r="X190" s="282"/>
      <c r="Y190" s="282"/>
      <c r="Z190" s="282"/>
      <c r="AA190" s="282"/>
      <c r="AB190" s="282"/>
      <c r="AC190" s="282"/>
      <c r="AD190" s="282"/>
      <c r="AE190" s="282"/>
      <c r="AF190" s="282"/>
      <c r="AG190" s="282"/>
      <c r="AH190" s="282"/>
      <c r="AI190" s="282"/>
      <c r="AJ190" s="282"/>
      <c r="AK190" s="282"/>
      <c r="AL190" s="282"/>
      <c r="AM190" s="282"/>
      <c r="AN190" s="282"/>
      <c r="AO190" s="282"/>
      <c r="AP190" s="282"/>
      <c r="AQ190" s="282"/>
      <c r="AR190" s="282"/>
      <c r="AS190" s="282"/>
      <c r="AT190" s="282"/>
      <c r="AU190" s="282"/>
      <c r="AV190" s="282"/>
      <c r="AW190" s="282"/>
      <c r="AX190" s="282"/>
      <c r="AY190" s="282"/>
      <c r="AZ190" s="282"/>
      <c r="BA190" s="282"/>
      <c r="BB190" s="282"/>
      <c r="BC190" s="282"/>
      <c r="BD190" s="282"/>
      <c r="BE190" s="282"/>
      <c r="BF190" s="282"/>
      <c r="BG190" s="282"/>
      <c r="BH190" s="282"/>
      <c r="BI190" s="282"/>
      <c r="BJ190" s="278"/>
      <c r="BK190" s="278"/>
      <c r="BL190" s="278"/>
      <c r="BM190" s="278"/>
      <c r="BN190" s="278"/>
      <c r="BO190" s="278"/>
      <c r="BP190" s="278"/>
      <c r="BQ190" s="278"/>
      <c r="BR190" s="278"/>
      <c r="BS190" s="278"/>
      <c r="BT190" s="278"/>
      <c r="BU190" s="278"/>
      <c r="BV190" s="278"/>
      <c r="BW190" s="278"/>
      <c r="BX190" s="278"/>
      <c r="BY190" s="278"/>
      <c r="BZ190" s="278"/>
      <c r="CA190" s="278"/>
      <c r="CB190" s="278"/>
      <c r="CC190" s="278"/>
      <c r="CD190" s="278"/>
      <c r="CE190" s="278"/>
      <c r="CF190" s="278"/>
      <c r="CG190" s="278"/>
      <c r="CH190" s="278"/>
      <c r="CI190" s="278"/>
      <c r="CJ190" s="278"/>
      <c r="CK190" s="278"/>
      <c r="CL190" s="278"/>
      <c r="CM190" s="278"/>
      <c r="CN190" s="278"/>
      <c r="CO190" s="278"/>
      <c r="CP190" s="278"/>
      <c r="CQ190" s="278"/>
      <c r="CR190" s="278"/>
      <c r="CS190" s="278"/>
      <c r="CT190" s="278"/>
      <c r="CU190" s="278"/>
      <c r="CV190" s="278"/>
      <c r="CW190" s="278"/>
      <c r="CX190" s="278"/>
      <c r="CY190" s="278"/>
      <c r="CZ190" s="278"/>
      <c r="DA190" s="278"/>
      <c r="DB190" s="278"/>
      <c r="DC190" s="278"/>
      <c r="DD190" s="278"/>
      <c r="DE190" s="278"/>
      <c r="DF190" s="278"/>
      <c r="DG190" s="278"/>
      <c r="DH190" s="278"/>
      <c r="DI190" s="278"/>
      <c r="DJ190" s="278"/>
      <c r="DK190" s="278"/>
      <c r="DL190" s="278"/>
    </row>
    <row r="191" spans="1:116" ht="15.75" customHeight="1" x14ac:dyDescent="0.25">
      <c r="A191" s="466"/>
      <c r="B191" s="466"/>
      <c r="C191" s="467"/>
      <c r="D191" s="279"/>
      <c r="E191" s="280"/>
      <c r="F191" s="280"/>
      <c r="G191" s="279"/>
      <c r="H191" s="409"/>
      <c r="I191" s="282"/>
      <c r="J191" s="282"/>
      <c r="K191" s="282"/>
      <c r="L191" s="282"/>
      <c r="M191" s="282"/>
      <c r="N191" s="282"/>
      <c r="O191" s="282"/>
      <c r="P191" s="282"/>
      <c r="Q191" s="282"/>
      <c r="R191" s="282"/>
      <c r="S191" s="282"/>
      <c r="T191" s="282"/>
      <c r="U191" s="282"/>
      <c r="V191" s="282"/>
      <c r="W191" s="282"/>
      <c r="X191" s="282"/>
      <c r="Y191" s="282"/>
      <c r="Z191" s="282"/>
      <c r="AA191" s="282"/>
      <c r="AB191" s="282"/>
      <c r="AC191" s="282"/>
      <c r="AD191" s="282"/>
      <c r="AE191" s="282"/>
      <c r="AF191" s="282"/>
      <c r="AG191" s="282"/>
      <c r="AH191" s="282"/>
      <c r="AI191" s="282"/>
      <c r="AJ191" s="282"/>
      <c r="AK191" s="282"/>
      <c r="AL191" s="282"/>
      <c r="AM191" s="282"/>
      <c r="AN191" s="282"/>
      <c r="AO191" s="282"/>
      <c r="AP191" s="282"/>
      <c r="AQ191" s="282"/>
      <c r="AR191" s="282"/>
      <c r="AS191" s="282"/>
      <c r="AT191" s="282"/>
      <c r="AU191" s="282"/>
      <c r="AV191" s="282"/>
      <c r="AW191" s="282"/>
      <c r="AX191" s="282"/>
      <c r="AY191" s="282"/>
      <c r="AZ191" s="282"/>
      <c r="BA191" s="282"/>
      <c r="BB191" s="282"/>
      <c r="BC191" s="282"/>
      <c r="BD191" s="282"/>
      <c r="BE191" s="282"/>
      <c r="BF191" s="282"/>
      <c r="BG191" s="282"/>
      <c r="BH191" s="282"/>
      <c r="BI191" s="282"/>
      <c r="BJ191" s="278"/>
      <c r="BK191" s="278"/>
      <c r="BL191" s="278"/>
      <c r="BM191" s="278"/>
      <c r="BN191" s="278"/>
      <c r="BO191" s="278"/>
      <c r="BP191" s="278"/>
      <c r="BQ191" s="278"/>
      <c r="BR191" s="278"/>
      <c r="BS191" s="278"/>
      <c r="BT191" s="278"/>
      <c r="BU191" s="278"/>
      <c r="BV191" s="278"/>
      <c r="BW191" s="278"/>
      <c r="BX191" s="278"/>
      <c r="BY191" s="278"/>
      <c r="BZ191" s="278"/>
      <c r="CA191" s="278"/>
      <c r="CB191" s="278"/>
      <c r="CC191" s="278"/>
      <c r="CD191" s="278"/>
      <c r="CE191" s="278"/>
      <c r="CF191" s="278"/>
      <c r="CG191" s="278"/>
      <c r="CH191" s="278"/>
      <c r="CI191" s="278"/>
      <c r="CJ191" s="278"/>
      <c r="CK191" s="278"/>
      <c r="CL191" s="278"/>
      <c r="CM191" s="278"/>
      <c r="CN191" s="278"/>
      <c r="CO191" s="278"/>
      <c r="CP191" s="278"/>
      <c r="CQ191" s="278"/>
      <c r="CR191" s="278"/>
      <c r="CS191" s="278"/>
      <c r="CT191" s="278"/>
      <c r="CU191" s="278"/>
      <c r="CV191" s="278"/>
      <c r="CW191" s="278"/>
      <c r="CX191" s="278"/>
      <c r="CY191" s="278"/>
      <c r="CZ191" s="278"/>
      <c r="DA191" s="278"/>
      <c r="DB191" s="278"/>
      <c r="DC191" s="278"/>
      <c r="DD191" s="278"/>
      <c r="DE191" s="278"/>
      <c r="DF191" s="278"/>
      <c r="DG191" s="278"/>
      <c r="DH191" s="278"/>
      <c r="DI191" s="278"/>
      <c r="DJ191" s="278"/>
      <c r="DK191" s="278"/>
      <c r="DL191" s="278"/>
    </row>
    <row r="192" spans="1:116" ht="15.75" customHeight="1" x14ac:dyDescent="0.25">
      <c r="A192" s="466"/>
      <c r="B192" s="466"/>
      <c r="C192" s="467"/>
      <c r="D192" s="279"/>
      <c r="E192" s="280"/>
      <c r="F192" s="280"/>
      <c r="G192" s="279"/>
      <c r="H192" s="409"/>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282"/>
      <c r="AE192" s="282"/>
      <c r="AF192" s="282"/>
      <c r="AG192" s="282"/>
      <c r="AH192" s="282"/>
      <c r="AI192" s="282"/>
      <c r="AJ192" s="282"/>
      <c r="AK192" s="282"/>
      <c r="AL192" s="282"/>
      <c r="AM192" s="282"/>
      <c r="AN192" s="282"/>
      <c r="AO192" s="282"/>
      <c r="AP192" s="282"/>
      <c r="AQ192" s="282"/>
      <c r="AR192" s="282"/>
      <c r="AS192" s="282"/>
      <c r="AT192" s="282"/>
      <c r="AU192" s="282"/>
      <c r="AV192" s="282"/>
      <c r="AW192" s="282"/>
      <c r="AX192" s="282"/>
      <c r="AY192" s="282"/>
      <c r="AZ192" s="282"/>
      <c r="BA192" s="282"/>
      <c r="BB192" s="282"/>
      <c r="BC192" s="282"/>
      <c r="BD192" s="282"/>
      <c r="BE192" s="282"/>
      <c r="BF192" s="282"/>
      <c r="BG192" s="282"/>
      <c r="BH192" s="282"/>
      <c r="BI192" s="282"/>
      <c r="BJ192" s="278"/>
      <c r="BK192" s="278"/>
      <c r="BL192" s="278"/>
      <c r="BM192" s="278"/>
      <c r="BN192" s="278"/>
      <c r="BO192" s="278"/>
      <c r="BP192" s="278"/>
      <c r="BQ192" s="278"/>
      <c r="BR192" s="278"/>
      <c r="BS192" s="278"/>
      <c r="BT192" s="278"/>
      <c r="BU192" s="278"/>
      <c r="BV192" s="278"/>
      <c r="BW192" s="278"/>
      <c r="BX192" s="278"/>
      <c r="BY192" s="278"/>
      <c r="BZ192" s="278"/>
      <c r="CA192" s="278"/>
      <c r="CB192" s="278"/>
      <c r="CC192" s="278"/>
      <c r="CD192" s="278"/>
      <c r="CE192" s="278"/>
      <c r="CF192" s="278"/>
      <c r="CG192" s="278"/>
      <c r="CH192" s="278"/>
      <c r="CI192" s="278"/>
      <c r="CJ192" s="278"/>
      <c r="CK192" s="278"/>
      <c r="CL192" s="278"/>
      <c r="CM192" s="278"/>
      <c r="CN192" s="278"/>
      <c r="CO192" s="278"/>
      <c r="CP192" s="278"/>
      <c r="CQ192" s="278"/>
      <c r="CR192" s="278"/>
      <c r="CS192" s="278"/>
      <c r="CT192" s="278"/>
      <c r="CU192" s="278"/>
      <c r="CV192" s="278"/>
      <c r="CW192" s="278"/>
      <c r="CX192" s="278"/>
      <c r="CY192" s="278"/>
      <c r="CZ192" s="278"/>
      <c r="DA192" s="278"/>
      <c r="DB192" s="278"/>
      <c r="DC192" s="278"/>
      <c r="DD192" s="278"/>
      <c r="DE192" s="278"/>
      <c r="DF192" s="278"/>
      <c r="DG192" s="278"/>
      <c r="DH192" s="278"/>
      <c r="DI192" s="278"/>
      <c r="DJ192" s="278"/>
      <c r="DK192" s="278"/>
      <c r="DL192" s="278"/>
    </row>
    <row r="193" spans="1:116" ht="15.75" customHeight="1" x14ac:dyDescent="0.25">
      <c r="A193" s="466"/>
      <c r="B193" s="466"/>
      <c r="C193" s="467"/>
      <c r="D193" s="279"/>
      <c r="E193" s="280"/>
      <c r="F193" s="280"/>
      <c r="G193" s="279"/>
      <c r="H193" s="409"/>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282"/>
      <c r="AE193" s="282"/>
      <c r="AF193" s="282"/>
      <c r="AG193" s="282"/>
      <c r="AH193" s="282"/>
      <c r="AI193" s="282"/>
      <c r="AJ193" s="282"/>
      <c r="AK193" s="282"/>
      <c r="AL193" s="282"/>
      <c r="AM193" s="282"/>
      <c r="AN193" s="282"/>
      <c r="AO193" s="282"/>
      <c r="AP193" s="282"/>
      <c r="AQ193" s="282"/>
      <c r="AR193" s="282"/>
      <c r="AS193" s="282"/>
      <c r="AT193" s="282"/>
      <c r="AU193" s="282"/>
      <c r="AV193" s="282"/>
      <c r="AW193" s="282"/>
      <c r="AX193" s="282"/>
      <c r="AY193" s="282"/>
      <c r="AZ193" s="282"/>
      <c r="BA193" s="282"/>
      <c r="BB193" s="282"/>
      <c r="BC193" s="282"/>
      <c r="BD193" s="282"/>
      <c r="BE193" s="282"/>
      <c r="BF193" s="282"/>
      <c r="BG193" s="282"/>
      <c r="BH193" s="282"/>
      <c r="BI193" s="282"/>
      <c r="BJ193" s="278"/>
      <c r="BK193" s="278"/>
      <c r="BL193" s="278"/>
      <c r="BM193" s="278"/>
      <c r="BN193" s="278"/>
      <c r="BO193" s="278"/>
      <c r="BP193" s="278"/>
      <c r="BQ193" s="278"/>
      <c r="BR193" s="278"/>
      <c r="BS193" s="278"/>
      <c r="BT193" s="278"/>
      <c r="BU193" s="278"/>
      <c r="BV193" s="278"/>
      <c r="BW193" s="278"/>
      <c r="BX193" s="278"/>
      <c r="BY193" s="278"/>
      <c r="BZ193" s="278"/>
      <c r="CA193" s="278"/>
      <c r="CB193" s="278"/>
      <c r="CC193" s="278"/>
      <c r="CD193" s="278"/>
      <c r="CE193" s="278"/>
      <c r="CF193" s="278"/>
      <c r="CG193" s="278"/>
      <c r="CH193" s="278"/>
      <c r="CI193" s="278"/>
      <c r="CJ193" s="278"/>
      <c r="CK193" s="278"/>
      <c r="CL193" s="278"/>
      <c r="CM193" s="278"/>
      <c r="CN193" s="278"/>
      <c r="CO193" s="278"/>
      <c r="CP193" s="278"/>
      <c r="CQ193" s="278"/>
      <c r="CR193" s="278"/>
      <c r="CS193" s="278"/>
      <c r="CT193" s="278"/>
      <c r="CU193" s="278"/>
      <c r="CV193" s="278"/>
      <c r="CW193" s="278"/>
      <c r="CX193" s="278"/>
      <c r="CY193" s="278"/>
      <c r="CZ193" s="278"/>
      <c r="DA193" s="278"/>
      <c r="DB193" s="278"/>
      <c r="DC193" s="278"/>
      <c r="DD193" s="278"/>
      <c r="DE193" s="278"/>
      <c r="DF193" s="278"/>
      <c r="DG193" s="278"/>
      <c r="DH193" s="278"/>
      <c r="DI193" s="278"/>
      <c r="DJ193" s="278"/>
      <c r="DK193" s="278"/>
      <c r="DL193" s="278"/>
    </row>
    <row r="194" spans="1:116" ht="15.75" customHeight="1" x14ac:dyDescent="0.25">
      <c r="A194" s="466"/>
      <c r="B194" s="466"/>
      <c r="C194" s="467"/>
      <c r="D194" s="279"/>
      <c r="E194" s="280"/>
      <c r="F194" s="280"/>
      <c r="G194" s="279"/>
      <c r="H194" s="409"/>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282"/>
      <c r="AE194" s="282"/>
      <c r="AF194" s="282"/>
      <c r="AG194" s="282"/>
      <c r="AH194" s="282"/>
      <c r="AI194" s="282"/>
      <c r="AJ194" s="282"/>
      <c r="AK194" s="282"/>
      <c r="AL194" s="282"/>
      <c r="AM194" s="282"/>
      <c r="AN194" s="282"/>
      <c r="AO194" s="282"/>
      <c r="AP194" s="282"/>
      <c r="AQ194" s="282"/>
      <c r="AR194" s="282"/>
      <c r="AS194" s="282"/>
      <c r="AT194" s="282"/>
      <c r="AU194" s="282"/>
      <c r="AV194" s="282"/>
      <c r="AW194" s="282"/>
      <c r="AX194" s="282"/>
      <c r="AY194" s="282"/>
      <c r="AZ194" s="282"/>
      <c r="BA194" s="282"/>
      <c r="BB194" s="282"/>
      <c r="BC194" s="282"/>
      <c r="BD194" s="282"/>
      <c r="BE194" s="282"/>
      <c r="BF194" s="282"/>
      <c r="BG194" s="282"/>
      <c r="BH194" s="282"/>
      <c r="BI194" s="282"/>
      <c r="BJ194" s="278"/>
      <c r="BK194" s="278"/>
      <c r="BL194" s="278"/>
      <c r="BM194" s="278"/>
      <c r="BN194" s="278"/>
      <c r="BO194" s="278"/>
      <c r="BP194" s="278"/>
      <c r="BQ194" s="278"/>
      <c r="BR194" s="278"/>
      <c r="BS194" s="278"/>
      <c r="BT194" s="278"/>
      <c r="BU194" s="278"/>
      <c r="BV194" s="278"/>
      <c r="BW194" s="278"/>
      <c r="BX194" s="278"/>
      <c r="BY194" s="278"/>
      <c r="BZ194" s="278"/>
      <c r="CA194" s="278"/>
      <c r="CB194" s="278"/>
      <c r="CC194" s="278"/>
      <c r="CD194" s="278"/>
      <c r="CE194" s="278"/>
      <c r="CF194" s="278"/>
      <c r="CG194" s="278"/>
      <c r="CH194" s="278"/>
      <c r="CI194" s="278"/>
      <c r="CJ194" s="278"/>
      <c r="CK194" s="278"/>
      <c r="CL194" s="278"/>
      <c r="CM194" s="278"/>
      <c r="CN194" s="278"/>
      <c r="CO194" s="278"/>
      <c r="CP194" s="278"/>
      <c r="CQ194" s="278"/>
      <c r="CR194" s="278"/>
      <c r="CS194" s="278"/>
      <c r="CT194" s="278"/>
      <c r="CU194" s="278"/>
      <c r="CV194" s="278"/>
      <c r="CW194" s="278"/>
      <c r="CX194" s="278"/>
      <c r="CY194" s="278"/>
      <c r="CZ194" s="278"/>
      <c r="DA194" s="278"/>
      <c r="DB194" s="278"/>
      <c r="DC194" s="278"/>
      <c r="DD194" s="278"/>
      <c r="DE194" s="278"/>
      <c r="DF194" s="278"/>
      <c r="DG194" s="278"/>
      <c r="DH194" s="278"/>
      <c r="DI194" s="278"/>
      <c r="DJ194" s="278"/>
      <c r="DK194" s="278"/>
      <c r="DL194" s="278"/>
    </row>
    <row r="195" spans="1:116" ht="15.75" customHeight="1" x14ac:dyDescent="0.25">
      <c r="A195" s="466"/>
      <c r="B195" s="466"/>
      <c r="C195" s="467"/>
      <c r="D195" s="279"/>
      <c r="E195" s="280"/>
      <c r="F195" s="280"/>
      <c r="G195" s="279"/>
      <c r="H195" s="409"/>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282"/>
      <c r="AE195" s="282"/>
      <c r="AF195" s="282"/>
      <c r="AG195" s="282"/>
      <c r="AH195" s="282"/>
      <c r="AI195" s="282"/>
      <c r="AJ195" s="282"/>
      <c r="AK195" s="282"/>
      <c r="AL195" s="282"/>
      <c r="AM195" s="282"/>
      <c r="AN195" s="282"/>
      <c r="AO195" s="282"/>
      <c r="AP195" s="282"/>
      <c r="AQ195" s="282"/>
      <c r="AR195" s="282"/>
      <c r="AS195" s="282"/>
      <c r="AT195" s="282"/>
      <c r="AU195" s="282"/>
      <c r="AV195" s="282"/>
      <c r="AW195" s="282"/>
      <c r="AX195" s="282"/>
      <c r="AY195" s="282"/>
      <c r="AZ195" s="282"/>
      <c r="BA195" s="282"/>
      <c r="BB195" s="282"/>
      <c r="BC195" s="282"/>
      <c r="BD195" s="282"/>
      <c r="BE195" s="282"/>
      <c r="BF195" s="282"/>
      <c r="BG195" s="282"/>
      <c r="BH195" s="282"/>
      <c r="BI195" s="282"/>
      <c r="BJ195" s="278"/>
      <c r="BK195" s="278"/>
      <c r="BL195" s="278"/>
      <c r="BM195" s="278"/>
      <c r="BN195" s="278"/>
      <c r="BO195" s="278"/>
      <c r="BP195" s="278"/>
      <c r="BQ195" s="278"/>
      <c r="BR195" s="278"/>
      <c r="BS195" s="278"/>
      <c r="BT195" s="278"/>
      <c r="BU195" s="278"/>
      <c r="BV195" s="278"/>
      <c r="BW195" s="278"/>
      <c r="BX195" s="278"/>
      <c r="BY195" s="278"/>
      <c r="BZ195" s="278"/>
      <c r="CA195" s="278"/>
      <c r="CB195" s="278"/>
      <c r="CC195" s="278"/>
      <c r="CD195" s="278"/>
      <c r="CE195" s="278"/>
      <c r="CF195" s="278"/>
      <c r="CG195" s="278"/>
      <c r="CH195" s="278"/>
      <c r="CI195" s="278"/>
      <c r="CJ195" s="278"/>
      <c r="CK195" s="278"/>
      <c r="CL195" s="278"/>
      <c r="CM195" s="278"/>
      <c r="CN195" s="278"/>
      <c r="CO195" s="278"/>
      <c r="CP195" s="278"/>
      <c r="CQ195" s="278"/>
      <c r="CR195" s="278"/>
      <c r="CS195" s="278"/>
      <c r="CT195" s="278"/>
      <c r="CU195" s="278"/>
      <c r="CV195" s="278"/>
      <c r="CW195" s="278"/>
      <c r="CX195" s="278"/>
      <c r="CY195" s="278"/>
      <c r="CZ195" s="278"/>
      <c r="DA195" s="278"/>
      <c r="DB195" s="278"/>
      <c r="DC195" s="278"/>
      <c r="DD195" s="278"/>
      <c r="DE195" s="278"/>
      <c r="DF195" s="278"/>
      <c r="DG195" s="278"/>
      <c r="DH195" s="278"/>
      <c r="DI195" s="278"/>
      <c r="DJ195" s="278"/>
      <c r="DK195" s="278"/>
      <c r="DL195" s="278"/>
    </row>
    <row r="196" spans="1:116" ht="15.75" customHeight="1" x14ac:dyDescent="0.25">
      <c r="A196" s="466"/>
      <c r="B196" s="466"/>
      <c r="C196" s="467"/>
      <c r="D196" s="279"/>
      <c r="E196" s="280"/>
      <c r="F196" s="280"/>
      <c r="G196" s="279"/>
      <c r="H196" s="409"/>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82"/>
      <c r="AE196" s="282"/>
      <c r="AF196" s="282"/>
      <c r="AG196" s="282"/>
      <c r="AH196" s="282"/>
      <c r="AI196" s="282"/>
      <c r="AJ196" s="282"/>
      <c r="AK196" s="282"/>
      <c r="AL196" s="282"/>
      <c r="AM196" s="282"/>
      <c r="AN196" s="282"/>
      <c r="AO196" s="282"/>
      <c r="AP196" s="282"/>
      <c r="AQ196" s="282"/>
      <c r="AR196" s="282"/>
      <c r="AS196" s="282"/>
      <c r="AT196" s="282"/>
      <c r="AU196" s="282"/>
      <c r="AV196" s="282"/>
      <c r="AW196" s="282"/>
      <c r="AX196" s="282"/>
      <c r="AY196" s="282"/>
      <c r="AZ196" s="282"/>
      <c r="BA196" s="282"/>
      <c r="BB196" s="282"/>
      <c r="BC196" s="282"/>
      <c r="BD196" s="282"/>
      <c r="BE196" s="282"/>
      <c r="BF196" s="282"/>
      <c r="BG196" s="282"/>
      <c r="BH196" s="282"/>
      <c r="BI196" s="282"/>
      <c r="BJ196" s="278"/>
      <c r="BK196" s="278"/>
      <c r="BL196" s="278"/>
      <c r="BM196" s="278"/>
      <c r="BN196" s="278"/>
      <c r="BO196" s="278"/>
      <c r="BP196" s="278"/>
      <c r="BQ196" s="278"/>
      <c r="BR196" s="278"/>
      <c r="BS196" s="278"/>
      <c r="BT196" s="278"/>
      <c r="BU196" s="278"/>
      <c r="BV196" s="278"/>
      <c r="BW196" s="278"/>
      <c r="BX196" s="278"/>
      <c r="BY196" s="278"/>
      <c r="BZ196" s="278"/>
      <c r="CA196" s="278"/>
      <c r="CB196" s="278"/>
      <c r="CC196" s="278"/>
      <c r="CD196" s="278"/>
      <c r="CE196" s="278"/>
      <c r="CF196" s="278"/>
      <c r="CG196" s="278"/>
      <c r="CH196" s="278"/>
      <c r="CI196" s="278"/>
      <c r="CJ196" s="278"/>
      <c r="CK196" s="278"/>
      <c r="CL196" s="278"/>
      <c r="CM196" s="278"/>
      <c r="CN196" s="278"/>
      <c r="CO196" s="278"/>
      <c r="CP196" s="278"/>
      <c r="CQ196" s="278"/>
      <c r="CR196" s="278"/>
      <c r="CS196" s="278"/>
      <c r="CT196" s="278"/>
      <c r="CU196" s="278"/>
      <c r="CV196" s="278"/>
      <c r="CW196" s="278"/>
      <c r="CX196" s="278"/>
      <c r="CY196" s="278"/>
      <c r="CZ196" s="278"/>
      <c r="DA196" s="278"/>
      <c r="DB196" s="278"/>
      <c r="DC196" s="278"/>
      <c r="DD196" s="278"/>
      <c r="DE196" s="278"/>
      <c r="DF196" s="278"/>
      <c r="DG196" s="278"/>
      <c r="DH196" s="278"/>
      <c r="DI196" s="278"/>
      <c r="DJ196" s="278"/>
      <c r="DK196" s="278"/>
      <c r="DL196" s="278"/>
    </row>
    <row r="197" spans="1:116" ht="15.75" customHeight="1" x14ac:dyDescent="0.25">
      <c r="A197" s="466"/>
      <c r="B197" s="466"/>
      <c r="C197" s="467"/>
      <c r="D197" s="279"/>
      <c r="E197" s="280"/>
      <c r="F197" s="280"/>
      <c r="G197" s="279"/>
      <c r="H197" s="409"/>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282"/>
      <c r="AI197" s="282"/>
      <c r="AJ197" s="282"/>
      <c r="AK197" s="282"/>
      <c r="AL197" s="282"/>
      <c r="AM197" s="282"/>
      <c r="AN197" s="282"/>
      <c r="AO197" s="282"/>
      <c r="AP197" s="282"/>
      <c r="AQ197" s="282"/>
      <c r="AR197" s="282"/>
      <c r="AS197" s="282"/>
      <c r="AT197" s="282"/>
      <c r="AU197" s="282"/>
      <c r="AV197" s="282"/>
      <c r="AW197" s="282"/>
      <c r="AX197" s="282"/>
      <c r="AY197" s="282"/>
      <c r="AZ197" s="282"/>
      <c r="BA197" s="282"/>
      <c r="BB197" s="282"/>
      <c r="BC197" s="282"/>
      <c r="BD197" s="282"/>
      <c r="BE197" s="282"/>
      <c r="BF197" s="282"/>
      <c r="BG197" s="282"/>
      <c r="BH197" s="282"/>
      <c r="BI197" s="282"/>
      <c r="BJ197" s="278"/>
      <c r="BK197" s="278"/>
      <c r="BL197" s="278"/>
      <c r="BM197" s="278"/>
      <c r="BN197" s="278"/>
      <c r="BO197" s="278"/>
      <c r="BP197" s="278"/>
      <c r="BQ197" s="278"/>
      <c r="BR197" s="278"/>
      <c r="BS197" s="278"/>
      <c r="BT197" s="278"/>
      <c r="BU197" s="278"/>
      <c r="BV197" s="278"/>
      <c r="BW197" s="278"/>
      <c r="BX197" s="278"/>
      <c r="BY197" s="278"/>
      <c r="BZ197" s="278"/>
      <c r="CA197" s="278"/>
      <c r="CB197" s="278"/>
      <c r="CC197" s="278"/>
      <c r="CD197" s="278"/>
      <c r="CE197" s="278"/>
      <c r="CF197" s="278"/>
      <c r="CG197" s="278"/>
      <c r="CH197" s="278"/>
      <c r="CI197" s="278"/>
      <c r="CJ197" s="278"/>
      <c r="CK197" s="278"/>
      <c r="CL197" s="278"/>
      <c r="CM197" s="278"/>
      <c r="CN197" s="278"/>
      <c r="CO197" s="278"/>
      <c r="CP197" s="278"/>
      <c r="CQ197" s="278"/>
      <c r="CR197" s="278"/>
      <c r="CS197" s="278"/>
      <c r="CT197" s="278"/>
      <c r="CU197" s="278"/>
      <c r="CV197" s="278"/>
      <c r="CW197" s="278"/>
      <c r="CX197" s="278"/>
      <c r="CY197" s="278"/>
      <c r="CZ197" s="278"/>
      <c r="DA197" s="278"/>
      <c r="DB197" s="278"/>
      <c r="DC197" s="278"/>
      <c r="DD197" s="278"/>
      <c r="DE197" s="278"/>
      <c r="DF197" s="278"/>
      <c r="DG197" s="278"/>
      <c r="DH197" s="278"/>
      <c r="DI197" s="278"/>
      <c r="DJ197" s="278"/>
      <c r="DK197" s="278"/>
      <c r="DL197" s="278"/>
    </row>
    <row r="198" spans="1:116" ht="15.75" customHeight="1" x14ac:dyDescent="0.25">
      <c r="A198" s="466"/>
      <c r="B198" s="466"/>
      <c r="C198" s="467"/>
      <c r="D198" s="279"/>
      <c r="E198" s="280"/>
      <c r="F198" s="280"/>
      <c r="G198" s="279"/>
      <c r="H198" s="409"/>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282"/>
      <c r="AF198" s="282"/>
      <c r="AG198" s="282"/>
      <c r="AH198" s="282"/>
      <c r="AI198" s="282"/>
      <c r="AJ198" s="282"/>
      <c r="AK198" s="282"/>
      <c r="AL198" s="282"/>
      <c r="AM198" s="282"/>
      <c r="AN198" s="282"/>
      <c r="AO198" s="282"/>
      <c r="AP198" s="282"/>
      <c r="AQ198" s="282"/>
      <c r="AR198" s="282"/>
      <c r="AS198" s="282"/>
      <c r="AT198" s="282"/>
      <c r="AU198" s="282"/>
      <c r="AV198" s="282"/>
      <c r="AW198" s="282"/>
      <c r="AX198" s="282"/>
      <c r="AY198" s="282"/>
      <c r="AZ198" s="282"/>
      <c r="BA198" s="282"/>
      <c r="BB198" s="282"/>
      <c r="BC198" s="282"/>
      <c r="BD198" s="282"/>
      <c r="BE198" s="282"/>
      <c r="BF198" s="282"/>
      <c r="BG198" s="282"/>
      <c r="BH198" s="282"/>
      <c r="BI198" s="282"/>
      <c r="BJ198" s="278"/>
      <c r="BK198" s="278"/>
      <c r="BL198" s="278"/>
      <c r="BM198" s="278"/>
      <c r="BN198" s="278"/>
      <c r="BO198" s="278"/>
      <c r="BP198" s="278"/>
      <c r="BQ198" s="278"/>
      <c r="BR198" s="278"/>
      <c r="BS198" s="278"/>
      <c r="BT198" s="278"/>
      <c r="BU198" s="278"/>
      <c r="BV198" s="278"/>
      <c r="BW198" s="278"/>
      <c r="BX198" s="278"/>
      <c r="BY198" s="278"/>
      <c r="BZ198" s="278"/>
      <c r="CA198" s="278"/>
      <c r="CB198" s="278"/>
      <c r="CC198" s="278"/>
      <c r="CD198" s="278"/>
      <c r="CE198" s="278"/>
      <c r="CF198" s="278"/>
      <c r="CG198" s="278"/>
      <c r="CH198" s="278"/>
      <c r="CI198" s="278"/>
      <c r="CJ198" s="278"/>
      <c r="CK198" s="278"/>
      <c r="CL198" s="278"/>
      <c r="CM198" s="278"/>
      <c r="CN198" s="278"/>
      <c r="CO198" s="278"/>
      <c r="CP198" s="278"/>
      <c r="CQ198" s="278"/>
      <c r="CR198" s="278"/>
      <c r="CS198" s="278"/>
      <c r="CT198" s="278"/>
      <c r="CU198" s="278"/>
      <c r="CV198" s="278"/>
      <c r="CW198" s="278"/>
      <c r="CX198" s="278"/>
      <c r="CY198" s="278"/>
      <c r="CZ198" s="278"/>
      <c r="DA198" s="278"/>
      <c r="DB198" s="278"/>
      <c r="DC198" s="278"/>
      <c r="DD198" s="278"/>
      <c r="DE198" s="278"/>
      <c r="DF198" s="278"/>
      <c r="DG198" s="278"/>
      <c r="DH198" s="278"/>
      <c r="DI198" s="278"/>
      <c r="DJ198" s="278"/>
      <c r="DK198" s="278"/>
      <c r="DL198" s="278"/>
    </row>
    <row r="199" spans="1:116" ht="15.75" customHeight="1" x14ac:dyDescent="0.25">
      <c r="A199" s="466"/>
      <c r="B199" s="466"/>
      <c r="C199" s="467"/>
      <c r="D199" s="279"/>
      <c r="E199" s="280"/>
      <c r="F199" s="280"/>
      <c r="G199" s="279"/>
      <c r="H199" s="409"/>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282"/>
      <c r="AI199" s="282"/>
      <c r="AJ199" s="282"/>
      <c r="AK199" s="282"/>
      <c r="AL199" s="282"/>
      <c r="AM199" s="282"/>
      <c r="AN199" s="282"/>
      <c r="AO199" s="282"/>
      <c r="AP199" s="282"/>
      <c r="AQ199" s="282"/>
      <c r="AR199" s="282"/>
      <c r="AS199" s="282"/>
      <c r="AT199" s="282"/>
      <c r="AU199" s="282"/>
      <c r="AV199" s="282"/>
      <c r="AW199" s="282"/>
      <c r="AX199" s="282"/>
      <c r="AY199" s="282"/>
      <c r="AZ199" s="282"/>
      <c r="BA199" s="282"/>
      <c r="BB199" s="282"/>
      <c r="BC199" s="282"/>
      <c r="BD199" s="282"/>
      <c r="BE199" s="282"/>
      <c r="BF199" s="282"/>
      <c r="BG199" s="282"/>
      <c r="BH199" s="282"/>
      <c r="BI199" s="282"/>
      <c r="BJ199" s="278"/>
      <c r="BK199" s="278"/>
      <c r="BL199" s="278"/>
      <c r="BM199" s="278"/>
      <c r="BN199" s="278"/>
      <c r="BO199" s="278"/>
      <c r="BP199" s="278"/>
      <c r="BQ199" s="278"/>
      <c r="BR199" s="278"/>
      <c r="BS199" s="278"/>
      <c r="BT199" s="278"/>
      <c r="BU199" s="278"/>
      <c r="BV199" s="278"/>
      <c r="BW199" s="278"/>
      <c r="BX199" s="278"/>
      <c r="BY199" s="278"/>
      <c r="BZ199" s="278"/>
      <c r="CA199" s="278"/>
      <c r="CB199" s="278"/>
      <c r="CC199" s="278"/>
      <c r="CD199" s="278"/>
      <c r="CE199" s="278"/>
      <c r="CF199" s="278"/>
      <c r="CG199" s="278"/>
      <c r="CH199" s="278"/>
      <c r="CI199" s="278"/>
      <c r="CJ199" s="278"/>
      <c r="CK199" s="278"/>
      <c r="CL199" s="278"/>
      <c r="CM199" s="278"/>
      <c r="CN199" s="278"/>
      <c r="CO199" s="278"/>
      <c r="CP199" s="278"/>
      <c r="CQ199" s="278"/>
      <c r="CR199" s="278"/>
      <c r="CS199" s="278"/>
      <c r="CT199" s="278"/>
      <c r="CU199" s="278"/>
      <c r="CV199" s="278"/>
      <c r="CW199" s="278"/>
      <c r="CX199" s="278"/>
      <c r="CY199" s="278"/>
      <c r="CZ199" s="278"/>
      <c r="DA199" s="278"/>
      <c r="DB199" s="278"/>
      <c r="DC199" s="278"/>
      <c r="DD199" s="278"/>
      <c r="DE199" s="278"/>
      <c r="DF199" s="278"/>
      <c r="DG199" s="278"/>
      <c r="DH199" s="278"/>
      <c r="DI199" s="278"/>
      <c r="DJ199" s="278"/>
      <c r="DK199" s="278"/>
      <c r="DL199" s="278"/>
    </row>
    <row r="200" spans="1:116" ht="15.75" customHeight="1" x14ac:dyDescent="0.25">
      <c r="A200" s="466"/>
      <c r="B200" s="466"/>
      <c r="C200" s="467"/>
      <c r="D200" s="279"/>
      <c r="E200" s="280"/>
      <c r="F200" s="280"/>
      <c r="G200" s="279"/>
      <c r="H200" s="409"/>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282"/>
      <c r="AE200" s="282"/>
      <c r="AF200" s="282"/>
      <c r="AG200" s="282"/>
      <c r="AH200" s="282"/>
      <c r="AI200" s="282"/>
      <c r="AJ200" s="282"/>
      <c r="AK200" s="282"/>
      <c r="AL200" s="282"/>
      <c r="AM200" s="282"/>
      <c r="AN200" s="282"/>
      <c r="AO200" s="282"/>
      <c r="AP200" s="282"/>
      <c r="AQ200" s="282"/>
      <c r="AR200" s="282"/>
      <c r="AS200" s="282"/>
      <c r="AT200" s="282"/>
      <c r="AU200" s="282"/>
      <c r="AV200" s="282"/>
      <c r="AW200" s="282"/>
      <c r="AX200" s="282"/>
      <c r="AY200" s="282"/>
      <c r="AZ200" s="282"/>
      <c r="BA200" s="282"/>
      <c r="BB200" s="282"/>
      <c r="BC200" s="282"/>
      <c r="BD200" s="282"/>
      <c r="BE200" s="282"/>
      <c r="BF200" s="282"/>
      <c r="BG200" s="282"/>
      <c r="BH200" s="282"/>
      <c r="BI200" s="282"/>
      <c r="BJ200" s="278"/>
      <c r="BK200" s="278"/>
      <c r="BL200" s="278"/>
      <c r="BM200" s="278"/>
      <c r="BN200" s="278"/>
      <c r="BO200" s="278"/>
      <c r="BP200" s="278"/>
      <c r="BQ200" s="278"/>
      <c r="BR200" s="278"/>
      <c r="BS200" s="278"/>
      <c r="BT200" s="278"/>
      <c r="BU200" s="278"/>
      <c r="BV200" s="278"/>
      <c r="BW200" s="278"/>
      <c r="BX200" s="278"/>
      <c r="BY200" s="278"/>
      <c r="BZ200" s="278"/>
      <c r="CA200" s="278"/>
      <c r="CB200" s="278"/>
      <c r="CC200" s="278"/>
      <c r="CD200" s="278"/>
      <c r="CE200" s="278"/>
      <c r="CF200" s="278"/>
      <c r="CG200" s="278"/>
      <c r="CH200" s="278"/>
      <c r="CI200" s="278"/>
      <c r="CJ200" s="278"/>
      <c r="CK200" s="278"/>
      <c r="CL200" s="278"/>
      <c r="CM200" s="278"/>
      <c r="CN200" s="278"/>
      <c r="CO200" s="278"/>
      <c r="CP200" s="278"/>
      <c r="CQ200" s="278"/>
      <c r="CR200" s="278"/>
      <c r="CS200" s="278"/>
      <c r="CT200" s="278"/>
      <c r="CU200" s="278"/>
      <c r="CV200" s="278"/>
      <c r="CW200" s="278"/>
      <c r="CX200" s="278"/>
      <c r="CY200" s="278"/>
      <c r="CZ200" s="278"/>
      <c r="DA200" s="278"/>
      <c r="DB200" s="278"/>
      <c r="DC200" s="278"/>
      <c r="DD200" s="278"/>
      <c r="DE200" s="278"/>
      <c r="DF200" s="278"/>
      <c r="DG200" s="278"/>
      <c r="DH200" s="278"/>
      <c r="DI200" s="278"/>
      <c r="DJ200" s="278"/>
      <c r="DK200" s="278"/>
      <c r="DL200" s="278"/>
    </row>
    <row r="201" spans="1:116" ht="15.75" customHeight="1" x14ac:dyDescent="0.25">
      <c r="A201" s="466"/>
      <c r="B201" s="466"/>
      <c r="C201" s="467"/>
      <c r="D201" s="279"/>
      <c r="E201" s="280"/>
      <c r="F201" s="280"/>
      <c r="G201" s="279"/>
      <c r="H201" s="409"/>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282"/>
      <c r="AE201" s="282"/>
      <c r="AF201" s="282"/>
      <c r="AG201" s="282"/>
      <c r="AH201" s="282"/>
      <c r="AI201" s="282"/>
      <c r="AJ201" s="282"/>
      <c r="AK201" s="282"/>
      <c r="AL201" s="282"/>
      <c r="AM201" s="282"/>
      <c r="AN201" s="282"/>
      <c r="AO201" s="282"/>
      <c r="AP201" s="282"/>
      <c r="AQ201" s="282"/>
      <c r="AR201" s="282"/>
      <c r="AS201" s="282"/>
      <c r="AT201" s="282"/>
      <c r="AU201" s="282"/>
      <c r="AV201" s="282"/>
      <c r="AW201" s="282"/>
      <c r="AX201" s="282"/>
      <c r="AY201" s="282"/>
      <c r="AZ201" s="282"/>
      <c r="BA201" s="282"/>
      <c r="BB201" s="282"/>
      <c r="BC201" s="282"/>
      <c r="BD201" s="282"/>
      <c r="BE201" s="282"/>
      <c r="BF201" s="282"/>
      <c r="BG201" s="282"/>
      <c r="BH201" s="282"/>
      <c r="BI201" s="282"/>
      <c r="BJ201" s="278"/>
      <c r="BK201" s="278"/>
      <c r="BL201" s="278"/>
      <c r="BM201" s="278"/>
      <c r="BN201" s="278"/>
      <c r="BO201" s="278"/>
      <c r="BP201" s="278"/>
      <c r="BQ201" s="278"/>
      <c r="BR201" s="278"/>
      <c r="BS201" s="278"/>
      <c r="BT201" s="278"/>
      <c r="BU201" s="278"/>
      <c r="BV201" s="278"/>
      <c r="BW201" s="278"/>
      <c r="BX201" s="278"/>
      <c r="BY201" s="278"/>
      <c r="BZ201" s="278"/>
      <c r="CA201" s="278"/>
      <c r="CB201" s="278"/>
      <c r="CC201" s="278"/>
      <c r="CD201" s="278"/>
      <c r="CE201" s="278"/>
      <c r="CF201" s="278"/>
      <c r="CG201" s="278"/>
      <c r="CH201" s="278"/>
      <c r="CI201" s="278"/>
      <c r="CJ201" s="278"/>
      <c r="CK201" s="278"/>
      <c r="CL201" s="278"/>
      <c r="CM201" s="278"/>
      <c r="CN201" s="278"/>
      <c r="CO201" s="278"/>
      <c r="CP201" s="278"/>
      <c r="CQ201" s="278"/>
      <c r="CR201" s="278"/>
      <c r="CS201" s="278"/>
      <c r="CT201" s="278"/>
      <c r="CU201" s="278"/>
      <c r="CV201" s="278"/>
      <c r="CW201" s="278"/>
      <c r="CX201" s="278"/>
      <c r="CY201" s="278"/>
      <c r="CZ201" s="278"/>
      <c r="DA201" s="278"/>
      <c r="DB201" s="278"/>
      <c r="DC201" s="278"/>
      <c r="DD201" s="278"/>
      <c r="DE201" s="278"/>
      <c r="DF201" s="278"/>
      <c r="DG201" s="278"/>
      <c r="DH201" s="278"/>
      <c r="DI201" s="278"/>
      <c r="DJ201" s="278"/>
      <c r="DK201" s="278"/>
      <c r="DL201" s="278"/>
    </row>
    <row r="202" spans="1:116" ht="15.75" customHeight="1" x14ac:dyDescent="0.25">
      <c r="A202" s="466"/>
      <c r="B202" s="466"/>
      <c r="C202" s="467"/>
      <c r="D202" s="279"/>
      <c r="E202" s="280"/>
      <c r="F202" s="280"/>
      <c r="G202" s="279"/>
      <c r="H202" s="409"/>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282"/>
      <c r="AE202" s="282"/>
      <c r="AF202" s="282"/>
      <c r="AG202" s="282"/>
      <c r="AH202" s="282"/>
      <c r="AI202" s="282"/>
      <c r="AJ202" s="282"/>
      <c r="AK202" s="282"/>
      <c r="AL202" s="282"/>
      <c r="AM202" s="282"/>
      <c r="AN202" s="282"/>
      <c r="AO202" s="282"/>
      <c r="AP202" s="282"/>
      <c r="AQ202" s="282"/>
      <c r="AR202" s="282"/>
      <c r="AS202" s="282"/>
      <c r="AT202" s="282"/>
      <c r="AU202" s="282"/>
      <c r="AV202" s="282"/>
      <c r="AW202" s="282"/>
      <c r="AX202" s="282"/>
      <c r="AY202" s="282"/>
      <c r="AZ202" s="282"/>
      <c r="BA202" s="282"/>
      <c r="BB202" s="282"/>
      <c r="BC202" s="282"/>
      <c r="BD202" s="282"/>
      <c r="BE202" s="282"/>
      <c r="BF202" s="282"/>
      <c r="BG202" s="282"/>
      <c r="BH202" s="282"/>
      <c r="BI202" s="282"/>
      <c r="BJ202" s="278"/>
      <c r="BK202" s="278"/>
      <c r="BL202" s="278"/>
      <c r="BM202" s="278"/>
      <c r="BN202" s="278"/>
      <c r="BO202" s="278"/>
      <c r="BP202" s="278"/>
      <c r="BQ202" s="278"/>
      <c r="BR202" s="278"/>
      <c r="BS202" s="278"/>
      <c r="BT202" s="278"/>
      <c r="BU202" s="278"/>
      <c r="BV202" s="278"/>
      <c r="BW202" s="278"/>
      <c r="BX202" s="278"/>
      <c r="BY202" s="278"/>
      <c r="BZ202" s="278"/>
      <c r="CA202" s="278"/>
      <c r="CB202" s="278"/>
      <c r="CC202" s="278"/>
      <c r="CD202" s="278"/>
      <c r="CE202" s="278"/>
      <c r="CF202" s="278"/>
      <c r="CG202" s="278"/>
      <c r="CH202" s="278"/>
      <c r="CI202" s="278"/>
      <c r="CJ202" s="278"/>
      <c r="CK202" s="278"/>
      <c r="CL202" s="278"/>
      <c r="CM202" s="278"/>
      <c r="CN202" s="278"/>
      <c r="CO202" s="278"/>
      <c r="CP202" s="278"/>
      <c r="CQ202" s="278"/>
      <c r="CR202" s="278"/>
      <c r="CS202" s="278"/>
      <c r="CT202" s="278"/>
      <c r="CU202" s="278"/>
      <c r="CV202" s="278"/>
      <c r="CW202" s="278"/>
      <c r="CX202" s="278"/>
      <c r="CY202" s="278"/>
      <c r="CZ202" s="278"/>
      <c r="DA202" s="278"/>
      <c r="DB202" s="278"/>
      <c r="DC202" s="278"/>
      <c r="DD202" s="278"/>
      <c r="DE202" s="278"/>
      <c r="DF202" s="278"/>
      <c r="DG202" s="278"/>
      <c r="DH202" s="278"/>
      <c r="DI202" s="278"/>
      <c r="DJ202" s="278"/>
      <c r="DK202" s="278"/>
      <c r="DL202" s="278"/>
    </row>
    <row r="203" spans="1:116" ht="15.75" customHeight="1" x14ac:dyDescent="0.25">
      <c r="A203" s="466"/>
      <c r="B203" s="466"/>
      <c r="C203" s="467"/>
      <c r="D203" s="279"/>
      <c r="E203" s="280"/>
      <c r="F203" s="280"/>
      <c r="G203" s="279"/>
      <c r="H203" s="409"/>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282"/>
      <c r="AE203" s="282"/>
      <c r="AF203" s="282"/>
      <c r="AG203" s="282"/>
      <c r="AH203" s="282"/>
      <c r="AI203" s="282"/>
      <c r="AJ203" s="282"/>
      <c r="AK203" s="282"/>
      <c r="AL203" s="282"/>
      <c r="AM203" s="282"/>
      <c r="AN203" s="282"/>
      <c r="AO203" s="282"/>
      <c r="AP203" s="282"/>
      <c r="AQ203" s="282"/>
      <c r="AR203" s="282"/>
      <c r="AS203" s="282"/>
      <c r="AT203" s="282"/>
      <c r="AU203" s="282"/>
      <c r="AV203" s="282"/>
      <c r="AW203" s="282"/>
      <c r="AX203" s="282"/>
      <c r="AY203" s="282"/>
      <c r="AZ203" s="282"/>
      <c r="BA203" s="282"/>
      <c r="BB203" s="282"/>
      <c r="BC203" s="282"/>
      <c r="BD203" s="282"/>
      <c r="BE203" s="282"/>
      <c r="BF203" s="282"/>
      <c r="BG203" s="282"/>
      <c r="BH203" s="282"/>
      <c r="BI203" s="282"/>
      <c r="BJ203" s="278"/>
      <c r="BK203" s="278"/>
      <c r="BL203" s="278"/>
      <c r="BM203" s="278"/>
      <c r="BN203" s="278"/>
      <c r="BO203" s="278"/>
      <c r="BP203" s="278"/>
      <c r="BQ203" s="278"/>
      <c r="BR203" s="278"/>
      <c r="BS203" s="278"/>
      <c r="BT203" s="278"/>
      <c r="BU203" s="278"/>
      <c r="BV203" s="278"/>
      <c r="BW203" s="278"/>
      <c r="BX203" s="278"/>
      <c r="BY203" s="278"/>
      <c r="BZ203" s="278"/>
      <c r="CA203" s="278"/>
      <c r="CB203" s="278"/>
      <c r="CC203" s="278"/>
      <c r="CD203" s="278"/>
      <c r="CE203" s="278"/>
      <c r="CF203" s="278"/>
      <c r="CG203" s="278"/>
      <c r="CH203" s="278"/>
      <c r="CI203" s="278"/>
      <c r="CJ203" s="278"/>
      <c r="CK203" s="278"/>
      <c r="CL203" s="278"/>
      <c r="CM203" s="278"/>
      <c r="CN203" s="278"/>
      <c r="CO203" s="278"/>
      <c r="CP203" s="278"/>
      <c r="CQ203" s="278"/>
      <c r="CR203" s="278"/>
      <c r="CS203" s="278"/>
      <c r="CT203" s="278"/>
      <c r="CU203" s="278"/>
      <c r="CV203" s="278"/>
      <c r="CW203" s="278"/>
      <c r="CX203" s="278"/>
      <c r="CY203" s="278"/>
      <c r="CZ203" s="278"/>
      <c r="DA203" s="278"/>
      <c r="DB203" s="278"/>
      <c r="DC203" s="278"/>
      <c r="DD203" s="278"/>
      <c r="DE203" s="278"/>
      <c r="DF203" s="278"/>
      <c r="DG203" s="278"/>
      <c r="DH203" s="278"/>
      <c r="DI203" s="278"/>
      <c r="DJ203" s="278"/>
      <c r="DK203" s="278"/>
      <c r="DL203" s="278"/>
    </row>
    <row r="204" spans="1:116" ht="15.75" customHeight="1" x14ac:dyDescent="0.25">
      <c r="A204" s="466"/>
      <c r="B204" s="466"/>
      <c r="C204" s="467"/>
      <c r="D204" s="279"/>
      <c r="E204" s="280"/>
      <c r="F204" s="280"/>
      <c r="G204" s="279"/>
      <c r="H204" s="409"/>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282"/>
      <c r="AE204" s="282"/>
      <c r="AF204" s="282"/>
      <c r="AG204" s="282"/>
      <c r="AH204" s="282"/>
      <c r="AI204" s="282"/>
      <c r="AJ204" s="282"/>
      <c r="AK204" s="282"/>
      <c r="AL204" s="282"/>
      <c r="AM204" s="282"/>
      <c r="AN204" s="282"/>
      <c r="AO204" s="282"/>
      <c r="AP204" s="282"/>
      <c r="AQ204" s="282"/>
      <c r="AR204" s="282"/>
      <c r="AS204" s="282"/>
      <c r="AT204" s="282"/>
      <c r="AU204" s="282"/>
      <c r="AV204" s="282"/>
      <c r="AW204" s="282"/>
      <c r="AX204" s="282"/>
      <c r="AY204" s="282"/>
      <c r="AZ204" s="282"/>
      <c r="BA204" s="282"/>
      <c r="BB204" s="282"/>
      <c r="BC204" s="282"/>
      <c r="BD204" s="282"/>
      <c r="BE204" s="282"/>
      <c r="BF204" s="282"/>
      <c r="BG204" s="282"/>
      <c r="BH204" s="282"/>
      <c r="BI204" s="282"/>
      <c r="BJ204" s="278"/>
      <c r="BK204" s="278"/>
      <c r="BL204" s="278"/>
      <c r="BM204" s="278"/>
      <c r="BN204" s="278"/>
      <c r="BO204" s="278"/>
      <c r="BP204" s="278"/>
      <c r="BQ204" s="278"/>
      <c r="BR204" s="278"/>
      <c r="BS204" s="278"/>
      <c r="BT204" s="278"/>
      <c r="BU204" s="278"/>
      <c r="BV204" s="278"/>
      <c r="BW204" s="278"/>
      <c r="BX204" s="278"/>
      <c r="BY204" s="278"/>
      <c r="BZ204" s="278"/>
      <c r="CA204" s="278"/>
      <c r="CB204" s="278"/>
      <c r="CC204" s="278"/>
      <c r="CD204" s="278"/>
      <c r="CE204" s="278"/>
      <c r="CF204" s="278"/>
      <c r="CG204" s="278"/>
      <c r="CH204" s="278"/>
      <c r="CI204" s="278"/>
      <c r="CJ204" s="278"/>
      <c r="CK204" s="278"/>
      <c r="CL204" s="278"/>
      <c r="CM204" s="278"/>
      <c r="CN204" s="278"/>
      <c r="CO204" s="278"/>
      <c r="CP204" s="278"/>
      <c r="CQ204" s="278"/>
      <c r="CR204" s="278"/>
      <c r="CS204" s="278"/>
      <c r="CT204" s="278"/>
      <c r="CU204" s="278"/>
      <c r="CV204" s="278"/>
      <c r="CW204" s="278"/>
      <c r="CX204" s="278"/>
      <c r="CY204" s="278"/>
      <c r="CZ204" s="278"/>
      <c r="DA204" s="278"/>
      <c r="DB204" s="278"/>
      <c r="DC204" s="278"/>
      <c r="DD204" s="278"/>
      <c r="DE204" s="278"/>
      <c r="DF204" s="278"/>
      <c r="DG204" s="278"/>
      <c r="DH204" s="278"/>
      <c r="DI204" s="278"/>
      <c r="DJ204" s="278"/>
      <c r="DK204" s="278"/>
      <c r="DL204" s="278"/>
    </row>
    <row r="205" spans="1:116" ht="15.75" customHeight="1" x14ac:dyDescent="0.25">
      <c r="A205" s="466"/>
      <c r="B205" s="466"/>
      <c r="C205" s="467"/>
      <c r="D205" s="279"/>
      <c r="E205" s="280"/>
      <c r="F205" s="280"/>
      <c r="G205" s="279"/>
      <c r="H205" s="409"/>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282"/>
      <c r="AE205" s="282"/>
      <c r="AF205" s="282"/>
      <c r="AG205" s="282"/>
      <c r="AH205" s="282"/>
      <c r="AI205" s="282"/>
      <c r="AJ205" s="282"/>
      <c r="AK205" s="282"/>
      <c r="AL205" s="282"/>
      <c r="AM205" s="282"/>
      <c r="AN205" s="282"/>
      <c r="AO205" s="282"/>
      <c r="AP205" s="282"/>
      <c r="AQ205" s="282"/>
      <c r="AR205" s="282"/>
      <c r="AS205" s="282"/>
      <c r="AT205" s="282"/>
      <c r="AU205" s="282"/>
      <c r="AV205" s="282"/>
      <c r="AW205" s="282"/>
      <c r="AX205" s="282"/>
      <c r="AY205" s="282"/>
      <c r="AZ205" s="282"/>
      <c r="BA205" s="282"/>
      <c r="BB205" s="282"/>
      <c r="BC205" s="282"/>
      <c r="BD205" s="282"/>
      <c r="BE205" s="282"/>
      <c r="BF205" s="282"/>
      <c r="BG205" s="282"/>
      <c r="BH205" s="282"/>
      <c r="BI205" s="282"/>
      <c r="BJ205" s="278"/>
      <c r="BK205" s="278"/>
      <c r="BL205" s="278"/>
      <c r="BM205" s="278"/>
      <c r="BN205" s="278"/>
      <c r="BO205" s="278"/>
      <c r="BP205" s="278"/>
      <c r="BQ205" s="278"/>
      <c r="BR205" s="278"/>
      <c r="BS205" s="278"/>
      <c r="BT205" s="278"/>
      <c r="BU205" s="278"/>
      <c r="BV205" s="278"/>
      <c r="BW205" s="278"/>
      <c r="BX205" s="278"/>
      <c r="BY205" s="278"/>
      <c r="BZ205" s="278"/>
      <c r="CA205" s="278"/>
      <c r="CB205" s="278"/>
      <c r="CC205" s="278"/>
      <c r="CD205" s="278"/>
      <c r="CE205" s="278"/>
      <c r="CF205" s="278"/>
      <c r="CG205" s="278"/>
      <c r="CH205" s="278"/>
      <c r="CI205" s="278"/>
      <c r="CJ205" s="278"/>
      <c r="CK205" s="278"/>
      <c r="CL205" s="278"/>
      <c r="CM205" s="278"/>
      <c r="CN205" s="278"/>
      <c r="CO205" s="278"/>
      <c r="CP205" s="278"/>
      <c r="CQ205" s="278"/>
      <c r="CR205" s="278"/>
      <c r="CS205" s="278"/>
      <c r="CT205" s="278"/>
      <c r="CU205" s="278"/>
      <c r="CV205" s="278"/>
      <c r="CW205" s="278"/>
      <c r="CX205" s="278"/>
      <c r="CY205" s="278"/>
      <c r="CZ205" s="278"/>
      <c r="DA205" s="278"/>
      <c r="DB205" s="278"/>
      <c r="DC205" s="278"/>
      <c r="DD205" s="278"/>
      <c r="DE205" s="278"/>
      <c r="DF205" s="278"/>
      <c r="DG205" s="278"/>
      <c r="DH205" s="278"/>
      <c r="DI205" s="278"/>
      <c r="DJ205" s="278"/>
      <c r="DK205" s="278"/>
      <c r="DL205" s="278"/>
    </row>
    <row r="206" spans="1:116" ht="15.75" customHeight="1" x14ac:dyDescent="0.25">
      <c r="A206" s="466"/>
      <c r="B206" s="466"/>
      <c r="C206" s="467"/>
      <c r="D206" s="279"/>
      <c r="E206" s="280"/>
      <c r="F206" s="280"/>
      <c r="G206" s="279"/>
      <c r="H206" s="409"/>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282"/>
      <c r="AF206" s="282"/>
      <c r="AG206" s="282"/>
      <c r="AH206" s="282"/>
      <c r="AI206" s="282"/>
      <c r="AJ206" s="282"/>
      <c r="AK206" s="282"/>
      <c r="AL206" s="282"/>
      <c r="AM206" s="282"/>
      <c r="AN206" s="282"/>
      <c r="AO206" s="282"/>
      <c r="AP206" s="282"/>
      <c r="AQ206" s="282"/>
      <c r="AR206" s="282"/>
      <c r="AS206" s="282"/>
      <c r="AT206" s="282"/>
      <c r="AU206" s="282"/>
      <c r="AV206" s="282"/>
      <c r="AW206" s="282"/>
      <c r="AX206" s="282"/>
      <c r="AY206" s="282"/>
      <c r="AZ206" s="282"/>
      <c r="BA206" s="282"/>
      <c r="BB206" s="282"/>
      <c r="BC206" s="282"/>
      <c r="BD206" s="282"/>
      <c r="BE206" s="282"/>
      <c r="BF206" s="282"/>
      <c r="BG206" s="282"/>
      <c r="BH206" s="282"/>
      <c r="BI206" s="282"/>
      <c r="BJ206" s="278"/>
      <c r="BK206" s="278"/>
      <c r="BL206" s="278"/>
      <c r="BM206" s="278"/>
      <c r="BN206" s="278"/>
      <c r="BO206" s="278"/>
      <c r="BP206" s="278"/>
      <c r="BQ206" s="278"/>
      <c r="BR206" s="278"/>
      <c r="BS206" s="278"/>
      <c r="BT206" s="278"/>
      <c r="BU206" s="278"/>
      <c r="BV206" s="278"/>
      <c r="BW206" s="278"/>
      <c r="BX206" s="278"/>
      <c r="BY206" s="278"/>
      <c r="BZ206" s="278"/>
      <c r="CA206" s="278"/>
      <c r="CB206" s="278"/>
      <c r="CC206" s="278"/>
      <c r="CD206" s="278"/>
      <c r="CE206" s="278"/>
      <c r="CF206" s="278"/>
      <c r="CG206" s="278"/>
      <c r="CH206" s="278"/>
      <c r="CI206" s="278"/>
      <c r="CJ206" s="278"/>
      <c r="CK206" s="278"/>
      <c r="CL206" s="278"/>
      <c r="CM206" s="278"/>
      <c r="CN206" s="278"/>
      <c r="CO206" s="278"/>
      <c r="CP206" s="278"/>
      <c r="CQ206" s="278"/>
      <c r="CR206" s="278"/>
      <c r="CS206" s="278"/>
      <c r="CT206" s="278"/>
      <c r="CU206" s="278"/>
      <c r="CV206" s="278"/>
      <c r="CW206" s="278"/>
      <c r="CX206" s="278"/>
      <c r="CY206" s="278"/>
      <c r="CZ206" s="278"/>
      <c r="DA206" s="278"/>
      <c r="DB206" s="278"/>
      <c r="DC206" s="278"/>
      <c r="DD206" s="278"/>
      <c r="DE206" s="278"/>
      <c r="DF206" s="278"/>
      <c r="DG206" s="278"/>
      <c r="DH206" s="278"/>
      <c r="DI206" s="278"/>
      <c r="DJ206" s="278"/>
      <c r="DK206" s="278"/>
      <c r="DL206" s="278"/>
    </row>
    <row r="207" spans="1:116" ht="15.75" customHeight="1" x14ac:dyDescent="0.25">
      <c r="A207" s="466"/>
      <c r="B207" s="466"/>
      <c r="C207" s="467"/>
      <c r="D207" s="279"/>
      <c r="E207" s="280"/>
      <c r="F207" s="280"/>
      <c r="G207" s="279"/>
      <c r="H207" s="409"/>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282"/>
      <c r="AF207" s="282"/>
      <c r="AG207" s="282"/>
      <c r="AH207" s="282"/>
      <c r="AI207" s="282"/>
      <c r="AJ207" s="282"/>
      <c r="AK207" s="282"/>
      <c r="AL207" s="282"/>
      <c r="AM207" s="282"/>
      <c r="AN207" s="282"/>
      <c r="AO207" s="282"/>
      <c r="AP207" s="282"/>
      <c r="AQ207" s="282"/>
      <c r="AR207" s="282"/>
      <c r="AS207" s="282"/>
      <c r="AT207" s="282"/>
      <c r="AU207" s="282"/>
      <c r="AV207" s="282"/>
      <c r="AW207" s="282"/>
      <c r="AX207" s="282"/>
      <c r="AY207" s="282"/>
      <c r="AZ207" s="282"/>
      <c r="BA207" s="282"/>
      <c r="BB207" s="282"/>
      <c r="BC207" s="282"/>
      <c r="BD207" s="282"/>
      <c r="BE207" s="282"/>
      <c r="BF207" s="282"/>
      <c r="BG207" s="282"/>
      <c r="BH207" s="282"/>
      <c r="BI207" s="282"/>
      <c r="BJ207" s="278"/>
      <c r="BK207" s="278"/>
      <c r="BL207" s="278"/>
      <c r="BM207" s="278"/>
      <c r="BN207" s="278"/>
      <c r="BO207" s="278"/>
      <c r="BP207" s="278"/>
      <c r="BQ207" s="278"/>
      <c r="BR207" s="278"/>
      <c r="BS207" s="278"/>
      <c r="BT207" s="278"/>
      <c r="BU207" s="278"/>
      <c r="BV207" s="278"/>
      <c r="BW207" s="278"/>
      <c r="BX207" s="278"/>
      <c r="BY207" s="278"/>
      <c r="BZ207" s="278"/>
      <c r="CA207" s="278"/>
      <c r="CB207" s="278"/>
      <c r="CC207" s="278"/>
      <c r="CD207" s="278"/>
      <c r="CE207" s="278"/>
      <c r="CF207" s="278"/>
      <c r="CG207" s="278"/>
      <c r="CH207" s="278"/>
      <c r="CI207" s="278"/>
      <c r="CJ207" s="278"/>
      <c r="CK207" s="278"/>
      <c r="CL207" s="278"/>
      <c r="CM207" s="278"/>
      <c r="CN207" s="278"/>
      <c r="CO207" s="278"/>
      <c r="CP207" s="278"/>
      <c r="CQ207" s="278"/>
      <c r="CR207" s="278"/>
      <c r="CS207" s="278"/>
      <c r="CT207" s="278"/>
      <c r="CU207" s="278"/>
      <c r="CV207" s="278"/>
      <c r="CW207" s="278"/>
      <c r="CX207" s="278"/>
      <c r="CY207" s="278"/>
      <c r="CZ207" s="278"/>
      <c r="DA207" s="278"/>
      <c r="DB207" s="278"/>
      <c r="DC207" s="278"/>
      <c r="DD207" s="278"/>
      <c r="DE207" s="278"/>
      <c r="DF207" s="278"/>
      <c r="DG207" s="278"/>
      <c r="DH207" s="278"/>
      <c r="DI207" s="278"/>
      <c r="DJ207" s="278"/>
      <c r="DK207" s="278"/>
      <c r="DL207" s="278"/>
    </row>
    <row r="208" spans="1:116" ht="15.75" customHeight="1" x14ac:dyDescent="0.25">
      <c r="A208" s="466"/>
      <c r="B208" s="466"/>
      <c r="C208" s="467"/>
      <c r="D208" s="279"/>
      <c r="E208" s="280"/>
      <c r="F208" s="280"/>
      <c r="G208" s="279"/>
      <c r="H208" s="409"/>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82"/>
      <c r="AE208" s="282"/>
      <c r="AF208" s="282"/>
      <c r="AG208" s="282"/>
      <c r="AH208" s="282"/>
      <c r="AI208" s="282"/>
      <c r="AJ208" s="282"/>
      <c r="AK208" s="282"/>
      <c r="AL208" s="282"/>
      <c r="AM208" s="282"/>
      <c r="AN208" s="282"/>
      <c r="AO208" s="282"/>
      <c r="AP208" s="282"/>
      <c r="AQ208" s="282"/>
      <c r="AR208" s="282"/>
      <c r="AS208" s="282"/>
      <c r="AT208" s="282"/>
      <c r="AU208" s="282"/>
      <c r="AV208" s="282"/>
      <c r="AW208" s="282"/>
      <c r="AX208" s="282"/>
      <c r="AY208" s="282"/>
      <c r="AZ208" s="282"/>
      <c r="BA208" s="282"/>
      <c r="BB208" s="282"/>
      <c r="BC208" s="282"/>
      <c r="BD208" s="282"/>
      <c r="BE208" s="282"/>
      <c r="BF208" s="282"/>
      <c r="BG208" s="282"/>
      <c r="BH208" s="282"/>
      <c r="BI208" s="282"/>
      <c r="BJ208" s="278"/>
      <c r="BK208" s="278"/>
      <c r="BL208" s="278"/>
      <c r="BM208" s="278"/>
      <c r="BN208" s="278"/>
      <c r="BO208" s="278"/>
      <c r="BP208" s="278"/>
      <c r="BQ208" s="278"/>
      <c r="BR208" s="278"/>
      <c r="BS208" s="278"/>
      <c r="BT208" s="278"/>
      <c r="BU208" s="278"/>
      <c r="BV208" s="278"/>
      <c r="BW208" s="278"/>
      <c r="BX208" s="278"/>
      <c r="BY208" s="278"/>
      <c r="BZ208" s="278"/>
      <c r="CA208" s="278"/>
      <c r="CB208" s="278"/>
      <c r="CC208" s="278"/>
      <c r="CD208" s="278"/>
      <c r="CE208" s="278"/>
      <c r="CF208" s="278"/>
      <c r="CG208" s="278"/>
      <c r="CH208" s="278"/>
      <c r="CI208" s="278"/>
      <c r="CJ208" s="278"/>
      <c r="CK208" s="278"/>
      <c r="CL208" s="278"/>
      <c r="CM208" s="278"/>
      <c r="CN208" s="278"/>
      <c r="CO208" s="278"/>
      <c r="CP208" s="278"/>
      <c r="CQ208" s="278"/>
      <c r="CR208" s="278"/>
      <c r="CS208" s="278"/>
      <c r="CT208" s="278"/>
      <c r="CU208" s="278"/>
      <c r="CV208" s="278"/>
      <c r="CW208" s="278"/>
      <c r="CX208" s="278"/>
      <c r="CY208" s="278"/>
      <c r="CZ208" s="278"/>
      <c r="DA208" s="278"/>
      <c r="DB208" s="278"/>
      <c r="DC208" s="278"/>
      <c r="DD208" s="278"/>
      <c r="DE208" s="278"/>
      <c r="DF208" s="278"/>
      <c r="DG208" s="278"/>
      <c r="DH208" s="278"/>
      <c r="DI208" s="278"/>
      <c r="DJ208" s="278"/>
      <c r="DK208" s="278"/>
      <c r="DL208" s="278"/>
    </row>
    <row r="209" spans="1:116" ht="15.75" customHeight="1" x14ac:dyDescent="0.25">
      <c r="A209" s="466"/>
      <c r="B209" s="466"/>
      <c r="C209" s="467"/>
      <c r="D209" s="279"/>
      <c r="E209" s="280"/>
      <c r="F209" s="280"/>
      <c r="G209" s="279"/>
      <c r="H209" s="409"/>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282"/>
      <c r="AE209" s="282"/>
      <c r="AF209" s="282"/>
      <c r="AG209" s="282"/>
      <c r="AH209" s="282"/>
      <c r="AI209" s="282"/>
      <c r="AJ209" s="282"/>
      <c r="AK209" s="282"/>
      <c r="AL209" s="282"/>
      <c r="AM209" s="282"/>
      <c r="AN209" s="282"/>
      <c r="AO209" s="282"/>
      <c r="AP209" s="282"/>
      <c r="AQ209" s="282"/>
      <c r="AR209" s="282"/>
      <c r="AS209" s="282"/>
      <c r="AT209" s="282"/>
      <c r="AU209" s="282"/>
      <c r="AV209" s="282"/>
      <c r="AW209" s="282"/>
      <c r="AX209" s="282"/>
      <c r="AY209" s="282"/>
      <c r="AZ209" s="282"/>
      <c r="BA209" s="282"/>
      <c r="BB209" s="282"/>
      <c r="BC209" s="282"/>
      <c r="BD209" s="282"/>
      <c r="BE209" s="282"/>
      <c r="BF209" s="282"/>
      <c r="BG209" s="282"/>
      <c r="BH209" s="282"/>
      <c r="BI209" s="282"/>
      <c r="BJ209" s="278"/>
      <c r="BK209" s="278"/>
      <c r="BL209" s="278"/>
      <c r="BM209" s="278"/>
      <c r="BN209" s="278"/>
      <c r="BO209" s="278"/>
      <c r="BP209" s="278"/>
      <c r="BQ209" s="278"/>
      <c r="BR209" s="278"/>
      <c r="BS209" s="278"/>
      <c r="BT209" s="278"/>
      <c r="BU209" s="278"/>
      <c r="BV209" s="278"/>
      <c r="BW209" s="278"/>
      <c r="BX209" s="278"/>
      <c r="BY209" s="278"/>
      <c r="BZ209" s="278"/>
      <c r="CA209" s="278"/>
      <c r="CB209" s="278"/>
      <c r="CC209" s="278"/>
      <c r="CD209" s="278"/>
      <c r="CE209" s="278"/>
      <c r="CF209" s="278"/>
      <c r="CG209" s="278"/>
      <c r="CH209" s="278"/>
      <c r="CI209" s="278"/>
      <c r="CJ209" s="278"/>
      <c r="CK209" s="278"/>
      <c r="CL209" s="278"/>
      <c r="CM209" s="278"/>
      <c r="CN209" s="278"/>
      <c r="CO209" s="278"/>
      <c r="CP209" s="278"/>
      <c r="CQ209" s="278"/>
      <c r="CR209" s="278"/>
      <c r="CS209" s="278"/>
      <c r="CT209" s="278"/>
      <c r="CU209" s="278"/>
      <c r="CV209" s="278"/>
      <c r="CW209" s="278"/>
      <c r="CX209" s="278"/>
      <c r="CY209" s="278"/>
      <c r="CZ209" s="278"/>
      <c r="DA209" s="278"/>
      <c r="DB209" s="278"/>
      <c r="DC209" s="278"/>
      <c r="DD209" s="278"/>
      <c r="DE209" s="278"/>
      <c r="DF209" s="278"/>
      <c r="DG209" s="278"/>
      <c r="DH209" s="278"/>
      <c r="DI209" s="278"/>
      <c r="DJ209" s="278"/>
      <c r="DK209" s="278"/>
      <c r="DL209" s="278"/>
    </row>
    <row r="210" spans="1:116" ht="15.75" customHeight="1" x14ac:dyDescent="0.25">
      <c r="A210" s="466"/>
      <c r="B210" s="466"/>
      <c r="C210" s="467"/>
      <c r="D210" s="279"/>
      <c r="E210" s="280"/>
      <c r="F210" s="280"/>
      <c r="G210" s="279"/>
      <c r="H210" s="409"/>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82"/>
      <c r="AZ210" s="282"/>
      <c r="BA210" s="282"/>
      <c r="BB210" s="282"/>
      <c r="BC210" s="282"/>
      <c r="BD210" s="282"/>
      <c r="BE210" s="282"/>
      <c r="BF210" s="282"/>
      <c r="BG210" s="282"/>
      <c r="BH210" s="282"/>
      <c r="BI210" s="282"/>
      <c r="BJ210" s="278"/>
      <c r="BK210" s="278"/>
      <c r="BL210" s="278"/>
      <c r="BM210" s="278"/>
      <c r="BN210" s="278"/>
      <c r="BO210" s="278"/>
      <c r="BP210" s="278"/>
      <c r="BQ210" s="278"/>
      <c r="BR210" s="278"/>
      <c r="BS210" s="278"/>
      <c r="BT210" s="278"/>
      <c r="BU210" s="278"/>
      <c r="BV210" s="278"/>
      <c r="BW210" s="278"/>
      <c r="BX210" s="278"/>
      <c r="BY210" s="278"/>
      <c r="BZ210" s="278"/>
      <c r="CA210" s="278"/>
      <c r="CB210" s="278"/>
      <c r="CC210" s="278"/>
      <c r="CD210" s="278"/>
      <c r="CE210" s="278"/>
      <c r="CF210" s="278"/>
      <c r="CG210" s="278"/>
      <c r="CH210" s="278"/>
      <c r="CI210" s="278"/>
      <c r="CJ210" s="278"/>
      <c r="CK210" s="278"/>
      <c r="CL210" s="278"/>
      <c r="CM210" s="278"/>
      <c r="CN210" s="278"/>
      <c r="CO210" s="278"/>
      <c r="CP210" s="278"/>
      <c r="CQ210" s="278"/>
      <c r="CR210" s="278"/>
      <c r="CS210" s="278"/>
      <c r="CT210" s="278"/>
      <c r="CU210" s="278"/>
      <c r="CV210" s="278"/>
      <c r="CW210" s="278"/>
      <c r="CX210" s="278"/>
      <c r="CY210" s="278"/>
      <c r="CZ210" s="278"/>
      <c r="DA210" s="278"/>
      <c r="DB210" s="278"/>
      <c r="DC210" s="278"/>
      <c r="DD210" s="278"/>
      <c r="DE210" s="278"/>
      <c r="DF210" s="278"/>
      <c r="DG210" s="278"/>
      <c r="DH210" s="278"/>
      <c r="DI210" s="278"/>
      <c r="DJ210" s="278"/>
      <c r="DK210" s="278"/>
      <c r="DL210" s="278"/>
    </row>
    <row r="211" spans="1:116" ht="15.75" customHeight="1" x14ac:dyDescent="0.25">
      <c r="A211" s="466"/>
      <c r="B211" s="466"/>
      <c r="C211" s="467"/>
      <c r="D211" s="279"/>
      <c r="E211" s="280"/>
      <c r="F211" s="280"/>
      <c r="G211" s="279"/>
      <c r="H211" s="409"/>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82"/>
      <c r="AZ211" s="282"/>
      <c r="BA211" s="282"/>
      <c r="BB211" s="282"/>
      <c r="BC211" s="282"/>
      <c r="BD211" s="282"/>
      <c r="BE211" s="282"/>
      <c r="BF211" s="282"/>
      <c r="BG211" s="282"/>
      <c r="BH211" s="282"/>
      <c r="BI211" s="282"/>
      <c r="BJ211" s="278"/>
      <c r="BK211" s="278"/>
      <c r="BL211" s="278"/>
      <c r="BM211" s="278"/>
      <c r="BN211" s="278"/>
      <c r="BO211" s="278"/>
      <c r="BP211" s="278"/>
      <c r="BQ211" s="278"/>
      <c r="BR211" s="278"/>
      <c r="BS211" s="278"/>
      <c r="BT211" s="278"/>
      <c r="BU211" s="278"/>
      <c r="BV211" s="278"/>
      <c r="BW211" s="278"/>
      <c r="BX211" s="278"/>
      <c r="BY211" s="278"/>
      <c r="BZ211" s="278"/>
      <c r="CA211" s="278"/>
      <c r="CB211" s="278"/>
      <c r="CC211" s="278"/>
      <c r="CD211" s="278"/>
      <c r="CE211" s="278"/>
      <c r="CF211" s="278"/>
      <c r="CG211" s="278"/>
      <c r="CH211" s="278"/>
      <c r="CI211" s="278"/>
      <c r="CJ211" s="278"/>
      <c r="CK211" s="278"/>
      <c r="CL211" s="278"/>
      <c r="CM211" s="278"/>
      <c r="CN211" s="278"/>
      <c r="CO211" s="278"/>
      <c r="CP211" s="278"/>
      <c r="CQ211" s="278"/>
      <c r="CR211" s="278"/>
      <c r="CS211" s="278"/>
      <c r="CT211" s="278"/>
      <c r="CU211" s="278"/>
      <c r="CV211" s="278"/>
      <c r="CW211" s="278"/>
      <c r="CX211" s="278"/>
      <c r="CY211" s="278"/>
      <c r="CZ211" s="278"/>
      <c r="DA211" s="278"/>
      <c r="DB211" s="278"/>
      <c r="DC211" s="278"/>
      <c r="DD211" s="278"/>
      <c r="DE211" s="278"/>
      <c r="DF211" s="278"/>
      <c r="DG211" s="278"/>
      <c r="DH211" s="278"/>
      <c r="DI211" s="278"/>
      <c r="DJ211" s="278"/>
      <c r="DK211" s="278"/>
      <c r="DL211" s="278"/>
    </row>
    <row r="212" spans="1:116" ht="15.75" customHeight="1" x14ac:dyDescent="0.25">
      <c r="A212" s="466"/>
      <c r="B212" s="466"/>
      <c r="C212" s="467"/>
      <c r="D212" s="279"/>
      <c r="E212" s="280"/>
      <c r="F212" s="280"/>
      <c r="G212" s="279"/>
      <c r="H212" s="409"/>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82"/>
      <c r="AZ212" s="282"/>
      <c r="BA212" s="282"/>
      <c r="BB212" s="282"/>
      <c r="BC212" s="282"/>
      <c r="BD212" s="282"/>
      <c r="BE212" s="282"/>
      <c r="BF212" s="282"/>
      <c r="BG212" s="282"/>
      <c r="BH212" s="282"/>
      <c r="BI212" s="282"/>
      <c r="BJ212" s="278"/>
      <c r="BK212" s="278"/>
      <c r="BL212" s="278"/>
      <c r="BM212" s="278"/>
      <c r="BN212" s="278"/>
      <c r="BO212" s="278"/>
      <c r="BP212" s="278"/>
      <c r="BQ212" s="278"/>
      <c r="BR212" s="278"/>
      <c r="BS212" s="278"/>
      <c r="BT212" s="278"/>
      <c r="BU212" s="278"/>
      <c r="BV212" s="278"/>
      <c r="BW212" s="278"/>
      <c r="BX212" s="278"/>
      <c r="BY212" s="278"/>
      <c r="BZ212" s="278"/>
      <c r="CA212" s="278"/>
      <c r="CB212" s="278"/>
      <c r="CC212" s="278"/>
      <c r="CD212" s="278"/>
      <c r="CE212" s="278"/>
      <c r="CF212" s="278"/>
      <c r="CG212" s="278"/>
      <c r="CH212" s="278"/>
      <c r="CI212" s="278"/>
      <c r="CJ212" s="278"/>
      <c r="CK212" s="278"/>
      <c r="CL212" s="278"/>
      <c r="CM212" s="278"/>
      <c r="CN212" s="278"/>
      <c r="CO212" s="278"/>
      <c r="CP212" s="278"/>
      <c r="CQ212" s="278"/>
      <c r="CR212" s="278"/>
      <c r="CS212" s="278"/>
      <c r="CT212" s="278"/>
      <c r="CU212" s="278"/>
      <c r="CV212" s="278"/>
      <c r="CW212" s="278"/>
      <c r="CX212" s="278"/>
      <c r="CY212" s="278"/>
      <c r="CZ212" s="278"/>
      <c r="DA212" s="278"/>
      <c r="DB212" s="278"/>
      <c r="DC212" s="278"/>
      <c r="DD212" s="278"/>
      <c r="DE212" s="278"/>
      <c r="DF212" s="278"/>
      <c r="DG212" s="278"/>
      <c r="DH212" s="278"/>
      <c r="DI212" s="278"/>
      <c r="DJ212" s="278"/>
      <c r="DK212" s="278"/>
      <c r="DL212" s="278"/>
    </row>
    <row r="213" spans="1:116" ht="15.75" customHeight="1" x14ac:dyDescent="0.25">
      <c r="A213" s="466"/>
      <c r="B213" s="466"/>
      <c r="C213" s="467"/>
      <c r="D213" s="279"/>
      <c r="E213" s="280"/>
      <c r="F213" s="280"/>
      <c r="G213" s="279"/>
      <c r="H213" s="409"/>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82"/>
      <c r="AZ213" s="282"/>
      <c r="BA213" s="282"/>
      <c r="BB213" s="282"/>
      <c r="BC213" s="282"/>
      <c r="BD213" s="282"/>
      <c r="BE213" s="282"/>
      <c r="BF213" s="282"/>
      <c r="BG213" s="282"/>
      <c r="BH213" s="282"/>
      <c r="BI213" s="282"/>
      <c r="BJ213" s="278"/>
      <c r="BK213" s="278"/>
      <c r="BL213" s="278"/>
      <c r="BM213" s="278"/>
      <c r="BN213" s="278"/>
      <c r="BO213" s="278"/>
      <c r="BP213" s="278"/>
      <c r="BQ213" s="278"/>
      <c r="BR213" s="278"/>
      <c r="BS213" s="278"/>
      <c r="BT213" s="278"/>
      <c r="BU213" s="278"/>
      <c r="BV213" s="278"/>
      <c r="BW213" s="278"/>
      <c r="BX213" s="278"/>
      <c r="BY213" s="278"/>
      <c r="BZ213" s="278"/>
      <c r="CA213" s="278"/>
      <c r="CB213" s="278"/>
      <c r="CC213" s="278"/>
      <c r="CD213" s="278"/>
      <c r="CE213" s="278"/>
      <c r="CF213" s="278"/>
      <c r="CG213" s="278"/>
      <c r="CH213" s="278"/>
      <c r="CI213" s="278"/>
      <c r="CJ213" s="278"/>
      <c r="CK213" s="278"/>
      <c r="CL213" s="278"/>
      <c r="CM213" s="278"/>
      <c r="CN213" s="278"/>
      <c r="CO213" s="278"/>
      <c r="CP213" s="278"/>
      <c r="CQ213" s="278"/>
      <c r="CR213" s="278"/>
      <c r="CS213" s="278"/>
      <c r="CT213" s="278"/>
      <c r="CU213" s="278"/>
      <c r="CV213" s="278"/>
      <c r="CW213" s="278"/>
      <c r="CX213" s="278"/>
      <c r="CY213" s="278"/>
      <c r="CZ213" s="278"/>
      <c r="DA213" s="278"/>
      <c r="DB213" s="278"/>
      <c r="DC213" s="278"/>
      <c r="DD213" s="278"/>
      <c r="DE213" s="278"/>
      <c r="DF213" s="278"/>
      <c r="DG213" s="278"/>
      <c r="DH213" s="278"/>
      <c r="DI213" s="278"/>
      <c r="DJ213" s="278"/>
      <c r="DK213" s="278"/>
      <c r="DL213" s="278"/>
    </row>
    <row r="214" spans="1:116" ht="15.75" customHeight="1" x14ac:dyDescent="0.25">
      <c r="A214" s="466"/>
      <c r="B214" s="466"/>
      <c r="C214" s="467"/>
      <c r="D214" s="279"/>
      <c r="E214" s="280"/>
      <c r="F214" s="280"/>
      <c r="G214" s="279"/>
      <c r="H214" s="409"/>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282"/>
      <c r="AE214" s="282"/>
      <c r="AF214" s="282"/>
      <c r="AG214" s="282"/>
      <c r="AH214" s="282"/>
      <c r="AI214" s="282"/>
      <c r="AJ214" s="282"/>
      <c r="AK214" s="282"/>
      <c r="AL214" s="282"/>
      <c r="AM214" s="282"/>
      <c r="AN214" s="282"/>
      <c r="AO214" s="282"/>
      <c r="AP214" s="282"/>
      <c r="AQ214" s="282"/>
      <c r="AR214" s="282"/>
      <c r="AS214" s="282"/>
      <c r="AT214" s="282"/>
      <c r="AU214" s="282"/>
      <c r="AV214" s="282"/>
      <c r="AW214" s="282"/>
      <c r="AX214" s="282"/>
      <c r="AY214" s="282"/>
      <c r="AZ214" s="282"/>
      <c r="BA214" s="282"/>
      <c r="BB214" s="282"/>
      <c r="BC214" s="282"/>
      <c r="BD214" s="282"/>
      <c r="BE214" s="282"/>
      <c r="BF214" s="282"/>
      <c r="BG214" s="282"/>
      <c r="BH214" s="282"/>
      <c r="BI214" s="282"/>
      <c r="BJ214" s="278"/>
      <c r="BK214" s="278"/>
      <c r="BL214" s="278"/>
      <c r="BM214" s="278"/>
      <c r="BN214" s="278"/>
      <c r="BO214" s="278"/>
      <c r="BP214" s="278"/>
      <c r="BQ214" s="278"/>
      <c r="BR214" s="278"/>
      <c r="BS214" s="278"/>
      <c r="BT214" s="278"/>
      <c r="BU214" s="278"/>
      <c r="BV214" s="278"/>
      <c r="BW214" s="278"/>
      <c r="BX214" s="278"/>
      <c r="BY214" s="278"/>
      <c r="BZ214" s="278"/>
      <c r="CA214" s="278"/>
      <c r="CB214" s="278"/>
      <c r="CC214" s="278"/>
      <c r="CD214" s="278"/>
      <c r="CE214" s="278"/>
      <c r="CF214" s="278"/>
      <c r="CG214" s="278"/>
      <c r="CH214" s="278"/>
      <c r="CI214" s="278"/>
      <c r="CJ214" s="278"/>
      <c r="CK214" s="278"/>
      <c r="CL214" s="278"/>
      <c r="CM214" s="278"/>
      <c r="CN214" s="278"/>
      <c r="CO214" s="278"/>
      <c r="CP214" s="278"/>
      <c r="CQ214" s="278"/>
      <c r="CR214" s="278"/>
      <c r="CS214" s="278"/>
      <c r="CT214" s="278"/>
      <c r="CU214" s="278"/>
      <c r="CV214" s="278"/>
      <c r="CW214" s="278"/>
      <c r="CX214" s="278"/>
      <c r="CY214" s="278"/>
      <c r="CZ214" s="278"/>
      <c r="DA214" s="278"/>
      <c r="DB214" s="278"/>
      <c r="DC214" s="278"/>
      <c r="DD214" s="278"/>
      <c r="DE214" s="278"/>
      <c r="DF214" s="278"/>
      <c r="DG214" s="278"/>
      <c r="DH214" s="278"/>
      <c r="DI214" s="278"/>
      <c r="DJ214" s="278"/>
      <c r="DK214" s="278"/>
      <c r="DL214" s="278"/>
    </row>
    <row r="215" spans="1:116" ht="15.75" customHeight="1" x14ac:dyDescent="0.25">
      <c r="A215" s="466"/>
      <c r="B215" s="466"/>
      <c r="C215" s="467"/>
      <c r="D215" s="279"/>
      <c r="E215" s="280"/>
      <c r="F215" s="280"/>
      <c r="G215" s="279"/>
      <c r="H215" s="409"/>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282"/>
      <c r="AF215" s="282"/>
      <c r="AG215" s="282"/>
      <c r="AH215" s="282"/>
      <c r="AI215" s="282"/>
      <c r="AJ215" s="282"/>
      <c r="AK215" s="282"/>
      <c r="AL215" s="282"/>
      <c r="AM215" s="282"/>
      <c r="AN215" s="282"/>
      <c r="AO215" s="282"/>
      <c r="AP215" s="282"/>
      <c r="AQ215" s="282"/>
      <c r="AR215" s="282"/>
      <c r="AS215" s="282"/>
      <c r="AT215" s="282"/>
      <c r="AU215" s="282"/>
      <c r="AV215" s="282"/>
      <c r="AW215" s="282"/>
      <c r="AX215" s="282"/>
      <c r="AY215" s="282"/>
      <c r="AZ215" s="282"/>
      <c r="BA215" s="282"/>
      <c r="BB215" s="282"/>
      <c r="BC215" s="282"/>
      <c r="BD215" s="282"/>
      <c r="BE215" s="282"/>
      <c r="BF215" s="282"/>
      <c r="BG215" s="282"/>
      <c r="BH215" s="282"/>
      <c r="BI215" s="282"/>
      <c r="BJ215" s="278"/>
      <c r="BK215" s="278"/>
      <c r="BL215" s="278"/>
      <c r="BM215" s="278"/>
      <c r="BN215" s="278"/>
      <c r="BO215" s="278"/>
      <c r="BP215" s="278"/>
      <c r="BQ215" s="278"/>
      <c r="BR215" s="278"/>
      <c r="BS215" s="278"/>
      <c r="BT215" s="278"/>
      <c r="BU215" s="278"/>
      <c r="BV215" s="278"/>
      <c r="BW215" s="278"/>
      <c r="BX215" s="278"/>
      <c r="BY215" s="278"/>
      <c r="BZ215" s="278"/>
      <c r="CA215" s="278"/>
      <c r="CB215" s="278"/>
      <c r="CC215" s="278"/>
      <c r="CD215" s="278"/>
      <c r="CE215" s="278"/>
      <c r="CF215" s="278"/>
      <c r="CG215" s="278"/>
      <c r="CH215" s="278"/>
      <c r="CI215" s="278"/>
      <c r="CJ215" s="278"/>
      <c r="CK215" s="278"/>
      <c r="CL215" s="278"/>
      <c r="CM215" s="278"/>
      <c r="CN215" s="278"/>
      <c r="CO215" s="278"/>
      <c r="CP215" s="278"/>
      <c r="CQ215" s="278"/>
      <c r="CR215" s="278"/>
      <c r="CS215" s="278"/>
      <c r="CT215" s="278"/>
      <c r="CU215" s="278"/>
      <c r="CV215" s="278"/>
      <c r="CW215" s="278"/>
      <c r="CX215" s="278"/>
      <c r="CY215" s="278"/>
      <c r="CZ215" s="278"/>
      <c r="DA215" s="278"/>
      <c r="DB215" s="278"/>
      <c r="DC215" s="278"/>
      <c r="DD215" s="278"/>
      <c r="DE215" s="278"/>
      <c r="DF215" s="278"/>
      <c r="DG215" s="278"/>
      <c r="DH215" s="278"/>
      <c r="DI215" s="278"/>
      <c r="DJ215" s="278"/>
      <c r="DK215" s="278"/>
      <c r="DL215" s="278"/>
    </row>
    <row r="216" spans="1:116" ht="15.75" customHeight="1" x14ac:dyDescent="0.25">
      <c r="A216" s="466"/>
      <c r="B216" s="466"/>
      <c r="C216" s="467"/>
      <c r="D216" s="279"/>
      <c r="E216" s="280"/>
      <c r="F216" s="280"/>
      <c r="G216" s="279"/>
      <c r="H216" s="409"/>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282"/>
      <c r="AF216" s="282"/>
      <c r="AG216" s="282"/>
      <c r="AH216" s="282"/>
      <c r="AI216" s="282"/>
      <c r="AJ216" s="282"/>
      <c r="AK216" s="282"/>
      <c r="AL216" s="282"/>
      <c r="AM216" s="282"/>
      <c r="AN216" s="282"/>
      <c r="AO216" s="282"/>
      <c r="AP216" s="282"/>
      <c r="AQ216" s="282"/>
      <c r="AR216" s="282"/>
      <c r="AS216" s="282"/>
      <c r="AT216" s="282"/>
      <c r="AU216" s="282"/>
      <c r="AV216" s="282"/>
      <c r="AW216" s="282"/>
      <c r="AX216" s="282"/>
      <c r="AY216" s="282"/>
      <c r="AZ216" s="282"/>
      <c r="BA216" s="282"/>
      <c r="BB216" s="282"/>
      <c r="BC216" s="282"/>
      <c r="BD216" s="282"/>
      <c r="BE216" s="282"/>
      <c r="BF216" s="282"/>
      <c r="BG216" s="282"/>
      <c r="BH216" s="282"/>
      <c r="BI216" s="282"/>
      <c r="BJ216" s="278"/>
      <c r="BK216" s="278"/>
      <c r="BL216" s="278"/>
      <c r="BM216" s="278"/>
      <c r="BN216" s="278"/>
      <c r="BO216" s="278"/>
      <c r="BP216" s="278"/>
      <c r="BQ216" s="278"/>
      <c r="BR216" s="278"/>
      <c r="BS216" s="278"/>
      <c r="BT216" s="278"/>
      <c r="BU216" s="278"/>
      <c r="BV216" s="278"/>
      <c r="BW216" s="278"/>
      <c r="BX216" s="278"/>
      <c r="BY216" s="278"/>
      <c r="BZ216" s="278"/>
      <c r="CA216" s="278"/>
      <c r="CB216" s="278"/>
      <c r="CC216" s="278"/>
      <c r="CD216" s="278"/>
      <c r="CE216" s="278"/>
      <c r="CF216" s="278"/>
      <c r="CG216" s="278"/>
      <c r="CH216" s="278"/>
      <c r="CI216" s="278"/>
      <c r="CJ216" s="278"/>
      <c r="CK216" s="278"/>
      <c r="CL216" s="278"/>
      <c r="CM216" s="278"/>
      <c r="CN216" s="278"/>
      <c r="CO216" s="278"/>
      <c r="CP216" s="278"/>
      <c r="CQ216" s="278"/>
      <c r="CR216" s="278"/>
      <c r="CS216" s="278"/>
      <c r="CT216" s="278"/>
      <c r="CU216" s="278"/>
      <c r="CV216" s="278"/>
      <c r="CW216" s="278"/>
      <c r="CX216" s="278"/>
      <c r="CY216" s="278"/>
      <c r="CZ216" s="278"/>
      <c r="DA216" s="278"/>
      <c r="DB216" s="278"/>
      <c r="DC216" s="278"/>
      <c r="DD216" s="278"/>
      <c r="DE216" s="278"/>
      <c r="DF216" s="278"/>
      <c r="DG216" s="278"/>
      <c r="DH216" s="278"/>
      <c r="DI216" s="278"/>
      <c r="DJ216" s="278"/>
      <c r="DK216" s="278"/>
      <c r="DL216" s="278"/>
    </row>
    <row r="217" spans="1:116" ht="15.75" customHeight="1" x14ac:dyDescent="0.25">
      <c r="A217" s="466"/>
      <c r="B217" s="466"/>
      <c r="C217" s="467"/>
      <c r="D217" s="279"/>
      <c r="E217" s="280"/>
      <c r="F217" s="280"/>
      <c r="G217" s="279"/>
      <c r="H217" s="409"/>
      <c r="I217" s="282"/>
      <c r="J217" s="282"/>
      <c r="K217" s="282"/>
      <c r="L217" s="282"/>
      <c r="M217" s="282"/>
      <c r="N217" s="282"/>
      <c r="O217" s="282"/>
      <c r="P217" s="282"/>
      <c r="Q217" s="282"/>
      <c r="R217" s="282"/>
      <c r="S217" s="282"/>
      <c r="T217" s="282"/>
      <c r="U217" s="282"/>
      <c r="V217" s="282"/>
      <c r="W217" s="282"/>
      <c r="X217" s="282"/>
      <c r="Y217" s="282"/>
      <c r="Z217" s="282"/>
      <c r="AA217" s="282"/>
      <c r="AB217" s="282"/>
      <c r="AC217" s="282"/>
      <c r="AD217" s="282"/>
      <c r="AE217" s="282"/>
      <c r="AF217" s="282"/>
      <c r="AG217" s="282"/>
      <c r="AH217" s="282"/>
      <c r="AI217" s="282"/>
      <c r="AJ217" s="282"/>
      <c r="AK217" s="282"/>
      <c r="AL217" s="282"/>
      <c r="AM217" s="282"/>
      <c r="AN217" s="282"/>
      <c r="AO217" s="282"/>
      <c r="AP217" s="282"/>
      <c r="AQ217" s="282"/>
      <c r="AR217" s="282"/>
      <c r="AS217" s="282"/>
      <c r="AT217" s="282"/>
      <c r="AU217" s="282"/>
      <c r="AV217" s="282"/>
      <c r="AW217" s="282"/>
      <c r="AX217" s="282"/>
      <c r="AY217" s="282"/>
      <c r="AZ217" s="282"/>
      <c r="BA217" s="282"/>
      <c r="BB217" s="282"/>
      <c r="BC217" s="282"/>
      <c r="BD217" s="282"/>
      <c r="BE217" s="282"/>
      <c r="BF217" s="282"/>
      <c r="BG217" s="282"/>
      <c r="BH217" s="282"/>
      <c r="BI217" s="282"/>
      <c r="BJ217" s="278"/>
      <c r="BK217" s="278"/>
      <c r="BL217" s="278"/>
      <c r="BM217" s="278"/>
      <c r="BN217" s="278"/>
      <c r="BO217" s="278"/>
      <c r="BP217" s="278"/>
      <c r="BQ217" s="278"/>
      <c r="BR217" s="278"/>
      <c r="BS217" s="278"/>
      <c r="BT217" s="278"/>
      <c r="BU217" s="278"/>
      <c r="BV217" s="278"/>
      <c r="BW217" s="278"/>
      <c r="BX217" s="278"/>
      <c r="BY217" s="278"/>
      <c r="BZ217" s="278"/>
      <c r="CA217" s="278"/>
      <c r="CB217" s="278"/>
      <c r="CC217" s="278"/>
      <c r="CD217" s="278"/>
      <c r="CE217" s="278"/>
      <c r="CF217" s="278"/>
      <c r="CG217" s="278"/>
      <c r="CH217" s="278"/>
      <c r="CI217" s="278"/>
      <c r="CJ217" s="278"/>
      <c r="CK217" s="278"/>
      <c r="CL217" s="278"/>
      <c r="CM217" s="278"/>
      <c r="CN217" s="278"/>
      <c r="CO217" s="278"/>
      <c r="CP217" s="278"/>
      <c r="CQ217" s="278"/>
      <c r="CR217" s="278"/>
      <c r="CS217" s="278"/>
      <c r="CT217" s="278"/>
      <c r="CU217" s="278"/>
      <c r="CV217" s="278"/>
      <c r="CW217" s="278"/>
      <c r="CX217" s="278"/>
      <c r="CY217" s="278"/>
      <c r="CZ217" s="278"/>
      <c r="DA217" s="278"/>
      <c r="DB217" s="278"/>
      <c r="DC217" s="278"/>
      <c r="DD217" s="278"/>
      <c r="DE217" s="278"/>
      <c r="DF217" s="278"/>
      <c r="DG217" s="278"/>
      <c r="DH217" s="278"/>
      <c r="DI217" s="278"/>
      <c r="DJ217" s="278"/>
      <c r="DK217" s="278"/>
      <c r="DL217" s="278"/>
    </row>
    <row r="218" spans="1:116" ht="15.75" customHeight="1" x14ac:dyDescent="0.25">
      <c r="A218" s="466"/>
      <c r="B218" s="466"/>
      <c r="C218" s="467"/>
      <c r="D218" s="279"/>
      <c r="E218" s="280"/>
      <c r="F218" s="280"/>
      <c r="G218" s="279"/>
      <c r="H218" s="409"/>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282"/>
      <c r="AE218" s="282"/>
      <c r="AF218" s="282"/>
      <c r="AG218" s="282"/>
      <c r="AH218" s="282"/>
      <c r="AI218" s="282"/>
      <c r="AJ218" s="282"/>
      <c r="AK218" s="282"/>
      <c r="AL218" s="282"/>
      <c r="AM218" s="282"/>
      <c r="AN218" s="282"/>
      <c r="AO218" s="282"/>
      <c r="AP218" s="282"/>
      <c r="AQ218" s="282"/>
      <c r="AR218" s="282"/>
      <c r="AS218" s="282"/>
      <c r="AT218" s="282"/>
      <c r="AU218" s="282"/>
      <c r="AV218" s="282"/>
      <c r="AW218" s="282"/>
      <c r="AX218" s="282"/>
      <c r="AY218" s="282"/>
      <c r="AZ218" s="282"/>
      <c r="BA218" s="282"/>
      <c r="BB218" s="282"/>
      <c r="BC218" s="282"/>
      <c r="BD218" s="282"/>
      <c r="BE218" s="282"/>
      <c r="BF218" s="282"/>
      <c r="BG218" s="282"/>
      <c r="BH218" s="282"/>
      <c r="BI218" s="282"/>
      <c r="BJ218" s="278"/>
      <c r="BK218" s="278"/>
      <c r="BL218" s="278"/>
      <c r="BM218" s="278"/>
      <c r="BN218" s="278"/>
      <c r="BO218" s="278"/>
      <c r="BP218" s="278"/>
      <c r="BQ218" s="278"/>
      <c r="BR218" s="278"/>
      <c r="BS218" s="278"/>
      <c r="BT218" s="278"/>
      <c r="BU218" s="278"/>
      <c r="BV218" s="278"/>
      <c r="BW218" s="278"/>
      <c r="BX218" s="278"/>
      <c r="BY218" s="278"/>
      <c r="BZ218" s="278"/>
      <c r="CA218" s="278"/>
      <c r="CB218" s="278"/>
      <c r="CC218" s="278"/>
      <c r="CD218" s="278"/>
      <c r="CE218" s="278"/>
      <c r="CF218" s="278"/>
      <c r="CG218" s="278"/>
      <c r="CH218" s="278"/>
      <c r="CI218" s="278"/>
      <c r="CJ218" s="278"/>
      <c r="CK218" s="278"/>
      <c r="CL218" s="278"/>
      <c r="CM218" s="278"/>
      <c r="CN218" s="278"/>
      <c r="CO218" s="278"/>
      <c r="CP218" s="278"/>
      <c r="CQ218" s="278"/>
      <c r="CR218" s="278"/>
      <c r="CS218" s="278"/>
      <c r="CT218" s="278"/>
      <c r="CU218" s="278"/>
      <c r="CV218" s="278"/>
      <c r="CW218" s="278"/>
      <c r="CX218" s="278"/>
      <c r="CY218" s="278"/>
      <c r="CZ218" s="278"/>
      <c r="DA218" s="278"/>
      <c r="DB218" s="278"/>
      <c r="DC218" s="278"/>
      <c r="DD218" s="278"/>
      <c r="DE218" s="278"/>
      <c r="DF218" s="278"/>
      <c r="DG218" s="278"/>
      <c r="DH218" s="278"/>
      <c r="DI218" s="278"/>
      <c r="DJ218" s="278"/>
      <c r="DK218" s="278"/>
      <c r="DL218" s="278"/>
    </row>
    <row r="219" spans="1:116" ht="15.75" customHeight="1" x14ac:dyDescent="0.25">
      <c r="A219" s="466"/>
      <c r="B219" s="466"/>
      <c r="C219" s="467"/>
      <c r="D219" s="279"/>
      <c r="E219" s="280"/>
      <c r="F219" s="280"/>
      <c r="G219" s="279"/>
      <c r="H219" s="409"/>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c r="AF219" s="282"/>
      <c r="AG219" s="282"/>
      <c r="AH219" s="282"/>
      <c r="AI219" s="282"/>
      <c r="AJ219" s="282"/>
      <c r="AK219" s="282"/>
      <c r="AL219" s="282"/>
      <c r="AM219" s="282"/>
      <c r="AN219" s="282"/>
      <c r="AO219" s="282"/>
      <c r="AP219" s="282"/>
      <c r="AQ219" s="282"/>
      <c r="AR219" s="282"/>
      <c r="AS219" s="282"/>
      <c r="AT219" s="282"/>
      <c r="AU219" s="282"/>
      <c r="AV219" s="282"/>
      <c r="AW219" s="282"/>
      <c r="AX219" s="282"/>
      <c r="AY219" s="282"/>
      <c r="AZ219" s="282"/>
      <c r="BA219" s="282"/>
      <c r="BB219" s="282"/>
      <c r="BC219" s="282"/>
      <c r="BD219" s="282"/>
      <c r="BE219" s="282"/>
      <c r="BF219" s="282"/>
      <c r="BG219" s="282"/>
      <c r="BH219" s="282"/>
      <c r="BI219" s="282"/>
      <c r="BJ219" s="278"/>
      <c r="BK219" s="278"/>
      <c r="BL219" s="278"/>
      <c r="BM219" s="278"/>
      <c r="BN219" s="278"/>
      <c r="BO219" s="278"/>
      <c r="BP219" s="278"/>
      <c r="BQ219" s="278"/>
      <c r="BR219" s="278"/>
      <c r="BS219" s="278"/>
      <c r="BT219" s="278"/>
      <c r="BU219" s="278"/>
      <c r="BV219" s="278"/>
      <c r="BW219" s="278"/>
      <c r="BX219" s="278"/>
      <c r="BY219" s="278"/>
      <c r="BZ219" s="278"/>
      <c r="CA219" s="278"/>
      <c r="CB219" s="278"/>
      <c r="CC219" s="278"/>
      <c r="CD219" s="278"/>
      <c r="CE219" s="278"/>
      <c r="CF219" s="278"/>
      <c r="CG219" s="278"/>
      <c r="CH219" s="278"/>
      <c r="CI219" s="278"/>
      <c r="CJ219" s="278"/>
      <c r="CK219" s="278"/>
      <c r="CL219" s="278"/>
      <c r="CM219" s="278"/>
      <c r="CN219" s="278"/>
      <c r="CO219" s="278"/>
      <c r="CP219" s="278"/>
      <c r="CQ219" s="278"/>
      <c r="CR219" s="278"/>
      <c r="CS219" s="278"/>
      <c r="CT219" s="278"/>
      <c r="CU219" s="278"/>
      <c r="CV219" s="278"/>
      <c r="CW219" s="278"/>
      <c r="CX219" s="278"/>
      <c r="CY219" s="278"/>
      <c r="CZ219" s="278"/>
      <c r="DA219" s="278"/>
      <c r="DB219" s="278"/>
      <c r="DC219" s="278"/>
      <c r="DD219" s="278"/>
      <c r="DE219" s="278"/>
      <c r="DF219" s="278"/>
      <c r="DG219" s="278"/>
      <c r="DH219" s="278"/>
      <c r="DI219" s="278"/>
      <c r="DJ219" s="278"/>
      <c r="DK219" s="278"/>
      <c r="DL219" s="278"/>
    </row>
    <row r="220" spans="1:116" ht="15.75" customHeight="1" x14ac:dyDescent="0.25">
      <c r="A220" s="466"/>
      <c r="B220" s="466"/>
      <c r="C220" s="467"/>
      <c r="D220" s="279"/>
      <c r="E220" s="280"/>
      <c r="F220" s="280"/>
      <c r="G220" s="279"/>
      <c r="H220" s="409"/>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282"/>
      <c r="AE220" s="282"/>
      <c r="AF220" s="282"/>
      <c r="AG220" s="282"/>
      <c r="AH220" s="282"/>
      <c r="AI220" s="282"/>
      <c r="AJ220" s="282"/>
      <c r="AK220" s="282"/>
      <c r="AL220" s="282"/>
      <c r="AM220" s="282"/>
      <c r="AN220" s="282"/>
      <c r="AO220" s="282"/>
      <c r="AP220" s="282"/>
      <c r="AQ220" s="282"/>
      <c r="AR220" s="282"/>
      <c r="AS220" s="282"/>
      <c r="AT220" s="282"/>
      <c r="AU220" s="282"/>
      <c r="AV220" s="282"/>
      <c r="AW220" s="282"/>
      <c r="AX220" s="282"/>
      <c r="AY220" s="282"/>
      <c r="AZ220" s="282"/>
      <c r="BA220" s="282"/>
      <c r="BB220" s="282"/>
      <c r="BC220" s="282"/>
      <c r="BD220" s="282"/>
      <c r="BE220" s="282"/>
      <c r="BF220" s="282"/>
      <c r="BG220" s="282"/>
      <c r="BH220" s="282"/>
      <c r="BI220" s="282"/>
      <c r="BJ220" s="278"/>
      <c r="BK220" s="278"/>
      <c r="BL220" s="278"/>
      <c r="BM220" s="278"/>
      <c r="BN220" s="278"/>
      <c r="BO220" s="278"/>
      <c r="BP220" s="278"/>
      <c r="BQ220" s="278"/>
      <c r="BR220" s="278"/>
      <c r="BS220" s="278"/>
      <c r="BT220" s="278"/>
      <c r="BU220" s="278"/>
      <c r="BV220" s="278"/>
      <c r="BW220" s="278"/>
      <c r="BX220" s="278"/>
      <c r="BY220" s="278"/>
      <c r="BZ220" s="278"/>
      <c r="CA220" s="278"/>
      <c r="CB220" s="278"/>
      <c r="CC220" s="278"/>
      <c r="CD220" s="278"/>
      <c r="CE220" s="278"/>
      <c r="CF220" s="278"/>
      <c r="CG220" s="278"/>
      <c r="CH220" s="278"/>
      <c r="CI220" s="278"/>
      <c r="CJ220" s="278"/>
      <c r="CK220" s="278"/>
      <c r="CL220" s="278"/>
      <c r="CM220" s="278"/>
      <c r="CN220" s="278"/>
      <c r="CO220" s="278"/>
      <c r="CP220" s="278"/>
      <c r="CQ220" s="278"/>
      <c r="CR220" s="278"/>
      <c r="CS220" s="278"/>
      <c r="CT220" s="278"/>
      <c r="CU220" s="278"/>
      <c r="CV220" s="278"/>
      <c r="CW220" s="278"/>
      <c r="CX220" s="278"/>
      <c r="CY220" s="278"/>
      <c r="CZ220" s="278"/>
      <c r="DA220" s="278"/>
      <c r="DB220" s="278"/>
      <c r="DC220" s="278"/>
      <c r="DD220" s="278"/>
      <c r="DE220" s="278"/>
      <c r="DF220" s="278"/>
      <c r="DG220" s="278"/>
      <c r="DH220" s="278"/>
      <c r="DI220" s="278"/>
      <c r="DJ220" s="278"/>
      <c r="DK220" s="278"/>
      <c r="DL220" s="278"/>
    </row>
    <row r="221" spans="1:116" ht="15.75" customHeight="1" x14ac:dyDescent="0.25">
      <c r="A221" s="466"/>
      <c r="B221" s="466"/>
      <c r="C221" s="467"/>
      <c r="D221" s="279"/>
      <c r="E221" s="280"/>
      <c r="F221" s="280"/>
      <c r="G221" s="279"/>
      <c r="H221" s="409"/>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82"/>
      <c r="AE221" s="282"/>
      <c r="AF221" s="282"/>
      <c r="AG221" s="282"/>
      <c r="AH221" s="282"/>
      <c r="AI221" s="282"/>
      <c r="AJ221" s="282"/>
      <c r="AK221" s="282"/>
      <c r="AL221" s="282"/>
      <c r="AM221" s="282"/>
      <c r="AN221" s="282"/>
      <c r="AO221" s="282"/>
      <c r="AP221" s="282"/>
      <c r="AQ221" s="282"/>
      <c r="AR221" s="282"/>
      <c r="AS221" s="282"/>
      <c r="AT221" s="282"/>
      <c r="AU221" s="282"/>
      <c r="AV221" s="282"/>
      <c r="AW221" s="282"/>
      <c r="AX221" s="282"/>
      <c r="AY221" s="282"/>
      <c r="AZ221" s="282"/>
      <c r="BA221" s="282"/>
      <c r="BB221" s="282"/>
      <c r="BC221" s="282"/>
      <c r="BD221" s="282"/>
      <c r="BE221" s="282"/>
      <c r="BF221" s="282"/>
      <c r="BG221" s="282"/>
      <c r="BH221" s="282"/>
      <c r="BI221" s="282"/>
      <c r="BJ221" s="278"/>
      <c r="BK221" s="278"/>
      <c r="BL221" s="278"/>
      <c r="BM221" s="278"/>
      <c r="BN221" s="278"/>
      <c r="BO221" s="278"/>
      <c r="BP221" s="278"/>
      <c r="BQ221" s="278"/>
      <c r="BR221" s="278"/>
      <c r="BS221" s="278"/>
      <c r="BT221" s="278"/>
      <c r="BU221" s="278"/>
      <c r="BV221" s="278"/>
      <c r="BW221" s="278"/>
      <c r="BX221" s="278"/>
      <c r="BY221" s="278"/>
      <c r="BZ221" s="278"/>
      <c r="CA221" s="278"/>
      <c r="CB221" s="278"/>
      <c r="CC221" s="278"/>
      <c r="CD221" s="278"/>
      <c r="CE221" s="278"/>
      <c r="CF221" s="278"/>
      <c r="CG221" s="278"/>
      <c r="CH221" s="278"/>
      <c r="CI221" s="278"/>
      <c r="CJ221" s="278"/>
      <c r="CK221" s="278"/>
      <c r="CL221" s="278"/>
      <c r="CM221" s="278"/>
      <c r="CN221" s="278"/>
      <c r="CO221" s="278"/>
      <c r="CP221" s="278"/>
      <c r="CQ221" s="278"/>
      <c r="CR221" s="278"/>
      <c r="CS221" s="278"/>
      <c r="CT221" s="278"/>
      <c r="CU221" s="278"/>
      <c r="CV221" s="278"/>
      <c r="CW221" s="278"/>
      <c r="CX221" s="278"/>
      <c r="CY221" s="278"/>
      <c r="CZ221" s="278"/>
      <c r="DA221" s="278"/>
      <c r="DB221" s="278"/>
      <c r="DC221" s="278"/>
      <c r="DD221" s="278"/>
      <c r="DE221" s="278"/>
      <c r="DF221" s="278"/>
      <c r="DG221" s="278"/>
      <c r="DH221" s="278"/>
      <c r="DI221" s="278"/>
      <c r="DJ221" s="278"/>
      <c r="DK221" s="278"/>
      <c r="DL221" s="278"/>
    </row>
    <row r="222" spans="1:116" ht="15.75" customHeight="1" x14ac:dyDescent="0.25">
      <c r="A222" s="466"/>
      <c r="B222" s="466"/>
      <c r="C222" s="467"/>
      <c r="D222" s="279"/>
      <c r="E222" s="280"/>
      <c r="F222" s="280"/>
      <c r="G222" s="279"/>
      <c r="H222" s="409"/>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282"/>
      <c r="AE222" s="282"/>
      <c r="AF222" s="282"/>
      <c r="AG222" s="282"/>
      <c r="AH222" s="282"/>
      <c r="AI222" s="282"/>
      <c r="AJ222" s="282"/>
      <c r="AK222" s="282"/>
      <c r="AL222" s="282"/>
      <c r="AM222" s="282"/>
      <c r="AN222" s="282"/>
      <c r="AO222" s="282"/>
      <c r="AP222" s="282"/>
      <c r="AQ222" s="282"/>
      <c r="AR222" s="282"/>
      <c r="AS222" s="282"/>
      <c r="AT222" s="282"/>
      <c r="AU222" s="282"/>
      <c r="AV222" s="282"/>
      <c r="AW222" s="282"/>
      <c r="AX222" s="282"/>
      <c r="AY222" s="282"/>
      <c r="AZ222" s="282"/>
      <c r="BA222" s="282"/>
      <c r="BB222" s="282"/>
      <c r="BC222" s="282"/>
      <c r="BD222" s="282"/>
      <c r="BE222" s="282"/>
      <c r="BF222" s="282"/>
      <c r="BG222" s="282"/>
      <c r="BH222" s="282"/>
      <c r="BI222" s="282"/>
      <c r="BJ222" s="278"/>
      <c r="BK222" s="278"/>
      <c r="BL222" s="278"/>
      <c r="BM222" s="278"/>
      <c r="BN222" s="278"/>
      <c r="BO222" s="278"/>
      <c r="BP222" s="278"/>
      <c r="BQ222" s="278"/>
      <c r="BR222" s="278"/>
      <c r="BS222" s="278"/>
      <c r="BT222" s="278"/>
      <c r="BU222" s="278"/>
      <c r="BV222" s="278"/>
      <c r="BW222" s="278"/>
      <c r="BX222" s="278"/>
      <c r="BY222" s="278"/>
      <c r="BZ222" s="278"/>
      <c r="CA222" s="278"/>
      <c r="CB222" s="278"/>
      <c r="CC222" s="278"/>
      <c r="CD222" s="278"/>
      <c r="CE222" s="278"/>
      <c r="CF222" s="278"/>
      <c r="CG222" s="278"/>
      <c r="CH222" s="278"/>
      <c r="CI222" s="278"/>
      <c r="CJ222" s="278"/>
      <c r="CK222" s="278"/>
      <c r="CL222" s="278"/>
      <c r="CM222" s="278"/>
      <c r="CN222" s="278"/>
      <c r="CO222" s="278"/>
      <c r="CP222" s="278"/>
      <c r="CQ222" s="278"/>
      <c r="CR222" s="278"/>
      <c r="CS222" s="278"/>
      <c r="CT222" s="278"/>
      <c r="CU222" s="278"/>
      <c r="CV222" s="278"/>
      <c r="CW222" s="278"/>
      <c r="CX222" s="278"/>
      <c r="CY222" s="278"/>
      <c r="CZ222" s="278"/>
      <c r="DA222" s="278"/>
      <c r="DB222" s="278"/>
      <c r="DC222" s="278"/>
      <c r="DD222" s="278"/>
      <c r="DE222" s="278"/>
      <c r="DF222" s="278"/>
      <c r="DG222" s="278"/>
      <c r="DH222" s="278"/>
      <c r="DI222" s="278"/>
      <c r="DJ222" s="278"/>
      <c r="DK222" s="278"/>
      <c r="DL222" s="278"/>
    </row>
    <row r="223" spans="1:116" ht="15.75" customHeight="1" x14ac:dyDescent="0.25">
      <c r="A223" s="466"/>
      <c r="B223" s="466"/>
      <c r="C223" s="467"/>
      <c r="D223" s="279"/>
      <c r="E223" s="280"/>
      <c r="F223" s="280"/>
      <c r="G223" s="279"/>
      <c r="H223" s="409"/>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c r="AF223" s="282"/>
      <c r="AG223" s="282"/>
      <c r="AH223" s="282"/>
      <c r="AI223" s="282"/>
      <c r="AJ223" s="282"/>
      <c r="AK223" s="282"/>
      <c r="AL223" s="282"/>
      <c r="AM223" s="282"/>
      <c r="AN223" s="282"/>
      <c r="AO223" s="282"/>
      <c r="AP223" s="282"/>
      <c r="AQ223" s="282"/>
      <c r="AR223" s="282"/>
      <c r="AS223" s="282"/>
      <c r="AT223" s="282"/>
      <c r="AU223" s="282"/>
      <c r="AV223" s="282"/>
      <c r="AW223" s="282"/>
      <c r="AX223" s="282"/>
      <c r="AY223" s="282"/>
      <c r="AZ223" s="282"/>
      <c r="BA223" s="282"/>
      <c r="BB223" s="282"/>
      <c r="BC223" s="282"/>
      <c r="BD223" s="282"/>
      <c r="BE223" s="282"/>
      <c r="BF223" s="282"/>
      <c r="BG223" s="282"/>
      <c r="BH223" s="282"/>
      <c r="BI223" s="282"/>
      <c r="BJ223" s="278"/>
      <c r="BK223" s="278"/>
      <c r="BL223" s="278"/>
      <c r="BM223" s="278"/>
      <c r="BN223" s="278"/>
      <c r="BO223" s="278"/>
      <c r="BP223" s="278"/>
      <c r="BQ223" s="278"/>
      <c r="BR223" s="278"/>
      <c r="BS223" s="278"/>
      <c r="BT223" s="278"/>
      <c r="BU223" s="278"/>
      <c r="BV223" s="278"/>
      <c r="BW223" s="278"/>
      <c r="BX223" s="278"/>
      <c r="BY223" s="278"/>
      <c r="BZ223" s="278"/>
      <c r="CA223" s="278"/>
      <c r="CB223" s="278"/>
      <c r="CC223" s="278"/>
      <c r="CD223" s="278"/>
      <c r="CE223" s="278"/>
      <c r="CF223" s="278"/>
      <c r="CG223" s="278"/>
      <c r="CH223" s="278"/>
      <c r="CI223" s="278"/>
      <c r="CJ223" s="278"/>
      <c r="CK223" s="278"/>
      <c r="CL223" s="278"/>
      <c r="CM223" s="278"/>
      <c r="CN223" s="278"/>
      <c r="CO223" s="278"/>
      <c r="CP223" s="278"/>
      <c r="CQ223" s="278"/>
      <c r="CR223" s="278"/>
      <c r="CS223" s="278"/>
      <c r="CT223" s="278"/>
      <c r="CU223" s="278"/>
      <c r="CV223" s="278"/>
      <c r="CW223" s="278"/>
      <c r="CX223" s="278"/>
      <c r="CY223" s="278"/>
      <c r="CZ223" s="278"/>
      <c r="DA223" s="278"/>
      <c r="DB223" s="278"/>
      <c r="DC223" s="278"/>
      <c r="DD223" s="278"/>
      <c r="DE223" s="278"/>
      <c r="DF223" s="278"/>
      <c r="DG223" s="278"/>
      <c r="DH223" s="278"/>
      <c r="DI223" s="278"/>
      <c r="DJ223" s="278"/>
      <c r="DK223" s="278"/>
      <c r="DL223" s="278"/>
    </row>
    <row r="224" spans="1:116" ht="15.75" customHeight="1" x14ac:dyDescent="0.25">
      <c r="A224" s="466"/>
      <c r="B224" s="466"/>
      <c r="C224" s="467"/>
      <c r="D224" s="279"/>
      <c r="E224" s="280"/>
      <c r="F224" s="280"/>
      <c r="G224" s="279"/>
      <c r="H224" s="409"/>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282"/>
      <c r="AF224" s="282"/>
      <c r="AG224" s="282"/>
      <c r="AH224" s="282"/>
      <c r="AI224" s="282"/>
      <c r="AJ224" s="282"/>
      <c r="AK224" s="282"/>
      <c r="AL224" s="282"/>
      <c r="AM224" s="282"/>
      <c r="AN224" s="282"/>
      <c r="AO224" s="282"/>
      <c r="AP224" s="282"/>
      <c r="AQ224" s="282"/>
      <c r="AR224" s="282"/>
      <c r="AS224" s="282"/>
      <c r="AT224" s="282"/>
      <c r="AU224" s="282"/>
      <c r="AV224" s="282"/>
      <c r="AW224" s="282"/>
      <c r="AX224" s="282"/>
      <c r="AY224" s="282"/>
      <c r="AZ224" s="282"/>
      <c r="BA224" s="282"/>
      <c r="BB224" s="282"/>
      <c r="BC224" s="282"/>
      <c r="BD224" s="282"/>
      <c r="BE224" s="282"/>
      <c r="BF224" s="282"/>
      <c r="BG224" s="282"/>
      <c r="BH224" s="282"/>
      <c r="BI224" s="282"/>
      <c r="BJ224" s="278"/>
      <c r="BK224" s="278"/>
      <c r="BL224" s="278"/>
      <c r="BM224" s="278"/>
      <c r="BN224" s="278"/>
      <c r="BO224" s="278"/>
      <c r="BP224" s="278"/>
      <c r="BQ224" s="278"/>
      <c r="BR224" s="278"/>
      <c r="BS224" s="278"/>
      <c r="BT224" s="278"/>
      <c r="BU224" s="278"/>
      <c r="BV224" s="278"/>
      <c r="BW224" s="278"/>
      <c r="BX224" s="278"/>
      <c r="BY224" s="278"/>
      <c r="BZ224" s="278"/>
      <c r="CA224" s="278"/>
      <c r="CB224" s="278"/>
      <c r="CC224" s="278"/>
      <c r="CD224" s="278"/>
      <c r="CE224" s="278"/>
      <c r="CF224" s="278"/>
      <c r="CG224" s="278"/>
      <c r="CH224" s="278"/>
      <c r="CI224" s="278"/>
      <c r="CJ224" s="278"/>
      <c r="CK224" s="278"/>
      <c r="CL224" s="278"/>
      <c r="CM224" s="278"/>
      <c r="CN224" s="278"/>
      <c r="CO224" s="278"/>
      <c r="CP224" s="278"/>
      <c r="CQ224" s="278"/>
      <c r="CR224" s="278"/>
      <c r="CS224" s="278"/>
      <c r="CT224" s="278"/>
      <c r="CU224" s="278"/>
      <c r="CV224" s="278"/>
      <c r="CW224" s="278"/>
      <c r="CX224" s="278"/>
      <c r="CY224" s="278"/>
      <c r="CZ224" s="278"/>
      <c r="DA224" s="278"/>
      <c r="DB224" s="278"/>
      <c r="DC224" s="278"/>
      <c r="DD224" s="278"/>
      <c r="DE224" s="278"/>
      <c r="DF224" s="278"/>
      <c r="DG224" s="278"/>
      <c r="DH224" s="278"/>
      <c r="DI224" s="278"/>
      <c r="DJ224" s="278"/>
      <c r="DK224" s="278"/>
      <c r="DL224" s="278"/>
    </row>
    <row r="225" spans="1:116" ht="15.75" customHeight="1" x14ac:dyDescent="0.25">
      <c r="A225" s="466"/>
      <c r="B225" s="466"/>
      <c r="C225" s="467"/>
      <c r="D225" s="279"/>
      <c r="E225" s="280"/>
      <c r="F225" s="280"/>
      <c r="G225" s="279"/>
      <c r="H225" s="409"/>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c r="AI225" s="282"/>
      <c r="AJ225" s="282"/>
      <c r="AK225" s="282"/>
      <c r="AL225" s="282"/>
      <c r="AM225" s="282"/>
      <c r="AN225" s="282"/>
      <c r="AO225" s="282"/>
      <c r="AP225" s="282"/>
      <c r="AQ225" s="282"/>
      <c r="AR225" s="282"/>
      <c r="AS225" s="282"/>
      <c r="AT225" s="282"/>
      <c r="AU225" s="282"/>
      <c r="AV225" s="282"/>
      <c r="AW225" s="282"/>
      <c r="AX225" s="282"/>
      <c r="AY225" s="282"/>
      <c r="AZ225" s="282"/>
      <c r="BA225" s="282"/>
      <c r="BB225" s="282"/>
      <c r="BC225" s="282"/>
      <c r="BD225" s="282"/>
      <c r="BE225" s="282"/>
      <c r="BF225" s="282"/>
      <c r="BG225" s="282"/>
      <c r="BH225" s="282"/>
      <c r="BI225" s="282"/>
      <c r="BJ225" s="278"/>
      <c r="BK225" s="278"/>
      <c r="BL225" s="278"/>
      <c r="BM225" s="278"/>
      <c r="BN225" s="278"/>
      <c r="BO225" s="278"/>
      <c r="BP225" s="278"/>
      <c r="BQ225" s="278"/>
      <c r="BR225" s="278"/>
      <c r="BS225" s="278"/>
      <c r="BT225" s="278"/>
      <c r="BU225" s="278"/>
      <c r="BV225" s="278"/>
      <c r="BW225" s="278"/>
      <c r="BX225" s="278"/>
      <c r="BY225" s="278"/>
      <c r="BZ225" s="278"/>
      <c r="CA225" s="278"/>
      <c r="CB225" s="278"/>
      <c r="CC225" s="278"/>
      <c r="CD225" s="278"/>
      <c r="CE225" s="278"/>
      <c r="CF225" s="278"/>
      <c r="CG225" s="278"/>
      <c r="CH225" s="278"/>
      <c r="CI225" s="278"/>
      <c r="CJ225" s="278"/>
      <c r="CK225" s="278"/>
      <c r="CL225" s="278"/>
      <c r="CM225" s="278"/>
      <c r="CN225" s="278"/>
      <c r="CO225" s="278"/>
      <c r="CP225" s="278"/>
      <c r="CQ225" s="278"/>
      <c r="CR225" s="278"/>
      <c r="CS225" s="278"/>
      <c r="CT225" s="278"/>
      <c r="CU225" s="278"/>
      <c r="CV225" s="278"/>
      <c r="CW225" s="278"/>
      <c r="CX225" s="278"/>
      <c r="CY225" s="278"/>
      <c r="CZ225" s="278"/>
      <c r="DA225" s="278"/>
      <c r="DB225" s="278"/>
      <c r="DC225" s="278"/>
      <c r="DD225" s="278"/>
      <c r="DE225" s="278"/>
      <c r="DF225" s="278"/>
      <c r="DG225" s="278"/>
      <c r="DH225" s="278"/>
      <c r="DI225" s="278"/>
      <c r="DJ225" s="278"/>
      <c r="DK225" s="278"/>
      <c r="DL225" s="278"/>
    </row>
    <row r="226" spans="1:116" ht="15.75" customHeight="1" x14ac:dyDescent="0.25">
      <c r="A226" s="466"/>
      <c r="B226" s="466"/>
      <c r="C226" s="467"/>
      <c r="D226" s="279"/>
      <c r="E226" s="280"/>
      <c r="F226" s="280"/>
      <c r="G226" s="279"/>
      <c r="H226" s="409"/>
      <c r="I226" s="282"/>
      <c r="J226" s="282"/>
      <c r="K226" s="282"/>
      <c r="L226" s="282"/>
      <c r="M226" s="282"/>
      <c r="N226" s="282"/>
      <c r="O226" s="282"/>
      <c r="P226" s="282"/>
      <c r="Q226" s="282"/>
      <c r="R226" s="282"/>
      <c r="S226" s="282"/>
      <c r="T226" s="282"/>
      <c r="U226" s="282"/>
      <c r="V226" s="282"/>
      <c r="W226" s="282"/>
      <c r="X226" s="282"/>
      <c r="Y226" s="282"/>
      <c r="Z226" s="282"/>
      <c r="AA226" s="282"/>
      <c r="AB226" s="282"/>
      <c r="AC226" s="282"/>
      <c r="AD226" s="282"/>
      <c r="AE226" s="282"/>
      <c r="AF226" s="282"/>
      <c r="AG226" s="282"/>
      <c r="AH226" s="282"/>
      <c r="AI226" s="282"/>
      <c r="AJ226" s="282"/>
      <c r="AK226" s="282"/>
      <c r="AL226" s="282"/>
      <c r="AM226" s="282"/>
      <c r="AN226" s="282"/>
      <c r="AO226" s="282"/>
      <c r="AP226" s="282"/>
      <c r="AQ226" s="282"/>
      <c r="AR226" s="282"/>
      <c r="AS226" s="282"/>
      <c r="AT226" s="282"/>
      <c r="AU226" s="282"/>
      <c r="AV226" s="282"/>
      <c r="AW226" s="282"/>
      <c r="AX226" s="282"/>
      <c r="AY226" s="282"/>
      <c r="AZ226" s="282"/>
      <c r="BA226" s="282"/>
      <c r="BB226" s="282"/>
      <c r="BC226" s="282"/>
      <c r="BD226" s="282"/>
      <c r="BE226" s="282"/>
      <c r="BF226" s="282"/>
      <c r="BG226" s="282"/>
      <c r="BH226" s="282"/>
      <c r="BI226" s="282"/>
      <c r="BJ226" s="278"/>
      <c r="BK226" s="278"/>
      <c r="BL226" s="278"/>
      <c r="BM226" s="278"/>
      <c r="BN226" s="278"/>
      <c r="BO226" s="278"/>
      <c r="BP226" s="278"/>
      <c r="BQ226" s="278"/>
      <c r="BR226" s="278"/>
      <c r="BS226" s="278"/>
      <c r="BT226" s="278"/>
      <c r="BU226" s="278"/>
      <c r="BV226" s="278"/>
      <c r="BW226" s="278"/>
      <c r="BX226" s="278"/>
      <c r="BY226" s="278"/>
      <c r="BZ226" s="278"/>
      <c r="CA226" s="278"/>
      <c r="CB226" s="278"/>
      <c r="CC226" s="278"/>
      <c r="CD226" s="278"/>
      <c r="CE226" s="278"/>
      <c r="CF226" s="278"/>
      <c r="CG226" s="278"/>
      <c r="CH226" s="278"/>
      <c r="CI226" s="278"/>
      <c r="CJ226" s="278"/>
      <c r="CK226" s="278"/>
      <c r="CL226" s="278"/>
      <c r="CM226" s="278"/>
      <c r="CN226" s="278"/>
      <c r="CO226" s="278"/>
      <c r="CP226" s="278"/>
      <c r="CQ226" s="278"/>
      <c r="CR226" s="278"/>
      <c r="CS226" s="278"/>
      <c r="CT226" s="278"/>
      <c r="CU226" s="278"/>
      <c r="CV226" s="278"/>
      <c r="CW226" s="278"/>
      <c r="CX226" s="278"/>
      <c r="CY226" s="278"/>
      <c r="CZ226" s="278"/>
      <c r="DA226" s="278"/>
      <c r="DB226" s="278"/>
      <c r="DC226" s="278"/>
      <c r="DD226" s="278"/>
      <c r="DE226" s="278"/>
      <c r="DF226" s="278"/>
      <c r="DG226" s="278"/>
      <c r="DH226" s="278"/>
      <c r="DI226" s="278"/>
      <c r="DJ226" s="278"/>
      <c r="DK226" s="278"/>
      <c r="DL226" s="278"/>
    </row>
    <row r="227" spans="1:116" ht="15.75" customHeight="1" x14ac:dyDescent="0.25">
      <c r="A227" s="466"/>
      <c r="B227" s="466"/>
      <c r="C227" s="467"/>
      <c r="D227" s="279"/>
      <c r="E227" s="280"/>
      <c r="F227" s="280"/>
      <c r="G227" s="279"/>
      <c r="H227" s="409"/>
      <c r="I227" s="282"/>
      <c r="J227" s="282"/>
      <c r="K227" s="282"/>
      <c r="L227" s="282"/>
      <c r="M227" s="282"/>
      <c r="N227" s="282"/>
      <c r="O227" s="282"/>
      <c r="P227" s="282"/>
      <c r="Q227" s="282"/>
      <c r="R227" s="282"/>
      <c r="S227" s="282"/>
      <c r="T227" s="282"/>
      <c r="U227" s="282"/>
      <c r="V227" s="282"/>
      <c r="W227" s="282"/>
      <c r="X227" s="282"/>
      <c r="Y227" s="282"/>
      <c r="Z227" s="282"/>
      <c r="AA227" s="282"/>
      <c r="AB227" s="282"/>
      <c r="AC227" s="282"/>
      <c r="AD227" s="282"/>
      <c r="AE227" s="282"/>
      <c r="AF227" s="282"/>
      <c r="AG227" s="282"/>
      <c r="AH227" s="282"/>
      <c r="AI227" s="282"/>
      <c r="AJ227" s="282"/>
      <c r="AK227" s="282"/>
      <c r="AL227" s="282"/>
      <c r="AM227" s="282"/>
      <c r="AN227" s="282"/>
      <c r="AO227" s="282"/>
      <c r="AP227" s="282"/>
      <c r="AQ227" s="282"/>
      <c r="AR227" s="282"/>
      <c r="AS227" s="282"/>
      <c r="AT227" s="282"/>
      <c r="AU227" s="282"/>
      <c r="AV227" s="282"/>
      <c r="AW227" s="282"/>
      <c r="AX227" s="282"/>
      <c r="AY227" s="282"/>
      <c r="AZ227" s="282"/>
      <c r="BA227" s="282"/>
      <c r="BB227" s="282"/>
      <c r="BC227" s="282"/>
      <c r="BD227" s="282"/>
      <c r="BE227" s="282"/>
      <c r="BF227" s="282"/>
      <c r="BG227" s="282"/>
      <c r="BH227" s="282"/>
      <c r="BI227" s="282"/>
      <c r="BJ227" s="278"/>
      <c r="BK227" s="278"/>
      <c r="BL227" s="278"/>
      <c r="BM227" s="278"/>
      <c r="BN227" s="278"/>
      <c r="BO227" s="278"/>
      <c r="BP227" s="278"/>
      <c r="BQ227" s="278"/>
      <c r="BR227" s="278"/>
      <c r="BS227" s="278"/>
      <c r="BT227" s="278"/>
      <c r="BU227" s="278"/>
      <c r="BV227" s="278"/>
      <c r="BW227" s="278"/>
      <c r="BX227" s="278"/>
      <c r="BY227" s="278"/>
      <c r="BZ227" s="278"/>
      <c r="CA227" s="278"/>
      <c r="CB227" s="278"/>
      <c r="CC227" s="278"/>
      <c r="CD227" s="278"/>
      <c r="CE227" s="278"/>
      <c r="CF227" s="278"/>
      <c r="CG227" s="278"/>
      <c r="CH227" s="278"/>
      <c r="CI227" s="278"/>
      <c r="CJ227" s="278"/>
      <c r="CK227" s="278"/>
      <c r="CL227" s="278"/>
      <c r="CM227" s="278"/>
      <c r="CN227" s="278"/>
      <c r="CO227" s="278"/>
      <c r="CP227" s="278"/>
      <c r="CQ227" s="278"/>
      <c r="CR227" s="278"/>
      <c r="CS227" s="278"/>
      <c r="CT227" s="278"/>
      <c r="CU227" s="278"/>
      <c r="CV227" s="278"/>
      <c r="CW227" s="278"/>
      <c r="CX227" s="278"/>
      <c r="CY227" s="278"/>
      <c r="CZ227" s="278"/>
      <c r="DA227" s="278"/>
      <c r="DB227" s="278"/>
      <c r="DC227" s="278"/>
      <c r="DD227" s="278"/>
      <c r="DE227" s="278"/>
      <c r="DF227" s="278"/>
      <c r="DG227" s="278"/>
      <c r="DH227" s="278"/>
      <c r="DI227" s="278"/>
      <c r="DJ227" s="278"/>
      <c r="DK227" s="278"/>
      <c r="DL227" s="278"/>
    </row>
    <row r="228" spans="1:116" ht="15.75" customHeight="1" x14ac:dyDescent="0.25">
      <c r="A228" s="466"/>
      <c r="B228" s="466"/>
      <c r="C228" s="467"/>
      <c r="D228" s="279"/>
      <c r="E228" s="280"/>
      <c r="F228" s="280"/>
      <c r="G228" s="279"/>
      <c r="H228" s="409"/>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c r="AF228" s="282"/>
      <c r="AG228" s="282"/>
      <c r="AH228" s="282"/>
      <c r="AI228" s="282"/>
      <c r="AJ228" s="282"/>
      <c r="AK228" s="282"/>
      <c r="AL228" s="282"/>
      <c r="AM228" s="282"/>
      <c r="AN228" s="282"/>
      <c r="AO228" s="282"/>
      <c r="AP228" s="282"/>
      <c r="AQ228" s="282"/>
      <c r="AR228" s="282"/>
      <c r="AS228" s="282"/>
      <c r="AT228" s="282"/>
      <c r="AU228" s="282"/>
      <c r="AV228" s="282"/>
      <c r="AW228" s="282"/>
      <c r="AX228" s="282"/>
      <c r="AY228" s="282"/>
      <c r="AZ228" s="282"/>
      <c r="BA228" s="282"/>
      <c r="BB228" s="282"/>
      <c r="BC228" s="282"/>
      <c r="BD228" s="282"/>
      <c r="BE228" s="282"/>
      <c r="BF228" s="282"/>
      <c r="BG228" s="282"/>
      <c r="BH228" s="282"/>
      <c r="BI228" s="282"/>
      <c r="BJ228" s="278"/>
      <c r="BK228" s="278"/>
      <c r="BL228" s="278"/>
      <c r="BM228" s="278"/>
      <c r="BN228" s="278"/>
      <c r="BO228" s="278"/>
      <c r="BP228" s="278"/>
      <c r="BQ228" s="278"/>
      <c r="BR228" s="278"/>
      <c r="BS228" s="278"/>
      <c r="BT228" s="278"/>
      <c r="BU228" s="278"/>
      <c r="BV228" s="278"/>
      <c r="BW228" s="278"/>
      <c r="BX228" s="278"/>
      <c r="BY228" s="278"/>
      <c r="BZ228" s="278"/>
      <c r="CA228" s="278"/>
      <c r="CB228" s="278"/>
      <c r="CC228" s="278"/>
      <c r="CD228" s="278"/>
      <c r="CE228" s="278"/>
      <c r="CF228" s="278"/>
      <c r="CG228" s="278"/>
      <c r="CH228" s="278"/>
      <c r="CI228" s="278"/>
      <c r="CJ228" s="278"/>
      <c r="CK228" s="278"/>
      <c r="CL228" s="278"/>
      <c r="CM228" s="278"/>
      <c r="CN228" s="278"/>
      <c r="CO228" s="278"/>
      <c r="CP228" s="278"/>
      <c r="CQ228" s="278"/>
      <c r="CR228" s="278"/>
      <c r="CS228" s="278"/>
      <c r="CT228" s="278"/>
      <c r="CU228" s="278"/>
      <c r="CV228" s="278"/>
      <c r="CW228" s="278"/>
      <c r="CX228" s="278"/>
      <c r="CY228" s="278"/>
      <c r="CZ228" s="278"/>
      <c r="DA228" s="278"/>
      <c r="DB228" s="278"/>
      <c r="DC228" s="278"/>
      <c r="DD228" s="278"/>
      <c r="DE228" s="278"/>
      <c r="DF228" s="278"/>
      <c r="DG228" s="278"/>
      <c r="DH228" s="278"/>
      <c r="DI228" s="278"/>
      <c r="DJ228" s="278"/>
      <c r="DK228" s="278"/>
      <c r="DL228" s="278"/>
    </row>
    <row r="229" spans="1:116" ht="15.75" customHeight="1" x14ac:dyDescent="0.25">
      <c r="A229" s="466"/>
      <c r="B229" s="466"/>
      <c r="C229" s="467"/>
      <c r="D229" s="279"/>
      <c r="E229" s="280"/>
      <c r="F229" s="280"/>
      <c r="G229" s="279"/>
      <c r="H229" s="409"/>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c r="AI229" s="282"/>
      <c r="AJ229" s="282"/>
      <c r="AK229" s="282"/>
      <c r="AL229" s="282"/>
      <c r="AM229" s="282"/>
      <c r="AN229" s="282"/>
      <c r="AO229" s="282"/>
      <c r="AP229" s="282"/>
      <c r="AQ229" s="282"/>
      <c r="AR229" s="282"/>
      <c r="AS229" s="282"/>
      <c r="AT229" s="282"/>
      <c r="AU229" s="282"/>
      <c r="AV229" s="282"/>
      <c r="AW229" s="282"/>
      <c r="AX229" s="282"/>
      <c r="AY229" s="282"/>
      <c r="AZ229" s="282"/>
      <c r="BA229" s="282"/>
      <c r="BB229" s="282"/>
      <c r="BC229" s="282"/>
      <c r="BD229" s="282"/>
      <c r="BE229" s="282"/>
      <c r="BF229" s="282"/>
      <c r="BG229" s="282"/>
      <c r="BH229" s="282"/>
      <c r="BI229" s="282"/>
      <c r="BJ229" s="278"/>
      <c r="BK229" s="278"/>
      <c r="BL229" s="278"/>
      <c r="BM229" s="278"/>
      <c r="BN229" s="278"/>
      <c r="BO229" s="278"/>
      <c r="BP229" s="278"/>
      <c r="BQ229" s="278"/>
      <c r="BR229" s="278"/>
      <c r="BS229" s="278"/>
      <c r="BT229" s="278"/>
      <c r="BU229" s="278"/>
      <c r="BV229" s="278"/>
      <c r="BW229" s="278"/>
      <c r="BX229" s="278"/>
      <c r="BY229" s="278"/>
      <c r="BZ229" s="278"/>
      <c r="CA229" s="278"/>
      <c r="CB229" s="278"/>
      <c r="CC229" s="278"/>
      <c r="CD229" s="278"/>
      <c r="CE229" s="278"/>
      <c r="CF229" s="278"/>
      <c r="CG229" s="278"/>
      <c r="CH229" s="278"/>
      <c r="CI229" s="278"/>
      <c r="CJ229" s="278"/>
      <c r="CK229" s="278"/>
      <c r="CL229" s="278"/>
      <c r="CM229" s="278"/>
      <c r="CN229" s="278"/>
      <c r="CO229" s="278"/>
      <c r="CP229" s="278"/>
      <c r="CQ229" s="278"/>
      <c r="CR229" s="278"/>
      <c r="CS229" s="278"/>
      <c r="CT229" s="278"/>
      <c r="CU229" s="278"/>
      <c r="CV229" s="278"/>
      <c r="CW229" s="278"/>
      <c r="CX229" s="278"/>
      <c r="CY229" s="278"/>
      <c r="CZ229" s="278"/>
      <c r="DA229" s="278"/>
      <c r="DB229" s="278"/>
      <c r="DC229" s="278"/>
      <c r="DD229" s="278"/>
      <c r="DE229" s="278"/>
      <c r="DF229" s="278"/>
      <c r="DG229" s="278"/>
      <c r="DH229" s="278"/>
      <c r="DI229" s="278"/>
      <c r="DJ229" s="278"/>
      <c r="DK229" s="278"/>
      <c r="DL229" s="278"/>
    </row>
    <row r="230" spans="1:116" ht="15.75" customHeight="1" x14ac:dyDescent="0.25">
      <c r="A230" s="466"/>
      <c r="B230" s="466"/>
      <c r="C230" s="467"/>
      <c r="D230" s="279"/>
      <c r="E230" s="280"/>
      <c r="F230" s="280"/>
      <c r="G230" s="279"/>
      <c r="H230" s="409"/>
      <c r="I230" s="282"/>
      <c r="J230" s="282"/>
      <c r="K230" s="282"/>
      <c r="L230" s="282"/>
      <c r="M230" s="282"/>
      <c r="N230" s="282"/>
      <c r="O230" s="282"/>
      <c r="P230" s="282"/>
      <c r="Q230" s="282"/>
      <c r="R230" s="282"/>
      <c r="S230" s="282"/>
      <c r="T230" s="282"/>
      <c r="U230" s="282"/>
      <c r="V230" s="282"/>
      <c r="W230" s="282"/>
      <c r="X230" s="282"/>
      <c r="Y230" s="282"/>
      <c r="Z230" s="282"/>
      <c r="AA230" s="282"/>
      <c r="AB230" s="282"/>
      <c r="AC230" s="282"/>
      <c r="AD230" s="282"/>
      <c r="AE230" s="282"/>
      <c r="AF230" s="282"/>
      <c r="AG230" s="282"/>
      <c r="AH230" s="282"/>
      <c r="AI230" s="282"/>
      <c r="AJ230" s="282"/>
      <c r="AK230" s="282"/>
      <c r="AL230" s="282"/>
      <c r="AM230" s="282"/>
      <c r="AN230" s="282"/>
      <c r="AO230" s="282"/>
      <c r="AP230" s="282"/>
      <c r="AQ230" s="282"/>
      <c r="AR230" s="282"/>
      <c r="AS230" s="282"/>
      <c r="AT230" s="282"/>
      <c r="AU230" s="282"/>
      <c r="AV230" s="282"/>
      <c r="AW230" s="282"/>
      <c r="AX230" s="282"/>
      <c r="AY230" s="282"/>
      <c r="AZ230" s="282"/>
      <c r="BA230" s="282"/>
      <c r="BB230" s="282"/>
      <c r="BC230" s="282"/>
      <c r="BD230" s="282"/>
      <c r="BE230" s="282"/>
      <c r="BF230" s="282"/>
      <c r="BG230" s="282"/>
      <c r="BH230" s="282"/>
      <c r="BI230" s="282"/>
      <c r="BJ230" s="278"/>
      <c r="BK230" s="278"/>
      <c r="BL230" s="278"/>
      <c r="BM230" s="278"/>
      <c r="BN230" s="278"/>
      <c r="BO230" s="278"/>
      <c r="BP230" s="278"/>
      <c r="BQ230" s="278"/>
      <c r="BR230" s="278"/>
      <c r="BS230" s="278"/>
      <c r="BT230" s="278"/>
      <c r="BU230" s="278"/>
      <c r="BV230" s="278"/>
      <c r="BW230" s="278"/>
      <c r="BX230" s="278"/>
      <c r="BY230" s="278"/>
      <c r="BZ230" s="278"/>
      <c r="CA230" s="278"/>
      <c r="CB230" s="278"/>
      <c r="CC230" s="278"/>
      <c r="CD230" s="278"/>
      <c r="CE230" s="278"/>
      <c r="CF230" s="278"/>
      <c r="CG230" s="278"/>
      <c r="CH230" s="278"/>
      <c r="CI230" s="278"/>
      <c r="CJ230" s="278"/>
      <c r="CK230" s="278"/>
      <c r="CL230" s="278"/>
      <c r="CM230" s="278"/>
      <c r="CN230" s="278"/>
      <c r="CO230" s="278"/>
      <c r="CP230" s="278"/>
      <c r="CQ230" s="278"/>
      <c r="CR230" s="278"/>
      <c r="CS230" s="278"/>
      <c r="CT230" s="278"/>
      <c r="CU230" s="278"/>
      <c r="CV230" s="278"/>
      <c r="CW230" s="278"/>
      <c r="CX230" s="278"/>
      <c r="CY230" s="278"/>
      <c r="CZ230" s="278"/>
      <c r="DA230" s="278"/>
      <c r="DB230" s="278"/>
      <c r="DC230" s="278"/>
      <c r="DD230" s="278"/>
      <c r="DE230" s="278"/>
      <c r="DF230" s="278"/>
      <c r="DG230" s="278"/>
      <c r="DH230" s="278"/>
      <c r="DI230" s="278"/>
      <c r="DJ230" s="278"/>
      <c r="DK230" s="278"/>
      <c r="DL230" s="278"/>
    </row>
    <row r="231" spans="1:116" ht="15.75" customHeight="1" x14ac:dyDescent="0.25">
      <c r="A231" s="466"/>
      <c r="B231" s="466"/>
      <c r="C231" s="467"/>
      <c r="D231" s="279"/>
      <c r="E231" s="280"/>
      <c r="F231" s="280"/>
      <c r="G231" s="279"/>
      <c r="H231" s="409"/>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282"/>
      <c r="AE231" s="282"/>
      <c r="AF231" s="282"/>
      <c r="AG231" s="282"/>
      <c r="AH231" s="282"/>
      <c r="AI231" s="282"/>
      <c r="AJ231" s="282"/>
      <c r="AK231" s="282"/>
      <c r="AL231" s="282"/>
      <c r="AM231" s="282"/>
      <c r="AN231" s="282"/>
      <c r="AO231" s="282"/>
      <c r="AP231" s="282"/>
      <c r="AQ231" s="282"/>
      <c r="AR231" s="282"/>
      <c r="AS231" s="282"/>
      <c r="AT231" s="282"/>
      <c r="AU231" s="282"/>
      <c r="AV231" s="282"/>
      <c r="AW231" s="282"/>
      <c r="AX231" s="282"/>
      <c r="AY231" s="282"/>
      <c r="AZ231" s="282"/>
      <c r="BA231" s="282"/>
      <c r="BB231" s="282"/>
      <c r="BC231" s="282"/>
      <c r="BD231" s="282"/>
      <c r="BE231" s="282"/>
      <c r="BF231" s="282"/>
      <c r="BG231" s="282"/>
      <c r="BH231" s="282"/>
      <c r="BI231" s="282"/>
      <c r="BJ231" s="278"/>
      <c r="BK231" s="278"/>
      <c r="BL231" s="278"/>
      <c r="BM231" s="278"/>
      <c r="BN231" s="278"/>
      <c r="BO231" s="278"/>
      <c r="BP231" s="278"/>
      <c r="BQ231" s="278"/>
      <c r="BR231" s="278"/>
      <c r="BS231" s="278"/>
      <c r="BT231" s="278"/>
      <c r="BU231" s="278"/>
      <c r="BV231" s="278"/>
      <c r="BW231" s="278"/>
      <c r="BX231" s="278"/>
      <c r="BY231" s="278"/>
      <c r="BZ231" s="278"/>
      <c r="CA231" s="278"/>
      <c r="CB231" s="278"/>
      <c r="CC231" s="278"/>
      <c r="CD231" s="278"/>
      <c r="CE231" s="278"/>
      <c r="CF231" s="278"/>
      <c r="CG231" s="278"/>
      <c r="CH231" s="278"/>
      <c r="CI231" s="278"/>
      <c r="CJ231" s="278"/>
      <c r="CK231" s="278"/>
      <c r="CL231" s="278"/>
      <c r="CM231" s="278"/>
      <c r="CN231" s="278"/>
      <c r="CO231" s="278"/>
      <c r="CP231" s="278"/>
      <c r="CQ231" s="278"/>
      <c r="CR231" s="278"/>
      <c r="CS231" s="278"/>
      <c r="CT231" s="278"/>
      <c r="CU231" s="278"/>
      <c r="CV231" s="278"/>
      <c r="CW231" s="278"/>
      <c r="CX231" s="278"/>
      <c r="CY231" s="278"/>
      <c r="CZ231" s="278"/>
      <c r="DA231" s="278"/>
      <c r="DB231" s="278"/>
      <c r="DC231" s="278"/>
      <c r="DD231" s="278"/>
      <c r="DE231" s="278"/>
      <c r="DF231" s="278"/>
      <c r="DG231" s="278"/>
      <c r="DH231" s="278"/>
      <c r="DI231" s="278"/>
      <c r="DJ231" s="278"/>
      <c r="DK231" s="278"/>
      <c r="DL231" s="278"/>
    </row>
    <row r="232" spans="1:116" ht="15.75" customHeight="1" x14ac:dyDescent="0.25">
      <c r="A232" s="466"/>
      <c r="B232" s="466"/>
      <c r="C232" s="467"/>
      <c r="D232" s="279"/>
      <c r="E232" s="280"/>
      <c r="F232" s="280"/>
      <c r="G232" s="279"/>
      <c r="H232" s="409"/>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282"/>
      <c r="AE232" s="282"/>
      <c r="AF232" s="282"/>
      <c r="AG232" s="282"/>
      <c r="AH232" s="282"/>
      <c r="AI232" s="282"/>
      <c r="AJ232" s="282"/>
      <c r="AK232" s="282"/>
      <c r="AL232" s="282"/>
      <c r="AM232" s="282"/>
      <c r="AN232" s="282"/>
      <c r="AO232" s="282"/>
      <c r="AP232" s="282"/>
      <c r="AQ232" s="282"/>
      <c r="AR232" s="282"/>
      <c r="AS232" s="282"/>
      <c r="AT232" s="282"/>
      <c r="AU232" s="282"/>
      <c r="AV232" s="282"/>
      <c r="AW232" s="282"/>
      <c r="AX232" s="282"/>
      <c r="AY232" s="282"/>
      <c r="AZ232" s="282"/>
      <c r="BA232" s="282"/>
      <c r="BB232" s="282"/>
      <c r="BC232" s="282"/>
      <c r="BD232" s="282"/>
      <c r="BE232" s="282"/>
      <c r="BF232" s="282"/>
      <c r="BG232" s="282"/>
      <c r="BH232" s="282"/>
      <c r="BI232" s="282"/>
      <c r="BJ232" s="278"/>
      <c r="BK232" s="278"/>
      <c r="BL232" s="278"/>
      <c r="BM232" s="278"/>
      <c r="BN232" s="278"/>
      <c r="BO232" s="278"/>
      <c r="BP232" s="278"/>
      <c r="BQ232" s="278"/>
      <c r="BR232" s="278"/>
      <c r="BS232" s="278"/>
      <c r="BT232" s="278"/>
      <c r="BU232" s="278"/>
      <c r="BV232" s="278"/>
      <c r="BW232" s="278"/>
      <c r="BX232" s="278"/>
      <c r="BY232" s="278"/>
      <c r="BZ232" s="278"/>
      <c r="CA232" s="278"/>
      <c r="CB232" s="278"/>
      <c r="CC232" s="278"/>
      <c r="CD232" s="278"/>
      <c r="CE232" s="278"/>
      <c r="CF232" s="278"/>
      <c r="CG232" s="278"/>
      <c r="CH232" s="278"/>
      <c r="CI232" s="278"/>
      <c r="CJ232" s="278"/>
      <c r="CK232" s="278"/>
      <c r="CL232" s="278"/>
      <c r="CM232" s="278"/>
      <c r="CN232" s="278"/>
      <c r="CO232" s="278"/>
      <c r="CP232" s="278"/>
      <c r="CQ232" s="278"/>
      <c r="CR232" s="278"/>
      <c r="CS232" s="278"/>
      <c r="CT232" s="278"/>
      <c r="CU232" s="278"/>
      <c r="CV232" s="278"/>
      <c r="CW232" s="278"/>
      <c r="CX232" s="278"/>
      <c r="CY232" s="278"/>
      <c r="CZ232" s="278"/>
      <c r="DA232" s="278"/>
      <c r="DB232" s="278"/>
      <c r="DC232" s="278"/>
      <c r="DD232" s="278"/>
      <c r="DE232" s="278"/>
      <c r="DF232" s="278"/>
      <c r="DG232" s="278"/>
      <c r="DH232" s="278"/>
      <c r="DI232" s="278"/>
      <c r="DJ232" s="278"/>
      <c r="DK232" s="278"/>
      <c r="DL232" s="278"/>
    </row>
    <row r="233" spans="1:116" ht="15.75" customHeight="1" x14ac:dyDescent="0.25">
      <c r="A233" s="466"/>
      <c r="B233" s="466"/>
      <c r="C233" s="467"/>
      <c r="D233" s="279"/>
      <c r="E233" s="280"/>
      <c r="F233" s="280"/>
      <c r="G233" s="279"/>
      <c r="H233" s="409"/>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282"/>
      <c r="AF233" s="282"/>
      <c r="AG233" s="282"/>
      <c r="AH233" s="282"/>
      <c r="AI233" s="282"/>
      <c r="AJ233" s="282"/>
      <c r="AK233" s="282"/>
      <c r="AL233" s="282"/>
      <c r="AM233" s="282"/>
      <c r="AN233" s="282"/>
      <c r="AO233" s="282"/>
      <c r="AP233" s="282"/>
      <c r="AQ233" s="282"/>
      <c r="AR233" s="282"/>
      <c r="AS233" s="282"/>
      <c r="AT233" s="282"/>
      <c r="AU233" s="282"/>
      <c r="AV233" s="282"/>
      <c r="AW233" s="282"/>
      <c r="AX233" s="282"/>
      <c r="AY233" s="282"/>
      <c r="AZ233" s="282"/>
      <c r="BA233" s="282"/>
      <c r="BB233" s="282"/>
      <c r="BC233" s="282"/>
      <c r="BD233" s="282"/>
      <c r="BE233" s="282"/>
      <c r="BF233" s="282"/>
      <c r="BG233" s="282"/>
      <c r="BH233" s="282"/>
      <c r="BI233" s="282"/>
      <c r="BJ233" s="278"/>
      <c r="BK233" s="278"/>
      <c r="BL233" s="278"/>
      <c r="BM233" s="278"/>
      <c r="BN233" s="278"/>
      <c r="BO233" s="278"/>
      <c r="BP233" s="278"/>
      <c r="BQ233" s="278"/>
      <c r="BR233" s="278"/>
      <c r="BS233" s="278"/>
      <c r="BT233" s="278"/>
      <c r="BU233" s="278"/>
      <c r="BV233" s="278"/>
      <c r="BW233" s="278"/>
      <c r="BX233" s="278"/>
      <c r="BY233" s="278"/>
      <c r="BZ233" s="278"/>
      <c r="CA233" s="278"/>
      <c r="CB233" s="278"/>
      <c r="CC233" s="278"/>
      <c r="CD233" s="278"/>
      <c r="CE233" s="278"/>
      <c r="CF233" s="278"/>
      <c r="CG233" s="278"/>
      <c r="CH233" s="278"/>
      <c r="CI233" s="278"/>
      <c r="CJ233" s="278"/>
      <c r="CK233" s="278"/>
      <c r="CL233" s="278"/>
      <c r="CM233" s="278"/>
      <c r="CN233" s="278"/>
      <c r="CO233" s="278"/>
      <c r="CP233" s="278"/>
      <c r="CQ233" s="278"/>
      <c r="CR233" s="278"/>
      <c r="CS233" s="278"/>
      <c r="CT233" s="278"/>
      <c r="CU233" s="278"/>
      <c r="CV233" s="278"/>
      <c r="CW233" s="278"/>
      <c r="CX233" s="278"/>
      <c r="CY233" s="278"/>
      <c r="CZ233" s="278"/>
      <c r="DA233" s="278"/>
      <c r="DB233" s="278"/>
      <c r="DC233" s="278"/>
      <c r="DD233" s="278"/>
      <c r="DE233" s="278"/>
      <c r="DF233" s="278"/>
      <c r="DG233" s="278"/>
      <c r="DH233" s="278"/>
      <c r="DI233" s="278"/>
      <c r="DJ233" s="278"/>
      <c r="DK233" s="278"/>
      <c r="DL233" s="278"/>
    </row>
    <row r="234" spans="1:116" ht="15.75" customHeight="1" x14ac:dyDescent="0.25">
      <c r="A234" s="466"/>
      <c r="B234" s="466"/>
      <c r="C234" s="467"/>
      <c r="D234" s="279"/>
      <c r="E234" s="280"/>
      <c r="F234" s="280"/>
      <c r="G234" s="279"/>
      <c r="H234" s="409"/>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82"/>
      <c r="AE234" s="282"/>
      <c r="AF234" s="282"/>
      <c r="AG234" s="282"/>
      <c r="AH234" s="282"/>
      <c r="AI234" s="282"/>
      <c r="AJ234" s="282"/>
      <c r="AK234" s="282"/>
      <c r="AL234" s="282"/>
      <c r="AM234" s="282"/>
      <c r="AN234" s="282"/>
      <c r="AO234" s="282"/>
      <c r="AP234" s="282"/>
      <c r="AQ234" s="282"/>
      <c r="AR234" s="282"/>
      <c r="AS234" s="282"/>
      <c r="AT234" s="282"/>
      <c r="AU234" s="282"/>
      <c r="AV234" s="282"/>
      <c r="AW234" s="282"/>
      <c r="AX234" s="282"/>
      <c r="AY234" s="282"/>
      <c r="AZ234" s="282"/>
      <c r="BA234" s="282"/>
      <c r="BB234" s="282"/>
      <c r="BC234" s="282"/>
      <c r="BD234" s="282"/>
      <c r="BE234" s="282"/>
      <c r="BF234" s="282"/>
      <c r="BG234" s="282"/>
      <c r="BH234" s="282"/>
      <c r="BI234" s="282"/>
      <c r="BJ234" s="278"/>
      <c r="BK234" s="278"/>
      <c r="BL234" s="278"/>
      <c r="BM234" s="278"/>
      <c r="BN234" s="278"/>
      <c r="BO234" s="278"/>
      <c r="BP234" s="278"/>
      <c r="BQ234" s="278"/>
      <c r="BR234" s="278"/>
      <c r="BS234" s="278"/>
      <c r="BT234" s="278"/>
      <c r="BU234" s="278"/>
      <c r="BV234" s="278"/>
      <c r="BW234" s="278"/>
      <c r="BX234" s="278"/>
      <c r="BY234" s="278"/>
      <c r="BZ234" s="278"/>
      <c r="CA234" s="278"/>
      <c r="CB234" s="278"/>
      <c r="CC234" s="278"/>
      <c r="CD234" s="278"/>
      <c r="CE234" s="278"/>
      <c r="CF234" s="278"/>
      <c r="CG234" s="278"/>
      <c r="CH234" s="278"/>
      <c r="CI234" s="278"/>
      <c r="CJ234" s="278"/>
      <c r="CK234" s="278"/>
      <c r="CL234" s="278"/>
      <c r="CM234" s="278"/>
      <c r="CN234" s="278"/>
      <c r="CO234" s="278"/>
      <c r="CP234" s="278"/>
      <c r="CQ234" s="278"/>
      <c r="CR234" s="278"/>
      <c r="CS234" s="278"/>
      <c r="CT234" s="278"/>
      <c r="CU234" s="278"/>
      <c r="CV234" s="278"/>
      <c r="CW234" s="278"/>
      <c r="CX234" s="278"/>
      <c r="CY234" s="278"/>
      <c r="CZ234" s="278"/>
      <c r="DA234" s="278"/>
      <c r="DB234" s="278"/>
      <c r="DC234" s="278"/>
      <c r="DD234" s="278"/>
      <c r="DE234" s="278"/>
      <c r="DF234" s="278"/>
      <c r="DG234" s="278"/>
      <c r="DH234" s="278"/>
      <c r="DI234" s="278"/>
      <c r="DJ234" s="278"/>
      <c r="DK234" s="278"/>
      <c r="DL234" s="278"/>
    </row>
    <row r="235" spans="1:116" ht="15.75" customHeight="1" x14ac:dyDescent="0.25">
      <c r="A235" s="466"/>
      <c r="B235" s="466"/>
      <c r="C235" s="467"/>
      <c r="D235" s="279"/>
      <c r="E235" s="280"/>
      <c r="F235" s="280"/>
      <c r="G235" s="279"/>
      <c r="H235" s="409"/>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282"/>
      <c r="AE235" s="282"/>
      <c r="AF235" s="282"/>
      <c r="AG235" s="282"/>
      <c r="AH235" s="282"/>
      <c r="AI235" s="282"/>
      <c r="AJ235" s="282"/>
      <c r="AK235" s="282"/>
      <c r="AL235" s="282"/>
      <c r="AM235" s="282"/>
      <c r="AN235" s="282"/>
      <c r="AO235" s="282"/>
      <c r="AP235" s="282"/>
      <c r="AQ235" s="282"/>
      <c r="AR235" s="282"/>
      <c r="AS235" s="282"/>
      <c r="AT235" s="282"/>
      <c r="AU235" s="282"/>
      <c r="AV235" s="282"/>
      <c r="AW235" s="282"/>
      <c r="AX235" s="282"/>
      <c r="AY235" s="282"/>
      <c r="AZ235" s="282"/>
      <c r="BA235" s="282"/>
      <c r="BB235" s="282"/>
      <c r="BC235" s="282"/>
      <c r="BD235" s="282"/>
      <c r="BE235" s="282"/>
      <c r="BF235" s="282"/>
      <c r="BG235" s="282"/>
      <c r="BH235" s="282"/>
      <c r="BI235" s="282"/>
      <c r="BJ235" s="278"/>
      <c r="BK235" s="278"/>
      <c r="BL235" s="278"/>
      <c r="BM235" s="278"/>
      <c r="BN235" s="278"/>
      <c r="BO235" s="278"/>
      <c r="BP235" s="278"/>
      <c r="BQ235" s="278"/>
      <c r="BR235" s="278"/>
      <c r="BS235" s="278"/>
      <c r="BT235" s="278"/>
      <c r="BU235" s="278"/>
      <c r="BV235" s="278"/>
      <c r="BW235" s="278"/>
      <c r="BX235" s="278"/>
      <c r="BY235" s="278"/>
      <c r="BZ235" s="278"/>
      <c r="CA235" s="278"/>
      <c r="CB235" s="278"/>
      <c r="CC235" s="278"/>
      <c r="CD235" s="278"/>
      <c r="CE235" s="278"/>
      <c r="CF235" s="278"/>
      <c r="CG235" s="278"/>
      <c r="CH235" s="278"/>
      <c r="CI235" s="278"/>
      <c r="CJ235" s="278"/>
      <c r="CK235" s="278"/>
      <c r="CL235" s="278"/>
      <c r="CM235" s="278"/>
      <c r="CN235" s="278"/>
      <c r="CO235" s="278"/>
      <c r="CP235" s="278"/>
      <c r="CQ235" s="278"/>
      <c r="CR235" s="278"/>
      <c r="CS235" s="278"/>
      <c r="CT235" s="278"/>
      <c r="CU235" s="278"/>
      <c r="CV235" s="278"/>
      <c r="CW235" s="278"/>
      <c r="CX235" s="278"/>
      <c r="CY235" s="278"/>
      <c r="CZ235" s="278"/>
      <c r="DA235" s="278"/>
      <c r="DB235" s="278"/>
      <c r="DC235" s="278"/>
      <c r="DD235" s="278"/>
      <c r="DE235" s="278"/>
      <c r="DF235" s="278"/>
      <c r="DG235" s="278"/>
      <c r="DH235" s="278"/>
      <c r="DI235" s="278"/>
      <c r="DJ235" s="278"/>
      <c r="DK235" s="278"/>
      <c r="DL235" s="278"/>
    </row>
    <row r="236" spans="1:116" ht="15.75" customHeight="1" x14ac:dyDescent="0.25">
      <c r="A236" s="466"/>
      <c r="B236" s="466"/>
      <c r="C236" s="467"/>
      <c r="D236" s="279"/>
      <c r="E236" s="280"/>
      <c r="F236" s="280"/>
      <c r="G236" s="279"/>
      <c r="H236" s="409"/>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282"/>
      <c r="AE236" s="282"/>
      <c r="AF236" s="282"/>
      <c r="AG236" s="282"/>
      <c r="AH236" s="282"/>
      <c r="AI236" s="282"/>
      <c r="AJ236" s="282"/>
      <c r="AK236" s="282"/>
      <c r="AL236" s="282"/>
      <c r="AM236" s="282"/>
      <c r="AN236" s="282"/>
      <c r="AO236" s="282"/>
      <c r="AP236" s="282"/>
      <c r="AQ236" s="282"/>
      <c r="AR236" s="282"/>
      <c r="AS236" s="282"/>
      <c r="AT236" s="282"/>
      <c r="AU236" s="282"/>
      <c r="AV236" s="282"/>
      <c r="AW236" s="282"/>
      <c r="AX236" s="282"/>
      <c r="AY236" s="282"/>
      <c r="AZ236" s="282"/>
      <c r="BA236" s="282"/>
      <c r="BB236" s="282"/>
      <c r="BC236" s="282"/>
      <c r="BD236" s="282"/>
      <c r="BE236" s="282"/>
      <c r="BF236" s="282"/>
      <c r="BG236" s="282"/>
      <c r="BH236" s="282"/>
      <c r="BI236" s="282"/>
      <c r="BJ236" s="278"/>
      <c r="BK236" s="278"/>
      <c r="BL236" s="278"/>
      <c r="BM236" s="278"/>
      <c r="BN236" s="278"/>
      <c r="BO236" s="278"/>
      <c r="BP236" s="278"/>
      <c r="BQ236" s="278"/>
      <c r="BR236" s="278"/>
      <c r="BS236" s="278"/>
      <c r="BT236" s="278"/>
      <c r="BU236" s="278"/>
      <c r="BV236" s="278"/>
      <c r="BW236" s="278"/>
      <c r="BX236" s="278"/>
      <c r="BY236" s="278"/>
      <c r="BZ236" s="278"/>
      <c r="CA236" s="278"/>
      <c r="CB236" s="278"/>
      <c r="CC236" s="278"/>
      <c r="CD236" s="278"/>
      <c r="CE236" s="278"/>
      <c r="CF236" s="278"/>
      <c r="CG236" s="278"/>
      <c r="CH236" s="278"/>
      <c r="CI236" s="278"/>
      <c r="CJ236" s="278"/>
      <c r="CK236" s="278"/>
      <c r="CL236" s="278"/>
      <c r="CM236" s="278"/>
      <c r="CN236" s="278"/>
      <c r="CO236" s="278"/>
      <c r="CP236" s="278"/>
      <c r="CQ236" s="278"/>
      <c r="CR236" s="278"/>
      <c r="CS236" s="278"/>
      <c r="CT236" s="278"/>
      <c r="CU236" s="278"/>
      <c r="CV236" s="278"/>
      <c r="CW236" s="278"/>
      <c r="CX236" s="278"/>
      <c r="CY236" s="278"/>
      <c r="CZ236" s="278"/>
      <c r="DA236" s="278"/>
      <c r="DB236" s="278"/>
      <c r="DC236" s="278"/>
      <c r="DD236" s="278"/>
      <c r="DE236" s="278"/>
      <c r="DF236" s="278"/>
      <c r="DG236" s="278"/>
      <c r="DH236" s="278"/>
      <c r="DI236" s="278"/>
      <c r="DJ236" s="278"/>
      <c r="DK236" s="278"/>
      <c r="DL236" s="278"/>
    </row>
    <row r="237" spans="1:116" ht="15.75" customHeight="1" x14ac:dyDescent="0.25">
      <c r="A237" s="466"/>
      <c r="B237" s="466"/>
      <c r="C237" s="467"/>
      <c r="D237" s="279"/>
      <c r="E237" s="280"/>
      <c r="F237" s="280"/>
      <c r="G237" s="279"/>
      <c r="H237" s="409"/>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282"/>
      <c r="AE237" s="282"/>
      <c r="AF237" s="282"/>
      <c r="AG237" s="282"/>
      <c r="AH237" s="282"/>
      <c r="AI237" s="282"/>
      <c r="AJ237" s="282"/>
      <c r="AK237" s="282"/>
      <c r="AL237" s="282"/>
      <c r="AM237" s="282"/>
      <c r="AN237" s="282"/>
      <c r="AO237" s="282"/>
      <c r="AP237" s="282"/>
      <c r="AQ237" s="282"/>
      <c r="AR237" s="282"/>
      <c r="AS237" s="282"/>
      <c r="AT237" s="282"/>
      <c r="AU237" s="282"/>
      <c r="AV237" s="282"/>
      <c r="AW237" s="282"/>
      <c r="AX237" s="282"/>
      <c r="AY237" s="282"/>
      <c r="AZ237" s="282"/>
      <c r="BA237" s="282"/>
      <c r="BB237" s="282"/>
      <c r="BC237" s="282"/>
      <c r="BD237" s="282"/>
      <c r="BE237" s="282"/>
      <c r="BF237" s="282"/>
      <c r="BG237" s="282"/>
      <c r="BH237" s="282"/>
      <c r="BI237" s="282"/>
      <c r="BJ237" s="278"/>
      <c r="BK237" s="278"/>
      <c r="BL237" s="278"/>
      <c r="BM237" s="278"/>
      <c r="BN237" s="278"/>
      <c r="BO237" s="278"/>
      <c r="BP237" s="278"/>
      <c r="BQ237" s="278"/>
      <c r="BR237" s="278"/>
      <c r="BS237" s="278"/>
      <c r="BT237" s="278"/>
      <c r="BU237" s="278"/>
      <c r="BV237" s="278"/>
      <c r="BW237" s="278"/>
      <c r="BX237" s="278"/>
      <c r="BY237" s="278"/>
      <c r="BZ237" s="278"/>
      <c r="CA237" s="278"/>
      <c r="CB237" s="278"/>
      <c r="CC237" s="278"/>
      <c r="CD237" s="278"/>
      <c r="CE237" s="278"/>
      <c r="CF237" s="278"/>
      <c r="CG237" s="278"/>
      <c r="CH237" s="278"/>
      <c r="CI237" s="278"/>
      <c r="CJ237" s="278"/>
      <c r="CK237" s="278"/>
      <c r="CL237" s="278"/>
      <c r="CM237" s="278"/>
      <c r="CN237" s="278"/>
      <c r="CO237" s="278"/>
      <c r="CP237" s="278"/>
      <c r="CQ237" s="278"/>
      <c r="CR237" s="278"/>
      <c r="CS237" s="278"/>
      <c r="CT237" s="278"/>
      <c r="CU237" s="278"/>
      <c r="CV237" s="278"/>
      <c r="CW237" s="278"/>
      <c r="CX237" s="278"/>
      <c r="CY237" s="278"/>
      <c r="CZ237" s="278"/>
      <c r="DA237" s="278"/>
      <c r="DB237" s="278"/>
      <c r="DC237" s="278"/>
      <c r="DD237" s="278"/>
      <c r="DE237" s="278"/>
      <c r="DF237" s="278"/>
      <c r="DG237" s="278"/>
      <c r="DH237" s="278"/>
      <c r="DI237" s="278"/>
      <c r="DJ237" s="278"/>
      <c r="DK237" s="278"/>
      <c r="DL237" s="278"/>
    </row>
    <row r="238" spans="1:116" ht="15.75" customHeight="1" x14ac:dyDescent="0.25">
      <c r="A238" s="466"/>
      <c r="B238" s="466"/>
      <c r="C238" s="467"/>
      <c r="D238" s="279"/>
      <c r="E238" s="280"/>
      <c r="F238" s="280"/>
      <c r="G238" s="279"/>
      <c r="H238" s="409"/>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282"/>
      <c r="AE238" s="282"/>
      <c r="AF238" s="282"/>
      <c r="AG238" s="282"/>
      <c r="AH238" s="282"/>
      <c r="AI238" s="282"/>
      <c r="AJ238" s="282"/>
      <c r="AK238" s="282"/>
      <c r="AL238" s="282"/>
      <c r="AM238" s="282"/>
      <c r="AN238" s="282"/>
      <c r="AO238" s="282"/>
      <c r="AP238" s="282"/>
      <c r="AQ238" s="282"/>
      <c r="AR238" s="282"/>
      <c r="AS238" s="282"/>
      <c r="AT238" s="282"/>
      <c r="AU238" s="282"/>
      <c r="AV238" s="282"/>
      <c r="AW238" s="282"/>
      <c r="AX238" s="282"/>
      <c r="AY238" s="282"/>
      <c r="AZ238" s="282"/>
      <c r="BA238" s="282"/>
      <c r="BB238" s="282"/>
      <c r="BC238" s="282"/>
      <c r="BD238" s="282"/>
      <c r="BE238" s="282"/>
      <c r="BF238" s="282"/>
      <c r="BG238" s="282"/>
      <c r="BH238" s="282"/>
      <c r="BI238" s="282"/>
      <c r="BJ238" s="278"/>
      <c r="BK238" s="278"/>
      <c r="BL238" s="278"/>
      <c r="BM238" s="278"/>
      <c r="BN238" s="278"/>
      <c r="BO238" s="278"/>
      <c r="BP238" s="278"/>
      <c r="BQ238" s="278"/>
      <c r="BR238" s="278"/>
      <c r="BS238" s="278"/>
      <c r="BT238" s="278"/>
      <c r="BU238" s="278"/>
      <c r="BV238" s="278"/>
      <c r="BW238" s="278"/>
      <c r="BX238" s="278"/>
      <c r="BY238" s="278"/>
      <c r="BZ238" s="278"/>
      <c r="CA238" s="278"/>
      <c r="CB238" s="278"/>
      <c r="CC238" s="278"/>
      <c r="CD238" s="278"/>
      <c r="CE238" s="278"/>
      <c r="CF238" s="278"/>
      <c r="CG238" s="278"/>
      <c r="CH238" s="278"/>
      <c r="CI238" s="278"/>
      <c r="CJ238" s="278"/>
      <c r="CK238" s="278"/>
      <c r="CL238" s="278"/>
      <c r="CM238" s="278"/>
      <c r="CN238" s="278"/>
      <c r="CO238" s="278"/>
      <c r="CP238" s="278"/>
      <c r="CQ238" s="278"/>
      <c r="CR238" s="278"/>
      <c r="CS238" s="278"/>
      <c r="CT238" s="278"/>
      <c r="CU238" s="278"/>
      <c r="CV238" s="278"/>
      <c r="CW238" s="278"/>
      <c r="CX238" s="278"/>
      <c r="CY238" s="278"/>
      <c r="CZ238" s="278"/>
      <c r="DA238" s="278"/>
      <c r="DB238" s="278"/>
      <c r="DC238" s="278"/>
      <c r="DD238" s="278"/>
      <c r="DE238" s="278"/>
      <c r="DF238" s="278"/>
      <c r="DG238" s="278"/>
      <c r="DH238" s="278"/>
      <c r="DI238" s="278"/>
      <c r="DJ238" s="278"/>
      <c r="DK238" s="278"/>
      <c r="DL238" s="278"/>
    </row>
    <row r="239" spans="1:116" ht="15.75" customHeight="1" x14ac:dyDescent="0.25">
      <c r="A239" s="466"/>
      <c r="B239" s="466"/>
      <c r="C239" s="467"/>
      <c r="D239" s="279"/>
      <c r="E239" s="280"/>
      <c r="F239" s="280"/>
      <c r="G239" s="279"/>
      <c r="H239" s="409"/>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282"/>
      <c r="AE239" s="282"/>
      <c r="AF239" s="282"/>
      <c r="AG239" s="282"/>
      <c r="AH239" s="282"/>
      <c r="AI239" s="282"/>
      <c r="AJ239" s="282"/>
      <c r="AK239" s="282"/>
      <c r="AL239" s="282"/>
      <c r="AM239" s="282"/>
      <c r="AN239" s="282"/>
      <c r="AO239" s="282"/>
      <c r="AP239" s="282"/>
      <c r="AQ239" s="282"/>
      <c r="AR239" s="282"/>
      <c r="AS239" s="282"/>
      <c r="AT239" s="282"/>
      <c r="AU239" s="282"/>
      <c r="AV239" s="282"/>
      <c r="AW239" s="282"/>
      <c r="AX239" s="282"/>
      <c r="AY239" s="282"/>
      <c r="AZ239" s="282"/>
      <c r="BA239" s="282"/>
      <c r="BB239" s="282"/>
      <c r="BC239" s="282"/>
      <c r="BD239" s="282"/>
      <c r="BE239" s="282"/>
      <c r="BF239" s="282"/>
      <c r="BG239" s="282"/>
      <c r="BH239" s="282"/>
      <c r="BI239" s="282"/>
      <c r="BJ239" s="278"/>
      <c r="BK239" s="278"/>
      <c r="BL239" s="278"/>
      <c r="BM239" s="278"/>
      <c r="BN239" s="278"/>
      <c r="BO239" s="278"/>
      <c r="BP239" s="278"/>
      <c r="BQ239" s="278"/>
      <c r="BR239" s="278"/>
      <c r="BS239" s="278"/>
      <c r="BT239" s="278"/>
      <c r="BU239" s="278"/>
      <c r="BV239" s="278"/>
      <c r="BW239" s="278"/>
      <c r="BX239" s="278"/>
      <c r="BY239" s="278"/>
      <c r="BZ239" s="278"/>
      <c r="CA239" s="278"/>
      <c r="CB239" s="278"/>
      <c r="CC239" s="278"/>
      <c r="CD239" s="278"/>
      <c r="CE239" s="278"/>
      <c r="CF239" s="278"/>
      <c r="CG239" s="278"/>
      <c r="CH239" s="278"/>
      <c r="CI239" s="278"/>
      <c r="CJ239" s="278"/>
      <c r="CK239" s="278"/>
      <c r="CL239" s="278"/>
      <c r="CM239" s="278"/>
      <c r="CN239" s="278"/>
      <c r="CO239" s="278"/>
      <c r="CP239" s="278"/>
      <c r="CQ239" s="278"/>
      <c r="CR239" s="278"/>
      <c r="CS239" s="278"/>
      <c r="CT239" s="278"/>
      <c r="CU239" s="278"/>
      <c r="CV239" s="278"/>
      <c r="CW239" s="278"/>
      <c r="CX239" s="278"/>
      <c r="CY239" s="278"/>
      <c r="CZ239" s="278"/>
      <c r="DA239" s="278"/>
      <c r="DB239" s="278"/>
      <c r="DC239" s="278"/>
      <c r="DD239" s="278"/>
      <c r="DE239" s="278"/>
      <c r="DF239" s="278"/>
      <c r="DG239" s="278"/>
      <c r="DH239" s="278"/>
      <c r="DI239" s="278"/>
      <c r="DJ239" s="278"/>
      <c r="DK239" s="278"/>
      <c r="DL239" s="278"/>
    </row>
    <row r="240" spans="1:116" ht="15.75" customHeight="1" x14ac:dyDescent="0.25">
      <c r="A240" s="466"/>
      <c r="B240" s="466"/>
      <c r="C240" s="467"/>
      <c r="D240" s="279"/>
      <c r="E240" s="280"/>
      <c r="F240" s="280"/>
      <c r="G240" s="279"/>
      <c r="H240" s="409"/>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282"/>
      <c r="AE240" s="282"/>
      <c r="AF240" s="282"/>
      <c r="AG240" s="282"/>
      <c r="AH240" s="282"/>
      <c r="AI240" s="282"/>
      <c r="AJ240" s="282"/>
      <c r="AK240" s="282"/>
      <c r="AL240" s="282"/>
      <c r="AM240" s="282"/>
      <c r="AN240" s="282"/>
      <c r="AO240" s="282"/>
      <c r="AP240" s="282"/>
      <c r="AQ240" s="282"/>
      <c r="AR240" s="282"/>
      <c r="AS240" s="282"/>
      <c r="AT240" s="282"/>
      <c r="AU240" s="282"/>
      <c r="AV240" s="282"/>
      <c r="AW240" s="282"/>
      <c r="AX240" s="282"/>
      <c r="AY240" s="282"/>
      <c r="AZ240" s="282"/>
      <c r="BA240" s="282"/>
      <c r="BB240" s="282"/>
      <c r="BC240" s="282"/>
      <c r="BD240" s="282"/>
      <c r="BE240" s="282"/>
      <c r="BF240" s="282"/>
      <c r="BG240" s="282"/>
      <c r="BH240" s="282"/>
      <c r="BI240" s="282"/>
      <c r="BJ240" s="278"/>
      <c r="BK240" s="278"/>
      <c r="BL240" s="278"/>
      <c r="BM240" s="278"/>
      <c r="BN240" s="278"/>
      <c r="BO240" s="278"/>
      <c r="BP240" s="278"/>
      <c r="BQ240" s="278"/>
      <c r="BR240" s="278"/>
      <c r="BS240" s="278"/>
      <c r="BT240" s="278"/>
      <c r="BU240" s="278"/>
      <c r="BV240" s="278"/>
      <c r="BW240" s="278"/>
      <c r="BX240" s="278"/>
      <c r="BY240" s="278"/>
      <c r="BZ240" s="278"/>
      <c r="CA240" s="278"/>
      <c r="CB240" s="278"/>
      <c r="CC240" s="278"/>
      <c r="CD240" s="278"/>
      <c r="CE240" s="278"/>
      <c r="CF240" s="278"/>
      <c r="CG240" s="278"/>
      <c r="CH240" s="278"/>
      <c r="CI240" s="278"/>
      <c r="CJ240" s="278"/>
      <c r="CK240" s="278"/>
      <c r="CL240" s="278"/>
      <c r="CM240" s="278"/>
      <c r="CN240" s="278"/>
      <c r="CO240" s="278"/>
      <c r="CP240" s="278"/>
      <c r="CQ240" s="278"/>
      <c r="CR240" s="278"/>
      <c r="CS240" s="278"/>
      <c r="CT240" s="278"/>
      <c r="CU240" s="278"/>
      <c r="CV240" s="278"/>
      <c r="CW240" s="278"/>
      <c r="CX240" s="278"/>
      <c r="CY240" s="278"/>
      <c r="CZ240" s="278"/>
      <c r="DA240" s="278"/>
      <c r="DB240" s="278"/>
      <c r="DC240" s="278"/>
      <c r="DD240" s="278"/>
      <c r="DE240" s="278"/>
      <c r="DF240" s="278"/>
      <c r="DG240" s="278"/>
      <c r="DH240" s="278"/>
      <c r="DI240" s="278"/>
      <c r="DJ240" s="278"/>
      <c r="DK240" s="278"/>
      <c r="DL240" s="278"/>
    </row>
    <row r="241" spans="1:116" ht="15.75" customHeight="1" x14ac:dyDescent="0.25">
      <c r="A241" s="466"/>
      <c r="B241" s="466"/>
      <c r="C241" s="467"/>
      <c r="D241" s="279"/>
      <c r="E241" s="280"/>
      <c r="F241" s="280"/>
      <c r="G241" s="279"/>
      <c r="H241" s="409"/>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282"/>
      <c r="AE241" s="282"/>
      <c r="AF241" s="282"/>
      <c r="AG241" s="282"/>
      <c r="AH241" s="282"/>
      <c r="AI241" s="282"/>
      <c r="AJ241" s="282"/>
      <c r="AK241" s="282"/>
      <c r="AL241" s="282"/>
      <c r="AM241" s="282"/>
      <c r="AN241" s="282"/>
      <c r="AO241" s="282"/>
      <c r="AP241" s="282"/>
      <c r="AQ241" s="282"/>
      <c r="AR241" s="282"/>
      <c r="AS241" s="282"/>
      <c r="AT241" s="282"/>
      <c r="AU241" s="282"/>
      <c r="AV241" s="282"/>
      <c r="AW241" s="282"/>
      <c r="AX241" s="282"/>
      <c r="AY241" s="282"/>
      <c r="AZ241" s="282"/>
      <c r="BA241" s="282"/>
      <c r="BB241" s="282"/>
      <c r="BC241" s="282"/>
      <c r="BD241" s="282"/>
      <c r="BE241" s="282"/>
      <c r="BF241" s="282"/>
      <c r="BG241" s="282"/>
      <c r="BH241" s="282"/>
      <c r="BI241" s="282"/>
      <c r="BJ241" s="278"/>
      <c r="BK241" s="278"/>
      <c r="BL241" s="278"/>
      <c r="BM241" s="278"/>
      <c r="BN241" s="278"/>
      <c r="BO241" s="278"/>
      <c r="BP241" s="278"/>
      <c r="BQ241" s="278"/>
      <c r="BR241" s="278"/>
      <c r="BS241" s="278"/>
      <c r="BT241" s="278"/>
      <c r="BU241" s="278"/>
      <c r="BV241" s="278"/>
      <c r="BW241" s="278"/>
      <c r="BX241" s="278"/>
      <c r="BY241" s="278"/>
      <c r="BZ241" s="278"/>
      <c r="CA241" s="278"/>
      <c r="CB241" s="278"/>
      <c r="CC241" s="278"/>
      <c r="CD241" s="278"/>
      <c r="CE241" s="278"/>
      <c r="CF241" s="278"/>
      <c r="CG241" s="278"/>
      <c r="CH241" s="278"/>
      <c r="CI241" s="278"/>
      <c r="CJ241" s="278"/>
      <c r="CK241" s="278"/>
      <c r="CL241" s="278"/>
      <c r="CM241" s="278"/>
      <c r="CN241" s="278"/>
      <c r="CO241" s="278"/>
      <c r="CP241" s="278"/>
      <c r="CQ241" s="278"/>
      <c r="CR241" s="278"/>
      <c r="CS241" s="278"/>
      <c r="CT241" s="278"/>
      <c r="CU241" s="278"/>
      <c r="CV241" s="278"/>
      <c r="CW241" s="278"/>
      <c r="CX241" s="278"/>
      <c r="CY241" s="278"/>
      <c r="CZ241" s="278"/>
      <c r="DA241" s="278"/>
      <c r="DB241" s="278"/>
      <c r="DC241" s="278"/>
      <c r="DD241" s="278"/>
      <c r="DE241" s="278"/>
      <c r="DF241" s="278"/>
      <c r="DG241" s="278"/>
      <c r="DH241" s="278"/>
      <c r="DI241" s="278"/>
      <c r="DJ241" s="278"/>
      <c r="DK241" s="278"/>
      <c r="DL241" s="278"/>
    </row>
    <row r="242" spans="1:116" ht="15.75" customHeight="1" x14ac:dyDescent="0.25">
      <c r="A242" s="466"/>
      <c r="B242" s="466"/>
      <c r="C242" s="467"/>
      <c r="D242" s="279"/>
      <c r="E242" s="280"/>
      <c r="F242" s="280"/>
      <c r="G242" s="279"/>
      <c r="H242" s="409"/>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282"/>
      <c r="AF242" s="282"/>
      <c r="AG242" s="282"/>
      <c r="AH242" s="282"/>
      <c r="AI242" s="282"/>
      <c r="AJ242" s="282"/>
      <c r="AK242" s="282"/>
      <c r="AL242" s="282"/>
      <c r="AM242" s="282"/>
      <c r="AN242" s="282"/>
      <c r="AO242" s="282"/>
      <c r="AP242" s="282"/>
      <c r="AQ242" s="282"/>
      <c r="AR242" s="282"/>
      <c r="AS242" s="282"/>
      <c r="AT242" s="282"/>
      <c r="AU242" s="282"/>
      <c r="AV242" s="282"/>
      <c r="AW242" s="282"/>
      <c r="AX242" s="282"/>
      <c r="AY242" s="282"/>
      <c r="AZ242" s="282"/>
      <c r="BA242" s="282"/>
      <c r="BB242" s="282"/>
      <c r="BC242" s="282"/>
      <c r="BD242" s="282"/>
      <c r="BE242" s="282"/>
      <c r="BF242" s="282"/>
      <c r="BG242" s="282"/>
      <c r="BH242" s="282"/>
      <c r="BI242" s="282"/>
      <c r="BJ242" s="278"/>
      <c r="BK242" s="278"/>
      <c r="BL242" s="278"/>
      <c r="BM242" s="278"/>
      <c r="BN242" s="278"/>
      <c r="BO242" s="278"/>
      <c r="BP242" s="278"/>
      <c r="BQ242" s="278"/>
      <c r="BR242" s="278"/>
      <c r="BS242" s="278"/>
      <c r="BT242" s="278"/>
      <c r="BU242" s="278"/>
      <c r="BV242" s="278"/>
      <c r="BW242" s="278"/>
      <c r="BX242" s="278"/>
      <c r="BY242" s="278"/>
      <c r="BZ242" s="278"/>
      <c r="CA242" s="278"/>
      <c r="CB242" s="278"/>
      <c r="CC242" s="278"/>
      <c r="CD242" s="278"/>
      <c r="CE242" s="278"/>
      <c r="CF242" s="278"/>
      <c r="CG242" s="278"/>
      <c r="CH242" s="278"/>
      <c r="CI242" s="278"/>
      <c r="CJ242" s="278"/>
      <c r="CK242" s="278"/>
      <c r="CL242" s="278"/>
      <c r="CM242" s="278"/>
      <c r="CN242" s="278"/>
      <c r="CO242" s="278"/>
      <c r="CP242" s="278"/>
      <c r="CQ242" s="278"/>
      <c r="CR242" s="278"/>
      <c r="CS242" s="278"/>
      <c r="CT242" s="278"/>
      <c r="CU242" s="278"/>
      <c r="CV242" s="278"/>
      <c r="CW242" s="278"/>
      <c r="CX242" s="278"/>
      <c r="CY242" s="278"/>
      <c r="CZ242" s="278"/>
      <c r="DA242" s="278"/>
      <c r="DB242" s="278"/>
      <c r="DC242" s="278"/>
      <c r="DD242" s="278"/>
      <c r="DE242" s="278"/>
      <c r="DF242" s="278"/>
      <c r="DG242" s="278"/>
      <c r="DH242" s="278"/>
      <c r="DI242" s="278"/>
      <c r="DJ242" s="278"/>
      <c r="DK242" s="278"/>
      <c r="DL242" s="278"/>
    </row>
    <row r="243" spans="1:116" ht="15.75" customHeight="1" x14ac:dyDescent="0.25">
      <c r="A243" s="466"/>
      <c r="B243" s="466"/>
      <c r="C243" s="467"/>
      <c r="D243" s="279"/>
      <c r="E243" s="280"/>
      <c r="F243" s="280"/>
      <c r="G243" s="279"/>
      <c r="H243" s="409"/>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282"/>
      <c r="AF243" s="282"/>
      <c r="AG243" s="282"/>
      <c r="AH243" s="282"/>
      <c r="AI243" s="282"/>
      <c r="AJ243" s="282"/>
      <c r="AK243" s="282"/>
      <c r="AL243" s="282"/>
      <c r="AM243" s="282"/>
      <c r="AN243" s="282"/>
      <c r="AO243" s="282"/>
      <c r="AP243" s="282"/>
      <c r="AQ243" s="282"/>
      <c r="AR243" s="282"/>
      <c r="AS243" s="282"/>
      <c r="AT243" s="282"/>
      <c r="AU243" s="282"/>
      <c r="AV243" s="282"/>
      <c r="AW243" s="282"/>
      <c r="AX243" s="282"/>
      <c r="AY243" s="282"/>
      <c r="AZ243" s="282"/>
      <c r="BA243" s="282"/>
      <c r="BB243" s="282"/>
      <c r="BC243" s="282"/>
      <c r="BD243" s="282"/>
      <c r="BE243" s="282"/>
      <c r="BF243" s="282"/>
      <c r="BG243" s="282"/>
      <c r="BH243" s="282"/>
      <c r="BI243" s="282"/>
      <c r="BJ243" s="278"/>
      <c r="BK243" s="278"/>
      <c r="BL243" s="278"/>
      <c r="BM243" s="278"/>
      <c r="BN243" s="278"/>
      <c r="BO243" s="278"/>
      <c r="BP243" s="278"/>
      <c r="BQ243" s="278"/>
      <c r="BR243" s="278"/>
      <c r="BS243" s="278"/>
      <c r="BT243" s="278"/>
      <c r="BU243" s="278"/>
      <c r="BV243" s="278"/>
      <c r="BW243" s="278"/>
      <c r="BX243" s="278"/>
      <c r="BY243" s="278"/>
      <c r="BZ243" s="278"/>
      <c r="CA243" s="278"/>
      <c r="CB243" s="278"/>
      <c r="CC243" s="278"/>
      <c r="CD243" s="278"/>
      <c r="CE243" s="278"/>
      <c r="CF243" s="278"/>
      <c r="CG243" s="278"/>
      <c r="CH243" s="278"/>
      <c r="CI243" s="278"/>
      <c r="CJ243" s="278"/>
      <c r="CK243" s="278"/>
      <c r="CL243" s="278"/>
      <c r="CM243" s="278"/>
      <c r="CN243" s="278"/>
      <c r="CO243" s="278"/>
      <c r="CP243" s="278"/>
      <c r="CQ243" s="278"/>
      <c r="CR243" s="278"/>
      <c r="CS243" s="278"/>
      <c r="CT243" s="278"/>
      <c r="CU243" s="278"/>
      <c r="CV243" s="278"/>
      <c r="CW243" s="278"/>
      <c r="CX243" s="278"/>
      <c r="CY243" s="278"/>
      <c r="CZ243" s="278"/>
      <c r="DA243" s="278"/>
      <c r="DB243" s="278"/>
      <c r="DC243" s="278"/>
      <c r="DD243" s="278"/>
      <c r="DE243" s="278"/>
      <c r="DF243" s="278"/>
      <c r="DG243" s="278"/>
      <c r="DH243" s="278"/>
      <c r="DI243" s="278"/>
      <c r="DJ243" s="278"/>
      <c r="DK243" s="278"/>
      <c r="DL243" s="278"/>
    </row>
    <row r="244" spans="1:116" ht="15.75" customHeight="1" x14ac:dyDescent="0.25">
      <c r="A244" s="466"/>
      <c r="B244" s="466"/>
      <c r="C244" s="467"/>
      <c r="D244" s="279"/>
      <c r="E244" s="280"/>
      <c r="F244" s="280"/>
      <c r="G244" s="279"/>
      <c r="H244" s="409"/>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282"/>
      <c r="AF244" s="282"/>
      <c r="AG244" s="282"/>
      <c r="AH244" s="282"/>
      <c r="AI244" s="282"/>
      <c r="AJ244" s="282"/>
      <c r="AK244" s="282"/>
      <c r="AL244" s="282"/>
      <c r="AM244" s="282"/>
      <c r="AN244" s="282"/>
      <c r="AO244" s="282"/>
      <c r="AP244" s="282"/>
      <c r="AQ244" s="282"/>
      <c r="AR244" s="282"/>
      <c r="AS244" s="282"/>
      <c r="AT244" s="282"/>
      <c r="AU244" s="282"/>
      <c r="AV244" s="282"/>
      <c r="AW244" s="282"/>
      <c r="AX244" s="282"/>
      <c r="AY244" s="282"/>
      <c r="AZ244" s="282"/>
      <c r="BA244" s="282"/>
      <c r="BB244" s="282"/>
      <c r="BC244" s="282"/>
      <c r="BD244" s="282"/>
      <c r="BE244" s="282"/>
      <c r="BF244" s="282"/>
      <c r="BG244" s="282"/>
      <c r="BH244" s="282"/>
      <c r="BI244" s="282"/>
      <c r="BJ244" s="278"/>
      <c r="BK244" s="278"/>
      <c r="BL244" s="278"/>
      <c r="BM244" s="278"/>
      <c r="BN244" s="278"/>
      <c r="BO244" s="278"/>
      <c r="BP244" s="278"/>
      <c r="BQ244" s="278"/>
      <c r="BR244" s="278"/>
      <c r="BS244" s="278"/>
      <c r="BT244" s="278"/>
      <c r="BU244" s="278"/>
      <c r="BV244" s="278"/>
      <c r="BW244" s="278"/>
      <c r="BX244" s="278"/>
      <c r="BY244" s="278"/>
      <c r="BZ244" s="278"/>
      <c r="CA244" s="278"/>
      <c r="CB244" s="278"/>
      <c r="CC244" s="278"/>
      <c r="CD244" s="278"/>
      <c r="CE244" s="278"/>
      <c r="CF244" s="278"/>
      <c r="CG244" s="278"/>
      <c r="CH244" s="278"/>
      <c r="CI244" s="278"/>
      <c r="CJ244" s="278"/>
      <c r="CK244" s="278"/>
      <c r="CL244" s="278"/>
      <c r="CM244" s="278"/>
      <c r="CN244" s="278"/>
      <c r="CO244" s="278"/>
      <c r="CP244" s="278"/>
      <c r="CQ244" s="278"/>
      <c r="CR244" s="278"/>
      <c r="CS244" s="278"/>
      <c r="CT244" s="278"/>
      <c r="CU244" s="278"/>
      <c r="CV244" s="278"/>
      <c r="CW244" s="278"/>
      <c r="CX244" s="278"/>
      <c r="CY244" s="278"/>
      <c r="CZ244" s="278"/>
      <c r="DA244" s="278"/>
      <c r="DB244" s="278"/>
      <c r="DC244" s="278"/>
      <c r="DD244" s="278"/>
      <c r="DE244" s="278"/>
      <c r="DF244" s="278"/>
      <c r="DG244" s="278"/>
      <c r="DH244" s="278"/>
      <c r="DI244" s="278"/>
      <c r="DJ244" s="278"/>
      <c r="DK244" s="278"/>
      <c r="DL244" s="278"/>
    </row>
    <row r="245" spans="1:116" ht="15.75" customHeight="1" x14ac:dyDescent="0.25">
      <c r="A245" s="466"/>
      <c r="B245" s="466"/>
      <c r="C245" s="467"/>
      <c r="D245" s="279"/>
      <c r="E245" s="280"/>
      <c r="F245" s="280"/>
      <c r="G245" s="279"/>
      <c r="H245" s="409"/>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282"/>
      <c r="AE245" s="282"/>
      <c r="AF245" s="282"/>
      <c r="AG245" s="282"/>
      <c r="AH245" s="282"/>
      <c r="AI245" s="282"/>
      <c r="AJ245" s="282"/>
      <c r="AK245" s="282"/>
      <c r="AL245" s="282"/>
      <c r="AM245" s="282"/>
      <c r="AN245" s="282"/>
      <c r="AO245" s="282"/>
      <c r="AP245" s="282"/>
      <c r="AQ245" s="282"/>
      <c r="AR245" s="282"/>
      <c r="AS245" s="282"/>
      <c r="AT245" s="282"/>
      <c r="AU245" s="282"/>
      <c r="AV245" s="282"/>
      <c r="AW245" s="282"/>
      <c r="AX245" s="282"/>
      <c r="AY245" s="282"/>
      <c r="AZ245" s="282"/>
      <c r="BA245" s="282"/>
      <c r="BB245" s="282"/>
      <c r="BC245" s="282"/>
      <c r="BD245" s="282"/>
      <c r="BE245" s="282"/>
      <c r="BF245" s="282"/>
      <c r="BG245" s="282"/>
      <c r="BH245" s="282"/>
      <c r="BI245" s="282"/>
      <c r="BJ245" s="278"/>
      <c r="BK245" s="278"/>
      <c r="BL245" s="278"/>
      <c r="BM245" s="278"/>
      <c r="BN245" s="278"/>
      <c r="BO245" s="278"/>
      <c r="BP245" s="278"/>
      <c r="BQ245" s="278"/>
      <c r="BR245" s="278"/>
      <c r="BS245" s="278"/>
      <c r="BT245" s="278"/>
      <c r="BU245" s="278"/>
      <c r="BV245" s="278"/>
      <c r="BW245" s="278"/>
      <c r="BX245" s="278"/>
      <c r="BY245" s="278"/>
      <c r="BZ245" s="278"/>
      <c r="CA245" s="278"/>
      <c r="CB245" s="278"/>
      <c r="CC245" s="278"/>
      <c r="CD245" s="278"/>
      <c r="CE245" s="278"/>
      <c r="CF245" s="278"/>
      <c r="CG245" s="278"/>
      <c r="CH245" s="278"/>
      <c r="CI245" s="278"/>
      <c r="CJ245" s="278"/>
      <c r="CK245" s="278"/>
      <c r="CL245" s="278"/>
      <c r="CM245" s="278"/>
      <c r="CN245" s="278"/>
      <c r="CO245" s="278"/>
      <c r="CP245" s="278"/>
      <c r="CQ245" s="278"/>
      <c r="CR245" s="278"/>
      <c r="CS245" s="278"/>
      <c r="CT245" s="278"/>
      <c r="CU245" s="278"/>
      <c r="CV245" s="278"/>
      <c r="CW245" s="278"/>
      <c r="CX245" s="278"/>
      <c r="CY245" s="278"/>
      <c r="CZ245" s="278"/>
      <c r="DA245" s="278"/>
      <c r="DB245" s="278"/>
      <c r="DC245" s="278"/>
      <c r="DD245" s="278"/>
      <c r="DE245" s="278"/>
      <c r="DF245" s="278"/>
      <c r="DG245" s="278"/>
      <c r="DH245" s="278"/>
      <c r="DI245" s="278"/>
      <c r="DJ245" s="278"/>
      <c r="DK245" s="278"/>
      <c r="DL245" s="278"/>
    </row>
    <row r="246" spans="1:116" ht="15.75" customHeight="1" x14ac:dyDescent="0.25">
      <c r="A246" s="466"/>
      <c r="B246" s="466"/>
      <c r="C246" s="467"/>
      <c r="D246" s="279"/>
      <c r="E246" s="280"/>
      <c r="F246" s="280"/>
      <c r="G246" s="279"/>
      <c r="H246" s="409"/>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282"/>
      <c r="AE246" s="282"/>
      <c r="AF246" s="282"/>
      <c r="AG246" s="282"/>
      <c r="AH246" s="282"/>
      <c r="AI246" s="282"/>
      <c r="AJ246" s="282"/>
      <c r="AK246" s="282"/>
      <c r="AL246" s="282"/>
      <c r="AM246" s="282"/>
      <c r="AN246" s="282"/>
      <c r="AO246" s="282"/>
      <c r="AP246" s="282"/>
      <c r="AQ246" s="282"/>
      <c r="AR246" s="282"/>
      <c r="AS246" s="282"/>
      <c r="AT246" s="282"/>
      <c r="AU246" s="282"/>
      <c r="AV246" s="282"/>
      <c r="AW246" s="282"/>
      <c r="AX246" s="282"/>
      <c r="AY246" s="282"/>
      <c r="AZ246" s="282"/>
      <c r="BA246" s="282"/>
      <c r="BB246" s="282"/>
      <c r="BC246" s="282"/>
      <c r="BD246" s="282"/>
      <c r="BE246" s="282"/>
      <c r="BF246" s="282"/>
      <c r="BG246" s="282"/>
      <c r="BH246" s="282"/>
      <c r="BI246" s="282"/>
      <c r="BJ246" s="278"/>
      <c r="BK246" s="278"/>
      <c r="BL246" s="278"/>
      <c r="BM246" s="278"/>
      <c r="BN246" s="278"/>
      <c r="BO246" s="278"/>
      <c r="BP246" s="278"/>
      <c r="BQ246" s="278"/>
      <c r="BR246" s="278"/>
      <c r="BS246" s="278"/>
      <c r="BT246" s="278"/>
      <c r="BU246" s="278"/>
      <c r="BV246" s="278"/>
      <c r="BW246" s="278"/>
      <c r="BX246" s="278"/>
      <c r="BY246" s="278"/>
      <c r="BZ246" s="278"/>
      <c r="CA246" s="278"/>
      <c r="CB246" s="278"/>
      <c r="CC246" s="278"/>
      <c r="CD246" s="278"/>
      <c r="CE246" s="278"/>
      <c r="CF246" s="278"/>
      <c r="CG246" s="278"/>
      <c r="CH246" s="278"/>
      <c r="CI246" s="278"/>
      <c r="CJ246" s="278"/>
      <c r="CK246" s="278"/>
      <c r="CL246" s="278"/>
      <c r="CM246" s="278"/>
      <c r="CN246" s="278"/>
      <c r="CO246" s="278"/>
      <c r="CP246" s="278"/>
      <c r="CQ246" s="278"/>
      <c r="CR246" s="278"/>
      <c r="CS246" s="278"/>
      <c r="CT246" s="278"/>
      <c r="CU246" s="278"/>
      <c r="CV246" s="278"/>
      <c r="CW246" s="278"/>
      <c r="CX246" s="278"/>
      <c r="CY246" s="278"/>
      <c r="CZ246" s="278"/>
      <c r="DA246" s="278"/>
      <c r="DB246" s="278"/>
      <c r="DC246" s="278"/>
      <c r="DD246" s="278"/>
      <c r="DE246" s="278"/>
      <c r="DF246" s="278"/>
      <c r="DG246" s="278"/>
      <c r="DH246" s="278"/>
      <c r="DI246" s="278"/>
      <c r="DJ246" s="278"/>
      <c r="DK246" s="278"/>
      <c r="DL246" s="278"/>
    </row>
    <row r="247" spans="1:116" ht="15.75" customHeight="1" x14ac:dyDescent="0.25">
      <c r="A247" s="466"/>
      <c r="B247" s="466"/>
      <c r="C247" s="467"/>
      <c r="D247" s="279"/>
      <c r="E247" s="280"/>
      <c r="F247" s="280"/>
      <c r="G247" s="279"/>
      <c r="H247" s="409"/>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282"/>
      <c r="AE247" s="282"/>
      <c r="AF247" s="282"/>
      <c r="AG247" s="282"/>
      <c r="AH247" s="282"/>
      <c r="AI247" s="282"/>
      <c r="AJ247" s="282"/>
      <c r="AK247" s="282"/>
      <c r="AL247" s="282"/>
      <c r="AM247" s="282"/>
      <c r="AN247" s="282"/>
      <c r="AO247" s="282"/>
      <c r="AP247" s="282"/>
      <c r="AQ247" s="282"/>
      <c r="AR247" s="282"/>
      <c r="AS247" s="282"/>
      <c r="AT247" s="282"/>
      <c r="AU247" s="282"/>
      <c r="AV247" s="282"/>
      <c r="AW247" s="282"/>
      <c r="AX247" s="282"/>
      <c r="AY247" s="282"/>
      <c r="AZ247" s="282"/>
      <c r="BA247" s="282"/>
      <c r="BB247" s="282"/>
      <c r="BC247" s="282"/>
      <c r="BD247" s="282"/>
      <c r="BE247" s="282"/>
      <c r="BF247" s="282"/>
      <c r="BG247" s="282"/>
      <c r="BH247" s="282"/>
      <c r="BI247" s="282"/>
      <c r="BJ247" s="278"/>
      <c r="BK247" s="278"/>
      <c r="BL247" s="278"/>
      <c r="BM247" s="278"/>
      <c r="BN247" s="278"/>
      <c r="BO247" s="278"/>
      <c r="BP247" s="278"/>
      <c r="BQ247" s="278"/>
      <c r="BR247" s="278"/>
      <c r="BS247" s="278"/>
      <c r="BT247" s="278"/>
      <c r="BU247" s="278"/>
      <c r="BV247" s="278"/>
      <c r="BW247" s="278"/>
      <c r="BX247" s="278"/>
      <c r="BY247" s="278"/>
      <c r="BZ247" s="278"/>
      <c r="CA247" s="278"/>
      <c r="CB247" s="278"/>
      <c r="CC247" s="278"/>
      <c r="CD247" s="278"/>
      <c r="CE247" s="278"/>
      <c r="CF247" s="278"/>
      <c r="CG247" s="278"/>
      <c r="CH247" s="278"/>
      <c r="CI247" s="278"/>
      <c r="CJ247" s="278"/>
      <c r="CK247" s="278"/>
      <c r="CL247" s="278"/>
      <c r="CM247" s="278"/>
      <c r="CN247" s="278"/>
      <c r="CO247" s="278"/>
      <c r="CP247" s="278"/>
      <c r="CQ247" s="278"/>
      <c r="CR247" s="278"/>
      <c r="CS247" s="278"/>
      <c r="CT247" s="278"/>
      <c r="CU247" s="278"/>
      <c r="CV247" s="278"/>
      <c r="CW247" s="278"/>
      <c r="CX247" s="278"/>
      <c r="CY247" s="278"/>
      <c r="CZ247" s="278"/>
      <c r="DA247" s="278"/>
      <c r="DB247" s="278"/>
      <c r="DC247" s="278"/>
      <c r="DD247" s="278"/>
      <c r="DE247" s="278"/>
      <c r="DF247" s="278"/>
      <c r="DG247" s="278"/>
      <c r="DH247" s="278"/>
      <c r="DI247" s="278"/>
      <c r="DJ247" s="278"/>
      <c r="DK247" s="278"/>
      <c r="DL247" s="278"/>
    </row>
    <row r="248" spans="1:116" ht="15.75" customHeight="1" x14ac:dyDescent="0.25">
      <c r="A248" s="466"/>
      <c r="B248" s="466"/>
      <c r="C248" s="467"/>
      <c r="D248" s="279"/>
      <c r="E248" s="280"/>
      <c r="F248" s="280"/>
      <c r="G248" s="279"/>
      <c r="H248" s="409"/>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c r="AF248" s="282"/>
      <c r="AG248" s="282"/>
      <c r="AH248" s="282"/>
      <c r="AI248" s="282"/>
      <c r="AJ248" s="282"/>
      <c r="AK248" s="282"/>
      <c r="AL248" s="282"/>
      <c r="AM248" s="282"/>
      <c r="AN248" s="282"/>
      <c r="AO248" s="282"/>
      <c r="AP248" s="282"/>
      <c r="AQ248" s="282"/>
      <c r="AR248" s="282"/>
      <c r="AS248" s="282"/>
      <c r="AT248" s="282"/>
      <c r="AU248" s="282"/>
      <c r="AV248" s="282"/>
      <c r="AW248" s="282"/>
      <c r="AX248" s="282"/>
      <c r="AY248" s="282"/>
      <c r="AZ248" s="282"/>
      <c r="BA248" s="282"/>
      <c r="BB248" s="282"/>
      <c r="BC248" s="282"/>
      <c r="BD248" s="282"/>
      <c r="BE248" s="282"/>
      <c r="BF248" s="282"/>
      <c r="BG248" s="282"/>
      <c r="BH248" s="282"/>
      <c r="BI248" s="282"/>
      <c r="BJ248" s="278"/>
      <c r="BK248" s="278"/>
      <c r="BL248" s="278"/>
      <c r="BM248" s="278"/>
      <c r="BN248" s="278"/>
      <c r="BO248" s="278"/>
      <c r="BP248" s="278"/>
      <c r="BQ248" s="278"/>
      <c r="BR248" s="278"/>
      <c r="BS248" s="278"/>
      <c r="BT248" s="278"/>
      <c r="BU248" s="278"/>
      <c r="BV248" s="278"/>
      <c r="BW248" s="278"/>
      <c r="BX248" s="278"/>
      <c r="BY248" s="278"/>
      <c r="BZ248" s="278"/>
      <c r="CA248" s="278"/>
      <c r="CB248" s="278"/>
      <c r="CC248" s="278"/>
      <c r="CD248" s="278"/>
      <c r="CE248" s="278"/>
      <c r="CF248" s="278"/>
      <c r="CG248" s="278"/>
      <c r="CH248" s="278"/>
      <c r="CI248" s="278"/>
      <c r="CJ248" s="278"/>
      <c r="CK248" s="278"/>
      <c r="CL248" s="278"/>
      <c r="CM248" s="278"/>
      <c r="CN248" s="278"/>
      <c r="CO248" s="278"/>
      <c r="CP248" s="278"/>
      <c r="CQ248" s="278"/>
      <c r="CR248" s="278"/>
      <c r="CS248" s="278"/>
      <c r="CT248" s="278"/>
      <c r="CU248" s="278"/>
      <c r="CV248" s="278"/>
      <c r="CW248" s="278"/>
      <c r="CX248" s="278"/>
      <c r="CY248" s="278"/>
      <c r="CZ248" s="278"/>
      <c r="DA248" s="278"/>
      <c r="DB248" s="278"/>
      <c r="DC248" s="278"/>
      <c r="DD248" s="278"/>
      <c r="DE248" s="278"/>
      <c r="DF248" s="278"/>
      <c r="DG248" s="278"/>
      <c r="DH248" s="278"/>
      <c r="DI248" s="278"/>
      <c r="DJ248" s="278"/>
      <c r="DK248" s="278"/>
      <c r="DL248" s="278"/>
    </row>
    <row r="249" spans="1:116" ht="15.75" customHeight="1" x14ac:dyDescent="0.25">
      <c r="A249" s="466"/>
      <c r="B249" s="466"/>
      <c r="C249" s="467"/>
      <c r="D249" s="279"/>
      <c r="E249" s="280"/>
      <c r="F249" s="280"/>
      <c r="G249" s="279"/>
      <c r="H249" s="409"/>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282"/>
      <c r="AF249" s="282"/>
      <c r="AG249" s="282"/>
      <c r="AH249" s="282"/>
      <c r="AI249" s="282"/>
      <c r="AJ249" s="282"/>
      <c r="AK249" s="282"/>
      <c r="AL249" s="282"/>
      <c r="AM249" s="282"/>
      <c r="AN249" s="282"/>
      <c r="AO249" s="282"/>
      <c r="AP249" s="282"/>
      <c r="AQ249" s="282"/>
      <c r="AR249" s="282"/>
      <c r="AS249" s="282"/>
      <c r="AT249" s="282"/>
      <c r="AU249" s="282"/>
      <c r="AV249" s="282"/>
      <c r="AW249" s="282"/>
      <c r="AX249" s="282"/>
      <c r="AY249" s="282"/>
      <c r="AZ249" s="282"/>
      <c r="BA249" s="282"/>
      <c r="BB249" s="282"/>
      <c r="BC249" s="282"/>
      <c r="BD249" s="282"/>
      <c r="BE249" s="282"/>
      <c r="BF249" s="282"/>
      <c r="BG249" s="282"/>
      <c r="BH249" s="282"/>
      <c r="BI249" s="282"/>
      <c r="BJ249" s="278"/>
      <c r="BK249" s="278"/>
      <c r="BL249" s="278"/>
      <c r="BM249" s="278"/>
      <c r="BN249" s="278"/>
      <c r="BO249" s="278"/>
      <c r="BP249" s="278"/>
      <c r="BQ249" s="278"/>
      <c r="BR249" s="278"/>
      <c r="BS249" s="278"/>
      <c r="BT249" s="278"/>
      <c r="BU249" s="278"/>
      <c r="BV249" s="278"/>
      <c r="BW249" s="278"/>
      <c r="BX249" s="278"/>
      <c r="BY249" s="278"/>
      <c r="BZ249" s="278"/>
      <c r="CA249" s="278"/>
      <c r="CB249" s="278"/>
      <c r="CC249" s="278"/>
      <c r="CD249" s="278"/>
      <c r="CE249" s="278"/>
      <c r="CF249" s="278"/>
      <c r="CG249" s="278"/>
      <c r="CH249" s="278"/>
      <c r="CI249" s="278"/>
      <c r="CJ249" s="278"/>
      <c r="CK249" s="278"/>
      <c r="CL249" s="278"/>
      <c r="CM249" s="278"/>
      <c r="CN249" s="278"/>
      <c r="CO249" s="278"/>
      <c r="CP249" s="278"/>
      <c r="CQ249" s="278"/>
      <c r="CR249" s="278"/>
      <c r="CS249" s="278"/>
      <c r="CT249" s="278"/>
      <c r="CU249" s="278"/>
      <c r="CV249" s="278"/>
      <c r="CW249" s="278"/>
      <c r="CX249" s="278"/>
      <c r="CY249" s="278"/>
      <c r="CZ249" s="278"/>
      <c r="DA249" s="278"/>
      <c r="DB249" s="278"/>
      <c r="DC249" s="278"/>
      <c r="DD249" s="278"/>
      <c r="DE249" s="278"/>
      <c r="DF249" s="278"/>
      <c r="DG249" s="278"/>
      <c r="DH249" s="278"/>
      <c r="DI249" s="278"/>
      <c r="DJ249" s="278"/>
      <c r="DK249" s="278"/>
      <c r="DL249" s="278"/>
    </row>
    <row r="250" spans="1:116" ht="15.75" customHeight="1" x14ac:dyDescent="0.25">
      <c r="A250" s="466"/>
      <c r="B250" s="466"/>
      <c r="C250" s="467"/>
      <c r="D250" s="279"/>
      <c r="E250" s="280"/>
      <c r="F250" s="280"/>
      <c r="G250" s="279"/>
      <c r="H250" s="409"/>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282"/>
      <c r="AF250" s="282"/>
      <c r="AG250" s="282"/>
      <c r="AH250" s="282"/>
      <c r="AI250" s="282"/>
      <c r="AJ250" s="282"/>
      <c r="AK250" s="282"/>
      <c r="AL250" s="282"/>
      <c r="AM250" s="282"/>
      <c r="AN250" s="282"/>
      <c r="AO250" s="282"/>
      <c r="AP250" s="282"/>
      <c r="AQ250" s="282"/>
      <c r="AR250" s="282"/>
      <c r="AS250" s="282"/>
      <c r="AT250" s="282"/>
      <c r="AU250" s="282"/>
      <c r="AV250" s="282"/>
      <c r="AW250" s="282"/>
      <c r="AX250" s="282"/>
      <c r="AY250" s="282"/>
      <c r="AZ250" s="282"/>
      <c r="BA250" s="282"/>
      <c r="BB250" s="282"/>
      <c r="BC250" s="282"/>
      <c r="BD250" s="282"/>
      <c r="BE250" s="282"/>
      <c r="BF250" s="282"/>
      <c r="BG250" s="282"/>
      <c r="BH250" s="282"/>
      <c r="BI250" s="282"/>
      <c r="BJ250" s="278"/>
      <c r="BK250" s="278"/>
      <c r="BL250" s="278"/>
      <c r="BM250" s="278"/>
      <c r="BN250" s="278"/>
      <c r="BO250" s="278"/>
      <c r="BP250" s="278"/>
      <c r="BQ250" s="278"/>
      <c r="BR250" s="278"/>
      <c r="BS250" s="278"/>
      <c r="BT250" s="278"/>
      <c r="BU250" s="278"/>
      <c r="BV250" s="278"/>
      <c r="BW250" s="278"/>
      <c r="BX250" s="278"/>
      <c r="BY250" s="278"/>
      <c r="BZ250" s="278"/>
      <c r="CA250" s="278"/>
      <c r="CB250" s="278"/>
      <c r="CC250" s="278"/>
      <c r="CD250" s="278"/>
      <c r="CE250" s="278"/>
      <c r="CF250" s="278"/>
      <c r="CG250" s="278"/>
      <c r="CH250" s="278"/>
      <c r="CI250" s="278"/>
      <c r="CJ250" s="278"/>
      <c r="CK250" s="278"/>
      <c r="CL250" s="278"/>
      <c r="CM250" s="278"/>
      <c r="CN250" s="278"/>
      <c r="CO250" s="278"/>
      <c r="CP250" s="278"/>
      <c r="CQ250" s="278"/>
      <c r="CR250" s="278"/>
      <c r="CS250" s="278"/>
      <c r="CT250" s="278"/>
      <c r="CU250" s="278"/>
      <c r="CV250" s="278"/>
      <c r="CW250" s="278"/>
      <c r="CX250" s="278"/>
      <c r="CY250" s="278"/>
      <c r="CZ250" s="278"/>
      <c r="DA250" s="278"/>
      <c r="DB250" s="278"/>
      <c r="DC250" s="278"/>
      <c r="DD250" s="278"/>
      <c r="DE250" s="278"/>
      <c r="DF250" s="278"/>
      <c r="DG250" s="278"/>
      <c r="DH250" s="278"/>
      <c r="DI250" s="278"/>
      <c r="DJ250" s="278"/>
      <c r="DK250" s="278"/>
      <c r="DL250" s="278"/>
    </row>
    <row r="251" spans="1:116" ht="15.75" customHeight="1" x14ac:dyDescent="0.25">
      <c r="A251" s="466"/>
      <c r="B251" s="466"/>
      <c r="C251" s="467"/>
      <c r="D251" s="279"/>
      <c r="E251" s="280"/>
      <c r="F251" s="280"/>
      <c r="G251" s="279"/>
      <c r="H251" s="409"/>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282"/>
      <c r="AE251" s="282"/>
      <c r="AF251" s="282"/>
      <c r="AG251" s="282"/>
      <c r="AH251" s="282"/>
      <c r="AI251" s="282"/>
      <c r="AJ251" s="282"/>
      <c r="AK251" s="282"/>
      <c r="AL251" s="282"/>
      <c r="AM251" s="282"/>
      <c r="AN251" s="282"/>
      <c r="AO251" s="282"/>
      <c r="AP251" s="282"/>
      <c r="AQ251" s="282"/>
      <c r="AR251" s="282"/>
      <c r="AS251" s="282"/>
      <c r="AT251" s="282"/>
      <c r="AU251" s="282"/>
      <c r="AV251" s="282"/>
      <c r="AW251" s="282"/>
      <c r="AX251" s="282"/>
      <c r="AY251" s="282"/>
      <c r="AZ251" s="282"/>
      <c r="BA251" s="282"/>
      <c r="BB251" s="282"/>
      <c r="BC251" s="282"/>
      <c r="BD251" s="282"/>
      <c r="BE251" s="282"/>
      <c r="BF251" s="282"/>
      <c r="BG251" s="282"/>
      <c r="BH251" s="282"/>
      <c r="BI251" s="282"/>
      <c r="BJ251" s="278"/>
      <c r="BK251" s="278"/>
      <c r="BL251" s="278"/>
      <c r="BM251" s="278"/>
      <c r="BN251" s="278"/>
      <c r="BO251" s="278"/>
      <c r="BP251" s="278"/>
      <c r="BQ251" s="278"/>
      <c r="BR251" s="278"/>
      <c r="BS251" s="278"/>
      <c r="BT251" s="278"/>
      <c r="BU251" s="278"/>
      <c r="BV251" s="278"/>
      <c r="BW251" s="278"/>
      <c r="BX251" s="278"/>
      <c r="BY251" s="278"/>
      <c r="BZ251" s="278"/>
      <c r="CA251" s="278"/>
      <c r="CB251" s="278"/>
      <c r="CC251" s="278"/>
      <c r="CD251" s="278"/>
      <c r="CE251" s="278"/>
      <c r="CF251" s="278"/>
      <c r="CG251" s="278"/>
      <c r="CH251" s="278"/>
      <c r="CI251" s="278"/>
      <c r="CJ251" s="278"/>
      <c r="CK251" s="278"/>
      <c r="CL251" s="278"/>
      <c r="CM251" s="278"/>
      <c r="CN251" s="278"/>
      <c r="CO251" s="278"/>
      <c r="CP251" s="278"/>
      <c r="CQ251" s="278"/>
      <c r="CR251" s="278"/>
      <c r="CS251" s="278"/>
      <c r="CT251" s="278"/>
      <c r="CU251" s="278"/>
      <c r="CV251" s="278"/>
      <c r="CW251" s="278"/>
      <c r="CX251" s="278"/>
      <c r="CY251" s="278"/>
      <c r="CZ251" s="278"/>
      <c r="DA251" s="278"/>
      <c r="DB251" s="278"/>
      <c r="DC251" s="278"/>
      <c r="DD251" s="278"/>
      <c r="DE251" s="278"/>
      <c r="DF251" s="278"/>
      <c r="DG251" s="278"/>
      <c r="DH251" s="278"/>
      <c r="DI251" s="278"/>
      <c r="DJ251" s="278"/>
      <c r="DK251" s="278"/>
      <c r="DL251" s="278"/>
    </row>
    <row r="252" spans="1:116" ht="15.75" customHeight="1" x14ac:dyDescent="0.25">
      <c r="A252" s="466"/>
      <c r="B252" s="466"/>
      <c r="C252" s="467"/>
      <c r="D252" s="279"/>
      <c r="E252" s="280"/>
      <c r="F252" s="280"/>
      <c r="G252" s="279"/>
      <c r="H252" s="409"/>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282"/>
      <c r="AF252" s="282"/>
      <c r="AG252" s="282"/>
      <c r="AH252" s="282"/>
      <c r="AI252" s="282"/>
      <c r="AJ252" s="282"/>
      <c r="AK252" s="282"/>
      <c r="AL252" s="282"/>
      <c r="AM252" s="282"/>
      <c r="AN252" s="282"/>
      <c r="AO252" s="282"/>
      <c r="AP252" s="282"/>
      <c r="AQ252" s="282"/>
      <c r="AR252" s="282"/>
      <c r="AS252" s="282"/>
      <c r="AT252" s="282"/>
      <c r="AU252" s="282"/>
      <c r="AV252" s="282"/>
      <c r="AW252" s="282"/>
      <c r="AX252" s="282"/>
      <c r="AY252" s="282"/>
      <c r="AZ252" s="282"/>
      <c r="BA252" s="282"/>
      <c r="BB252" s="282"/>
      <c r="BC252" s="282"/>
      <c r="BD252" s="282"/>
      <c r="BE252" s="282"/>
      <c r="BF252" s="282"/>
      <c r="BG252" s="282"/>
      <c r="BH252" s="282"/>
      <c r="BI252" s="282"/>
      <c r="BJ252" s="278"/>
      <c r="BK252" s="278"/>
      <c r="BL252" s="278"/>
      <c r="BM252" s="278"/>
      <c r="BN252" s="278"/>
      <c r="BO252" s="278"/>
      <c r="BP252" s="278"/>
      <c r="BQ252" s="278"/>
      <c r="BR252" s="278"/>
      <c r="BS252" s="278"/>
      <c r="BT252" s="278"/>
      <c r="BU252" s="278"/>
      <c r="BV252" s="278"/>
      <c r="BW252" s="278"/>
      <c r="BX252" s="278"/>
      <c r="BY252" s="278"/>
      <c r="BZ252" s="278"/>
      <c r="CA252" s="278"/>
      <c r="CB252" s="278"/>
      <c r="CC252" s="278"/>
      <c r="CD252" s="278"/>
      <c r="CE252" s="278"/>
      <c r="CF252" s="278"/>
      <c r="CG252" s="278"/>
      <c r="CH252" s="278"/>
      <c r="CI252" s="278"/>
      <c r="CJ252" s="278"/>
      <c r="CK252" s="278"/>
      <c r="CL252" s="278"/>
      <c r="CM252" s="278"/>
      <c r="CN252" s="278"/>
      <c r="CO252" s="278"/>
      <c r="CP252" s="278"/>
      <c r="CQ252" s="278"/>
      <c r="CR252" s="278"/>
      <c r="CS252" s="278"/>
      <c r="CT252" s="278"/>
      <c r="CU252" s="278"/>
      <c r="CV252" s="278"/>
      <c r="CW252" s="278"/>
      <c r="CX252" s="278"/>
      <c r="CY252" s="278"/>
      <c r="CZ252" s="278"/>
      <c r="DA252" s="278"/>
      <c r="DB252" s="278"/>
      <c r="DC252" s="278"/>
      <c r="DD252" s="278"/>
      <c r="DE252" s="278"/>
      <c r="DF252" s="278"/>
      <c r="DG252" s="278"/>
      <c r="DH252" s="278"/>
      <c r="DI252" s="278"/>
      <c r="DJ252" s="278"/>
      <c r="DK252" s="278"/>
      <c r="DL252" s="278"/>
    </row>
    <row r="253" spans="1:116" ht="15.75" customHeight="1" x14ac:dyDescent="0.25">
      <c r="A253" s="466"/>
      <c r="B253" s="466"/>
      <c r="C253" s="467"/>
      <c r="D253" s="279"/>
      <c r="E253" s="280"/>
      <c r="F253" s="280"/>
      <c r="G253" s="279"/>
      <c r="H253" s="409"/>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282"/>
      <c r="AF253" s="282"/>
      <c r="AG253" s="282"/>
      <c r="AH253" s="282"/>
      <c r="AI253" s="282"/>
      <c r="AJ253" s="282"/>
      <c r="AK253" s="282"/>
      <c r="AL253" s="282"/>
      <c r="AM253" s="282"/>
      <c r="AN253" s="282"/>
      <c r="AO253" s="282"/>
      <c r="AP253" s="282"/>
      <c r="AQ253" s="282"/>
      <c r="AR253" s="282"/>
      <c r="AS253" s="282"/>
      <c r="AT253" s="282"/>
      <c r="AU253" s="282"/>
      <c r="AV253" s="282"/>
      <c r="AW253" s="282"/>
      <c r="AX253" s="282"/>
      <c r="AY253" s="282"/>
      <c r="AZ253" s="282"/>
      <c r="BA253" s="282"/>
      <c r="BB253" s="282"/>
      <c r="BC253" s="282"/>
      <c r="BD253" s="282"/>
      <c r="BE253" s="282"/>
      <c r="BF253" s="282"/>
      <c r="BG253" s="282"/>
      <c r="BH253" s="282"/>
      <c r="BI253" s="282"/>
      <c r="BJ253" s="278"/>
      <c r="BK253" s="278"/>
      <c r="BL253" s="278"/>
      <c r="BM253" s="278"/>
      <c r="BN253" s="278"/>
      <c r="BO253" s="278"/>
      <c r="BP253" s="278"/>
      <c r="BQ253" s="278"/>
      <c r="BR253" s="278"/>
      <c r="BS253" s="278"/>
      <c r="BT253" s="278"/>
      <c r="BU253" s="278"/>
      <c r="BV253" s="278"/>
      <c r="BW253" s="278"/>
      <c r="BX253" s="278"/>
      <c r="BY253" s="278"/>
      <c r="BZ253" s="278"/>
      <c r="CA253" s="278"/>
      <c r="CB253" s="278"/>
      <c r="CC253" s="278"/>
      <c r="CD253" s="278"/>
      <c r="CE253" s="278"/>
      <c r="CF253" s="278"/>
      <c r="CG253" s="278"/>
      <c r="CH253" s="278"/>
      <c r="CI253" s="278"/>
      <c r="CJ253" s="278"/>
      <c r="CK253" s="278"/>
      <c r="CL253" s="278"/>
      <c r="CM253" s="278"/>
      <c r="CN253" s="278"/>
      <c r="CO253" s="278"/>
      <c r="CP253" s="278"/>
      <c r="CQ253" s="278"/>
      <c r="CR253" s="278"/>
      <c r="CS253" s="278"/>
      <c r="CT253" s="278"/>
      <c r="CU253" s="278"/>
      <c r="CV253" s="278"/>
      <c r="CW253" s="278"/>
      <c r="CX253" s="278"/>
      <c r="CY253" s="278"/>
      <c r="CZ253" s="278"/>
      <c r="DA253" s="278"/>
      <c r="DB253" s="278"/>
      <c r="DC253" s="278"/>
      <c r="DD253" s="278"/>
      <c r="DE253" s="278"/>
      <c r="DF253" s="278"/>
      <c r="DG253" s="278"/>
      <c r="DH253" s="278"/>
      <c r="DI253" s="278"/>
      <c r="DJ253" s="278"/>
      <c r="DK253" s="278"/>
      <c r="DL253" s="278"/>
    </row>
    <row r="254" spans="1:116" ht="15.75" customHeight="1" x14ac:dyDescent="0.25">
      <c r="A254" s="466"/>
      <c r="B254" s="466"/>
      <c r="C254" s="467"/>
      <c r="D254" s="279"/>
      <c r="E254" s="280"/>
      <c r="F254" s="280"/>
      <c r="G254" s="279"/>
      <c r="H254" s="409"/>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2"/>
      <c r="AL254" s="282"/>
      <c r="AM254" s="282"/>
      <c r="AN254" s="282"/>
      <c r="AO254" s="282"/>
      <c r="AP254" s="282"/>
      <c r="AQ254" s="282"/>
      <c r="AR254" s="282"/>
      <c r="AS254" s="282"/>
      <c r="AT254" s="282"/>
      <c r="AU254" s="282"/>
      <c r="AV254" s="282"/>
      <c r="AW254" s="282"/>
      <c r="AX254" s="282"/>
      <c r="AY254" s="282"/>
      <c r="AZ254" s="282"/>
      <c r="BA254" s="282"/>
      <c r="BB254" s="282"/>
      <c r="BC254" s="282"/>
      <c r="BD254" s="282"/>
      <c r="BE254" s="282"/>
      <c r="BF254" s="282"/>
      <c r="BG254" s="282"/>
      <c r="BH254" s="282"/>
      <c r="BI254" s="282"/>
      <c r="BJ254" s="278"/>
      <c r="BK254" s="278"/>
      <c r="BL254" s="278"/>
      <c r="BM254" s="278"/>
      <c r="BN254" s="278"/>
      <c r="BO254" s="278"/>
      <c r="BP254" s="278"/>
      <c r="BQ254" s="278"/>
      <c r="BR254" s="278"/>
      <c r="BS254" s="278"/>
      <c r="BT254" s="278"/>
      <c r="BU254" s="278"/>
      <c r="BV254" s="278"/>
      <c r="BW254" s="278"/>
      <c r="BX254" s="278"/>
      <c r="BY254" s="278"/>
      <c r="BZ254" s="278"/>
      <c r="CA254" s="278"/>
      <c r="CB254" s="278"/>
      <c r="CC254" s="278"/>
      <c r="CD254" s="278"/>
      <c r="CE254" s="278"/>
      <c r="CF254" s="278"/>
      <c r="CG254" s="278"/>
      <c r="CH254" s="278"/>
      <c r="CI254" s="278"/>
      <c r="CJ254" s="278"/>
      <c r="CK254" s="278"/>
      <c r="CL254" s="278"/>
      <c r="CM254" s="278"/>
      <c r="CN254" s="278"/>
      <c r="CO254" s="278"/>
      <c r="CP254" s="278"/>
      <c r="CQ254" s="278"/>
      <c r="CR254" s="278"/>
      <c r="CS254" s="278"/>
      <c r="CT254" s="278"/>
      <c r="CU254" s="278"/>
      <c r="CV254" s="278"/>
      <c r="CW254" s="278"/>
      <c r="CX254" s="278"/>
      <c r="CY254" s="278"/>
      <c r="CZ254" s="278"/>
      <c r="DA254" s="278"/>
      <c r="DB254" s="278"/>
      <c r="DC254" s="278"/>
      <c r="DD254" s="278"/>
      <c r="DE254" s="278"/>
      <c r="DF254" s="278"/>
      <c r="DG254" s="278"/>
      <c r="DH254" s="278"/>
      <c r="DI254" s="278"/>
      <c r="DJ254" s="278"/>
      <c r="DK254" s="278"/>
      <c r="DL254" s="278"/>
    </row>
    <row r="255" spans="1:116" ht="15.75" customHeight="1" x14ac:dyDescent="0.25">
      <c r="A255" s="466"/>
      <c r="B255" s="466"/>
      <c r="C255" s="467"/>
      <c r="D255" s="279"/>
      <c r="E255" s="280"/>
      <c r="F255" s="280"/>
      <c r="G255" s="279"/>
      <c r="H255" s="409"/>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282"/>
      <c r="AE255" s="282"/>
      <c r="AF255" s="282"/>
      <c r="AG255" s="282"/>
      <c r="AH255" s="282"/>
      <c r="AI255" s="282"/>
      <c r="AJ255" s="282"/>
      <c r="AK255" s="282"/>
      <c r="AL255" s="282"/>
      <c r="AM255" s="282"/>
      <c r="AN255" s="282"/>
      <c r="AO255" s="282"/>
      <c r="AP255" s="282"/>
      <c r="AQ255" s="282"/>
      <c r="AR255" s="282"/>
      <c r="AS255" s="282"/>
      <c r="AT255" s="282"/>
      <c r="AU255" s="282"/>
      <c r="AV255" s="282"/>
      <c r="AW255" s="282"/>
      <c r="AX255" s="282"/>
      <c r="AY255" s="282"/>
      <c r="AZ255" s="282"/>
      <c r="BA255" s="282"/>
      <c r="BB255" s="282"/>
      <c r="BC255" s="282"/>
      <c r="BD255" s="282"/>
      <c r="BE255" s="282"/>
      <c r="BF255" s="282"/>
      <c r="BG255" s="282"/>
      <c r="BH255" s="282"/>
      <c r="BI255" s="282"/>
      <c r="BJ255" s="278"/>
      <c r="BK255" s="278"/>
      <c r="BL255" s="278"/>
      <c r="BM255" s="278"/>
      <c r="BN255" s="278"/>
      <c r="BO255" s="278"/>
      <c r="BP255" s="278"/>
      <c r="BQ255" s="278"/>
      <c r="BR255" s="278"/>
      <c r="BS255" s="278"/>
      <c r="BT255" s="278"/>
      <c r="BU255" s="278"/>
      <c r="BV255" s="278"/>
      <c r="BW255" s="278"/>
      <c r="BX255" s="278"/>
      <c r="BY255" s="278"/>
      <c r="BZ255" s="278"/>
      <c r="CA255" s="278"/>
      <c r="CB255" s="278"/>
      <c r="CC255" s="278"/>
      <c r="CD255" s="278"/>
      <c r="CE255" s="278"/>
      <c r="CF255" s="278"/>
      <c r="CG255" s="278"/>
      <c r="CH255" s="278"/>
      <c r="CI255" s="278"/>
      <c r="CJ255" s="278"/>
      <c r="CK255" s="278"/>
      <c r="CL255" s="278"/>
      <c r="CM255" s="278"/>
      <c r="CN255" s="278"/>
      <c r="CO255" s="278"/>
      <c r="CP255" s="278"/>
      <c r="CQ255" s="278"/>
      <c r="CR255" s="278"/>
      <c r="CS255" s="278"/>
      <c r="CT255" s="278"/>
      <c r="CU255" s="278"/>
      <c r="CV255" s="278"/>
      <c r="CW255" s="278"/>
      <c r="CX255" s="278"/>
      <c r="CY255" s="278"/>
      <c r="CZ255" s="278"/>
      <c r="DA255" s="278"/>
      <c r="DB255" s="278"/>
      <c r="DC255" s="278"/>
      <c r="DD255" s="278"/>
      <c r="DE255" s="278"/>
      <c r="DF255" s="278"/>
      <c r="DG255" s="278"/>
      <c r="DH255" s="278"/>
      <c r="DI255" s="278"/>
      <c r="DJ255" s="278"/>
      <c r="DK255" s="278"/>
      <c r="DL255" s="278"/>
    </row>
    <row r="256" spans="1:116" ht="15.75" customHeight="1" x14ac:dyDescent="0.25">
      <c r="A256" s="466"/>
      <c r="B256" s="466"/>
      <c r="C256" s="467"/>
      <c r="D256" s="279"/>
      <c r="E256" s="280"/>
      <c r="F256" s="280"/>
      <c r="G256" s="279"/>
      <c r="H256" s="409"/>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c r="AF256" s="282"/>
      <c r="AG256" s="282"/>
      <c r="AH256" s="282"/>
      <c r="AI256" s="282"/>
      <c r="AJ256" s="282"/>
      <c r="AK256" s="282"/>
      <c r="AL256" s="282"/>
      <c r="AM256" s="282"/>
      <c r="AN256" s="282"/>
      <c r="AO256" s="282"/>
      <c r="AP256" s="282"/>
      <c r="AQ256" s="282"/>
      <c r="AR256" s="282"/>
      <c r="AS256" s="282"/>
      <c r="AT256" s="282"/>
      <c r="AU256" s="282"/>
      <c r="AV256" s="282"/>
      <c r="AW256" s="282"/>
      <c r="AX256" s="282"/>
      <c r="AY256" s="282"/>
      <c r="AZ256" s="282"/>
      <c r="BA256" s="282"/>
      <c r="BB256" s="282"/>
      <c r="BC256" s="282"/>
      <c r="BD256" s="282"/>
      <c r="BE256" s="282"/>
      <c r="BF256" s="282"/>
      <c r="BG256" s="282"/>
      <c r="BH256" s="282"/>
      <c r="BI256" s="282"/>
      <c r="BJ256" s="278"/>
      <c r="BK256" s="278"/>
      <c r="BL256" s="278"/>
      <c r="BM256" s="278"/>
      <c r="BN256" s="278"/>
      <c r="BO256" s="278"/>
      <c r="BP256" s="278"/>
      <c r="BQ256" s="278"/>
      <c r="BR256" s="278"/>
      <c r="BS256" s="278"/>
      <c r="BT256" s="278"/>
      <c r="BU256" s="278"/>
      <c r="BV256" s="278"/>
      <c r="BW256" s="278"/>
      <c r="BX256" s="278"/>
      <c r="BY256" s="278"/>
      <c r="BZ256" s="278"/>
      <c r="CA256" s="278"/>
      <c r="CB256" s="278"/>
      <c r="CC256" s="278"/>
      <c r="CD256" s="278"/>
      <c r="CE256" s="278"/>
      <c r="CF256" s="278"/>
      <c r="CG256" s="278"/>
      <c r="CH256" s="278"/>
      <c r="CI256" s="278"/>
      <c r="CJ256" s="278"/>
      <c r="CK256" s="278"/>
      <c r="CL256" s="278"/>
      <c r="CM256" s="278"/>
      <c r="CN256" s="278"/>
      <c r="CO256" s="278"/>
      <c r="CP256" s="278"/>
      <c r="CQ256" s="278"/>
      <c r="CR256" s="278"/>
      <c r="CS256" s="278"/>
      <c r="CT256" s="278"/>
      <c r="CU256" s="278"/>
      <c r="CV256" s="278"/>
      <c r="CW256" s="278"/>
      <c r="CX256" s="278"/>
      <c r="CY256" s="278"/>
      <c r="CZ256" s="278"/>
      <c r="DA256" s="278"/>
      <c r="DB256" s="278"/>
      <c r="DC256" s="278"/>
      <c r="DD256" s="278"/>
      <c r="DE256" s="278"/>
      <c r="DF256" s="278"/>
      <c r="DG256" s="278"/>
      <c r="DH256" s="278"/>
      <c r="DI256" s="278"/>
      <c r="DJ256" s="278"/>
      <c r="DK256" s="278"/>
      <c r="DL256" s="278"/>
    </row>
    <row r="257" spans="1:116" ht="15.75" customHeight="1" x14ac:dyDescent="0.25">
      <c r="A257" s="466"/>
      <c r="B257" s="466"/>
      <c r="C257" s="467"/>
      <c r="D257" s="279"/>
      <c r="E257" s="280"/>
      <c r="F257" s="280"/>
      <c r="G257" s="279"/>
      <c r="H257" s="409"/>
      <c r="I257" s="282"/>
      <c r="J257" s="282"/>
      <c r="K257" s="282"/>
      <c r="L257" s="282"/>
      <c r="M257" s="282"/>
      <c r="N257" s="282"/>
      <c r="O257" s="282"/>
      <c r="P257" s="282"/>
      <c r="Q257" s="282"/>
      <c r="R257" s="282"/>
      <c r="S257" s="282"/>
      <c r="T257" s="282"/>
      <c r="U257" s="282"/>
      <c r="V257" s="282"/>
      <c r="W257" s="282"/>
      <c r="X257" s="282"/>
      <c r="Y257" s="282"/>
      <c r="Z257" s="282"/>
      <c r="AA257" s="282"/>
      <c r="AB257" s="282"/>
      <c r="AC257" s="282"/>
      <c r="AD257" s="282"/>
      <c r="AE257" s="282"/>
      <c r="AF257" s="282"/>
      <c r="AG257" s="282"/>
      <c r="AH257" s="282"/>
      <c r="AI257" s="282"/>
      <c r="AJ257" s="282"/>
      <c r="AK257" s="282"/>
      <c r="AL257" s="282"/>
      <c r="AM257" s="282"/>
      <c r="AN257" s="282"/>
      <c r="AO257" s="282"/>
      <c r="AP257" s="282"/>
      <c r="AQ257" s="282"/>
      <c r="AR257" s="282"/>
      <c r="AS257" s="282"/>
      <c r="AT257" s="282"/>
      <c r="AU257" s="282"/>
      <c r="AV257" s="282"/>
      <c r="AW257" s="282"/>
      <c r="AX257" s="282"/>
      <c r="AY257" s="282"/>
      <c r="AZ257" s="282"/>
      <c r="BA257" s="282"/>
      <c r="BB257" s="282"/>
      <c r="BC257" s="282"/>
      <c r="BD257" s="282"/>
      <c r="BE257" s="282"/>
      <c r="BF257" s="282"/>
      <c r="BG257" s="282"/>
      <c r="BH257" s="282"/>
      <c r="BI257" s="282"/>
      <c r="BJ257" s="278"/>
      <c r="BK257" s="278"/>
      <c r="BL257" s="278"/>
      <c r="BM257" s="278"/>
      <c r="BN257" s="278"/>
      <c r="BO257" s="278"/>
      <c r="BP257" s="278"/>
      <c r="BQ257" s="278"/>
      <c r="BR257" s="278"/>
      <c r="BS257" s="278"/>
      <c r="BT257" s="278"/>
      <c r="BU257" s="278"/>
      <c r="BV257" s="278"/>
      <c r="BW257" s="278"/>
      <c r="BX257" s="278"/>
      <c r="BY257" s="278"/>
      <c r="BZ257" s="278"/>
      <c r="CA257" s="278"/>
      <c r="CB257" s="278"/>
      <c r="CC257" s="278"/>
      <c r="CD257" s="278"/>
      <c r="CE257" s="278"/>
      <c r="CF257" s="278"/>
      <c r="CG257" s="278"/>
      <c r="CH257" s="278"/>
      <c r="CI257" s="278"/>
      <c r="CJ257" s="278"/>
      <c r="CK257" s="278"/>
      <c r="CL257" s="278"/>
      <c r="CM257" s="278"/>
      <c r="CN257" s="278"/>
      <c r="CO257" s="278"/>
      <c r="CP257" s="278"/>
      <c r="CQ257" s="278"/>
      <c r="CR257" s="278"/>
      <c r="CS257" s="278"/>
      <c r="CT257" s="278"/>
      <c r="CU257" s="278"/>
      <c r="CV257" s="278"/>
      <c r="CW257" s="278"/>
      <c r="CX257" s="278"/>
      <c r="CY257" s="278"/>
      <c r="CZ257" s="278"/>
      <c r="DA257" s="278"/>
      <c r="DB257" s="278"/>
      <c r="DC257" s="278"/>
      <c r="DD257" s="278"/>
      <c r="DE257" s="278"/>
      <c r="DF257" s="278"/>
      <c r="DG257" s="278"/>
      <c r="DH257" s="278"/>
      <c r="DI257" s="278"/>
      <c r="DJ257" s="278"/>
      <c r="DK257" s="278"/>
      <c r="DL257" s="278"/>
    </row>
    <row r="258" spans="1:116" ht="15.75" customHeight="1" x14ac:dyDescent="0.25">
      <c r="A258" s="466"/>
      <c r="B258" s="466"/>
      <c r="C258" s="467"/>
      <c r="D258" s="279"/>
      <c r="E258" s="280"/>
      <c r="F258" s="280"/>
      <c r="G258" s="279"/>
      <c r="H258" s="409"/>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c r="AT258" s="282"/>
      <c r="AU258" s="282"/>
      <c r="AV258" s="282"/>
      <c r="AW258" s="282"/>
      <c r="AX258" s="282"/>
      <c r="AY258" s="282"/>
      <c r="AZ258" s="282"/>
      <c r="BA258" s="282"/>
      <c r="BB258" s="282"/>
      <c r="BC258" s="282"/>
      <c r="BD258" s="282"/>
      <c r="BE258" s="282"/>
      <c r="BF258" s="282"/>
      <c r="BG258" s="282"/>
      <c r="BH258" s="282"/>
      <c r="BI258" s="282"/>
      <c r="BJ258" s="278"/>
      <c r="BK258" s="278"/>
      <c r="BL258" s="278"/>
      <c r="BM258" s="278"/>
      <c r="BN258" s="278"/>
      <c r="BO258" s="278"/>
      <c r="BP258" s="278"/>
      <c r="BQ258" s="278"/>
      <c r="BR258" s="278"/>
      <c r="BS258" s="278"/>
      <c r="BT258" s="278"/>
      <c r="BU258" s="278"/>
      <c r="BV258" s="278"/>
      <c r="BW258" s="278"/>
      <c r="BX258" s="278"/>
      <c r="BY258" s="278"/>
      <c r="BZ258" s="278"/>
      <c r="CA258" s="278"/>
      <c r="CB258" s="278"/>
      <c r="CC258" s="278"/>
      <c r="CD258" s="278"/>
      <c r="CE258" s="278"/>
      <c r="CF258" s="278"/>
      <c r="CG258" s="278"/>
      <c r="CH258" s="278"/>
      <c r="CI258" s="278"/>
      <c r="CJ258" s="278"/>
      <c r="CK258" s="278"/>
      <c r="CL258" s="278"/>
      <c r="CM258" s="278"/>
      <c r="CN258" s="278"/>
      <c r="CO258" s="278"/>
      <c r="CP258" s="278"/>
      <c r="CQ258" s="278"/>
      <c r="CR258" s="278"/>
      <c r="CS258" s="278"/>
      <c r="CT258" s="278"/>
      <c r="CU258" s="278"/>
      <c r="CV258" s="278"/>
      <c r="CW258" s="278"/>
      <c r="CX258" s="278"/>
      <c r="CY258" s="278"/>
      <c r="CZ258" s="278"/>
      <c r="DA258" s="278"/>
      <c r="DB258" s="278"/>
      <c r="DC258" s="278"/>
      <c r="DD258" s="278"/>
      <c r="DE258" s="278"/>
      <c r="DF258" s="278"/>
      <c r="DG258" s="278"/>
      <c r="DH258" s="278"/>
      <c r="DI258" s="278"/>
      <c r="DJ258" s="278"/>
      <c r="DK258" s="278"/>
      <c r="DL258" s="278"/>
    </row>
    <row r="259" spans="1:116" ht="15.75" customHeight="1" x14ac:dyDescent="0.25">
      <c r="A259" s="466"/>
      <c r="B259" s="466"/>
      <c r="C259" s="467"/>
      <c r="D259" s="279"/>
      <c r="E259" s="280"/>
      <c r="F259" s="280"/>
      <c r="G259" s="279"/>
      <c r="H259" s="409"/>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282"/>
      <c r="AF259" s="282"/>
      <c r="AG259" s="282"/>
      <c r="AH259" s="282"/>
      <c r="AI259" s="282"/>
      <c r="AJ259" s="282"/>
      <c r="AK259" s="282"/>
      <c r="AL259" s="282"/>
      <c r="AM259" s="282"/>
      <c r="AN259" s="282"/>
      <c r="AO259" s="282"/>
      <c r="AP259" s="282"/>
      <c r="AQ259" s="282"/>
      <c r="AR259" s="282"/>
      <c r="AS259" s="282"/>
      <c r="AT259" s="282"/>
      <c r="AU259" s="282"/>
      <c r="AV259" s="282"/>
      <c r="AW259" s="282"/>
      <c r="AX259" s="282"/>
      <c r="AY259" s="282"/>
      <c r="AZ259" s="282"/>
      <c r="BA259" s="282"/>
      <c r="BB259" s="282"/>
      <c r="BC259" s="282"/>
      <c r="BD259" s="282"/>
      <c r="BE259" s="282"/>
      <c r="BF259" s="282"/>
      <c r="BG259" s="282"/>
      <c r="BH259" s="282"/>
      <c r="BI259" s="282"/>
      <c r="BJ259" s="278"/>
      <c r="BK259" s="278"/>
      <c r="BL259" s="278"/>
      <c r="BM259" s="278"/>
      <c r="BN259" s="278"/>
      <c r="BO259" s="278"/>
      <c r="BP259" s="278"/>
      <c r="BQ259" s="278"/>
      <c r="BR259" s="278"/>
      <c r="BS259" s="278"/>
      <c r="BT259" s="278"/>
      <c r="BU259" s="278"/>
      <c r="BV259" s="278"/>
      <c r="BW259" s="278"/>
      <c r="BX259" s="278"/>
      <c r="BY259" s="278"/>
      <c r="BZ259" s="278"/>
      <c r="CA259" s="278"/>
      <c r="CB259" s="278"/>
      <c r="CC259" s="278"/>
      <c r="CD259" s="278"/>
      <c r="CE259" s="278"/>
      <c r="CF259" s="278"/>
      <c r="CG259" s="278"/>
      <c r="CH259" s="278"/>
      <c r="CI259" s="278"/>
      <c r="CJ259" s="278"/>
      <c r="CK259" s="278"/>
      <c r="CL259" s="278"/>
      <c r="CM259" s="278"/>
      <c r="CN259" s="278"/>
      <c r="CO259" s="278"/>
      <c r="CP259" s="278"/>
      <c r="CQ259" s="278"/>
      <c r="CR259" s="278"/>
      <c r="CS259" s="278"/>
      <c r="CT259" s="278"/>
      <c r="CU259" s="278"/>
      <c r="CV259" s="278"/>
      <c r="CW259" s="278"/>
      <c r="CX259" s="278"/>
      <c r="CY259" s="278"/>
      <c r="CZ259" s="278"/>
      <c r="DA259" s="278"/>
      <c r="DB259" s="278"/>
      <c r="DC259" s="278"/>
      <c r="DD259" s="278"/>
      <c r="DE259" s="278"/>
      <c r="DF259" s="278"/>
      <c r="DG259" s="278"/>
      <c r="DH259" s="278"/>
      <c r="DI259" s="278"/>
      <c r="DJ259" s="278"/>
      <c r="DK259" s="278"/>
      <c r="DL259" s="278"/>
    </row>
    <row r="260" spans="1:116" ht="15.75" customHeight="1" x14ac:dyDescent="0.25">
      <c r="A260" s="466"/>
      <c r="B260" s="466"/>
      <c r="C260" s="467"/>
      <c r="D260" s="279"/>
      <c r="E260" s="280"/>
      <c r="F260" s="280"/>
      <c r="G260" s="279"/>
      <c r="H260" s="409"/>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282"/>
      <c r="AE260" s="282"/>
      <c r="AF260" s="282"/>
      <c r="AG260" s="282"/>
      <c r="AH260" s="282"/>
      <c r="AI260" s="282"/>
      <c r="AJ260" s="282"/>
      <c r="AK260" s="282"/>
      <c r="AL260" s="282"/>
      <c r="AM260" s="282"/>
      <c r="AN260" s="282"/>
      <c r="AO260" s="282"/>
      <c r="AP260" s="282"/>
      <c r="AQ260" s="282"/>
      <c r="AR260" s="282"/>
      <c r="AS260" s="282"/>
      <c r="AT260" s="282"/>
      <c r="AU260" s="282"/>
      <c r="AV260" s="282"/>
      <c r="AW260" s="282"/>
      <c r="AX260" s="282"/>
      <c r="AY260" s="282"/>
      <c r="AZ260" s="282"/>
      <c r="BA260" s="282"/>
      <c r="BB260" s="282"/>
      <c r="BC260" s="282"/>
      <c r="BD260" s="282"/>
      <c r="BE260" s="282"/>
      <c r="BF260" s="282"/>
      <c r="BG260" s="282"/>
      <c r="BH260" s="282"/>
      <c r="BI260" s="282"/>
      <c r="BJ260" s="278"/>
      <c r="BK260" s="278"/>
      <c r="BL260" s="278"/>
      <c r="BM260" s="278"/>
      <c r="BN260" s="278"/>
      <c r="BO260" s="278"/>
      <c r="BP260" s="278"/>
      <c r="BQ260" s="278"/>
      <c r="BR260" s="278"/>
      <c r="BS260" s="278"/>
      <c r="BT260" s="278"/>
      <c r="BU260" s="278"/>
      <c r="BV260" s="278"/>
      <c r="BW260" s="278"/>
      <c r="BX260" s="278"/>
      <c r="BY260" s="278"/>
      <c r="BZ260" s="278"/>
      <c r="CA260" s="278"/>
      <c r="CB260" s="278"/>
      <c r="CC260" s="278"/>
      <c r="CD260" s="278"/>
      <c r="CE260" s="278"/>
      <c r="CF260" s="278"/>
      <c r="CG260" s="278"/>
      <c r="CH260" s="278"/>
      <c r="CI260" s="278"/>
      <c r="CJ260" s="278"/>
      <c r="CK260" s="278"/>
      <c r="CL260" s="278"/>
      <c r="CM260" s="278"/>
      <c r="CN260" s="278"/>
      <c r="CO260" s="278"/>
      <c r="CP260" s="278"/>
      <c r="CQ260" s="278"/>
      <c r="CR260" s="278"/>
      <c r="CS260" s="278"/>
      <c r="CT260" s="278"/>
      <c r="CU260" s="278"/>
      <c r="CV260" s="278"/>
      <c r="CW260" s="278"/>
      <c r="CX260" s="278"/>
      <c r="CY260" s="278"/>
      <c r="CZ260" s="278"/>
      <c r="DA260" s="278"/>
      <c r="DB260" s="278"/>
      <c r="DC260" s="278"/>
      <c r="DD260" s="278"/>
      <c r="DE260" s="278"/>
      <c r="DF260" s="278"/>
      <c r="DG260" s="278"/>
      <c r="DH260" s="278"/>
      <c r="DI260" s="278"/>
      <c r="DJ260" s="278"/>
      <c r="DK260" s="278"/>
      <c r="DL260" s="278"/>
    </row>
    <row r="261" spans="1:116" ht="15.75" customHeight="1" x14ac:dyDescent="0.25">
      <c r="A261" s="466"/>
      <c r="B261" s="466"/>
      <c r="C261" s="467"/>
      <c r="D261" s="279"/>
      <c r="E261" s="280"/>
      <c r="F261" s="280"/>
      <c r="G261" s="279"/>
      <c r="H261" s="409"/>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282"/>
      <c r="AE261" s="282"/>
      <c r="AF261" s="282"/>
      <c r="AG261" s="282"/>
      <c r="AH261" s="282"/>
      <c r="AI261" s="282"/>
      <c r="AJ261" s="282"/>
      <c r="AK261" s="282"/>
      <c r="AL261" s="282"/>
      <c r="AM261" s="282"/>
      <c r="AN261" s="282"/>
      <c r="AO261" s="282"/>
      <c r="AP261" s="282"/>
      <c r="AQ261" s="282"/>
      <c r="AR261" s="282"/>
      <c r="AS261" s="282"/>
      <c r="AT261" s="282"/>
      <c r="AU261" s="282"/>
      <c r="AV261" s="282"/>
      <c r="AW261" s="282"/>
      <c r="AX261" s="282"/>
      <c r="AY261" s="282"/>
      <c r="AZ261" s="282"/>
      <c r="BA261" s="282"/>
      <c r="BB261" s="282"/>
      <c r="BC261" s="282"/>
      <c r="BD261" s="282"/>
      <c r="BE261" s="282"/>
      <c r="BF261" s="282"/>
      <c r="BG261" s="282"/>
      <c r="BH261" s="282"/>
      <c r="BI261" s="282"/>
      <c r="BJ261" s="278"/>
      <c r="BK261" s="278"/>
      <c r="BL261" s="278"/>
      <c r="BM261" s="278"/>
      <c r="BN261" s="278"/>
      <c r="BO261" s="278"/>
      <c r="BP261" s="278"/>
      <c r="BQ261" s="278"/>
      <c r="BR261" s="278"/>
      <c r="BS261" s="278"/>
      <c r="BT261" s="278"/>
      <c r="BU261" s="278"/>
      <c r="BV261" s="278"/>
      <c r="BW261" s="278"/>
      <c r="BX261" s="278"/>
      <c r="BY261" s="278"/>
      <c r="BZ261" s="278"/>
      <c r="CA261" s="278"/>
      <c r="CB261" s="278"/>
      <c r="CC261" s="278"/>
      <c r="CD261" s="278"/>
      <c r="CE261" s="278"/>
      <c r="CF261" s="278"/>
      <c r="CG261" s="278"/>
      <c r="CH261" s="278"/>
      <c r="CI261" s="278"/>
      <c r="CJ261" s="278"/>
      <c r="CK261" s="278"/>
      <c r="CL261" s="278"/>
      <c r="CM261" s="278"/>
      <c r="CN261" s="278"/>
      <c r="CO261" s="278"/>
      <c r="CP261" s="278"/>
      <c r="CQ261" s="278"/>
      <c r="CR261" s="278"/>
      <c r="CS261" s="278"/>
      <c r="CT261" s="278"/>
      <c r="CU261" s="278"/>
      <c r="CV261" s="278"/>
      <c r="CW261" s="278"/>
      <c r="CX261" s="278"/>
      <c r="CY261" s="278"/>
      <c r="CZ261" s="278"/>
      <c r="DA261" s="278"/>
      <c r="DB261" s="278"/>
      <c r="DC261" s="278"/>
      <c r="DD261" s="278"/>
      <c r="DE261" s="278"/>
      <c r="DF261" s="278"/>
      <c r="DG261" s="278"/>
      <c r="DH261" s="278"/>
      <c r="DI261" s="278"/>
      <c r="DJ261" s="278"/>
      <c r="DK261" s="278"/>
      <c r="DL261" s="278"/>
    </row>
    <row r="262" spans="1:116" ht="15.75" customHeight="1" x14ac:dyDescent="0.25">
      <c r="A262" s="466"/>
      <c r="B262" s="466"/>
      <c r="C262" s="467"/>
      <c r="D262" s="279"/>
      <c r="E262" s="280"/>
      <c r="F262" s="280"/>
      <c r="G262" s="279"/>
      <c r="H262" s="409"/>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F262" s="282"/>
      <c r="AG262" s="282"/>
      <c r="AH262" s="282"/>
      <c r="AI262" s="282"/>
      <c r="AJ262" s="282"/>
      <c r="AK262" s="282"/>
      <c r="AL262" s="282"/>
      <c r="AM262" s="282"/>
      <c r="AN262" s="282"/>
      <c r="AO262" s="282"/>
      <c r="AP262" s="282"/>
      <c r="AQ262" s="282"/>
      <c r="AR262" s="282"/>
      <c r="AS262" s="282"/>
      <c r="AT262" s="282"/>
      <c r="AU262" s="282"/>
      <c r="AV262" s="282"/>
      <c r="AW262" s="282"/>
      <c r="AX262" s="282"/>
      <c r="AY262" s="282"/>
      <c r="AZ262" s="282"/>
      <c r="BA262" s="282"/>
      <c r="BB262" s="282"/>
      <c r="BC262" s="282"/>
      <c r="BD262" s="282"/>
      <c r="BE262" s="282"/>
      <c r="BF262" s="282"/>
      <c r="BG262" s="282"/>
      <c r="BH262" s="282"/>
      <c r="BI262" s="282"/>
      <c r="BJ262" s="278"/>
      <c r="BK262" s="278"/>
      <c r="BL262" s="278"/>
      <c r="BM262" s="278"/>
      <c r="BN262" s="278"/>
      <c r="BO262" s="278"/>
      <c r="BP262" s="278"/>
      <c r="BQ262" s="278"/>
      <c r="BR262" s="278"/>
      <c r="BS262" s="278"/>
      <c r="BT262" s="278"/>
      <c r="BU262" s="278"/>
      <c r="BV262" s="278"/>
      <c r="BW262" s="278"/>
      <c r="BX262" s="278"/>
      <c r="BY262" s="278"/>
      <c r="BZ262" s="278"/>
      <c r="CA262" s="278"/>
      <c r="CB262" s="278"/>
      <c r="CC262" s="278"/>
      <c r="CD262" s="278"/>
      <c r="CE262" s="278"/>
      <c r="CF262" s="278"/>
      <c r="CG262" s="278"/>
      <c r="CH262" s="278"/>
      <c r="CI262" s="278"/>
      <c r="CJ262" s="278"/>
      <c r="CK262" s="278"/>
      <c r="CL262" s="278"/>
      <c r="CM262" s="278"/>
      <c r="CN262" s="278"/>
      <c r="CO262" s="278"/>
      <c r="CP262" s="278"/>
      <c r="CQ262" s="278"/>
      <c r="CR262" s="278"/>
      <c r="CS262" s="278"/>
      <c r="CT262" s="278"/>
      <c r="CU262" s="278"/>
      <c r="CV262" s="278"/>
      <c r="CW262" s="278"/>
      <c r="CX262" s="278"/>
      <c r="CY262" s="278"/>
      <c r="CZ262" s="278"/>
      <c r="DA262" s="278"/>
      <c r="DB262" s="278"/>
      <c r="DC262" s="278"/>
      <c r="DD262" s="278"/>
      <c r="DE262" s="278"/>
      <c r="DF262" s="278"/>
      <c r="DG262" s="278"/>
      <c r="DH262" s="278"/>
      <c r="DI262" s="278"/>
      <c r="DJ262" s="278"/>
      <c r="DK262" s="278"/>
      <c r="DL262" s="278"/>
    </row>
    <row r="263" spans="1:116" ht="15.75" customHeight="1" x14ac:dyDescent="0.25">
      <c r="A263" s="466"/>
      <c r="B263" s="466"/>
      <c r="C263" s="467"/>
      <c r="D263" s="279"/>
      <c r="E263" s="280"/>
      <c r="F263" s="280"/>
      <c r="G263" s="279"/>
      <c r="H263" s="409"/>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282"/>
      <c r="AE263" s="282"/>
      <c r="AF263" s="282"/>
      <c r="AG263" s="282"/>
      <c r="AH263" s="282"/>
      <c r="AI263" s="282"/>
      <c r="AJ263" s="282"/>
      <c r="AK263" s="282"/>
      <c r="AL263" s="282"/>
      <c r="AM263" s="282"/>
      <c r="AN263" s="282"/>
      <c r="AO263" s="282"/>
      <c r="AP263" s="282"/>
      <c r="AQ263" s="282"/>
      <c r="AR263" s="282"/>
      <c r="AS263" s="282"/>
      <c r="AT263" s="282"/>
      <c r="AU263" s="282"/>
      <c r="AV263" s="282"/>
      <c r="AW263" s="282"/>
      <c r="AX263" s="282"/>
      <c r="AY263" s="282"/>
      <c r="AZ263" s="282"/>
      <c r="BA263" s="282"/>
      <c r="BB263" s="282"/>
      <c r="BC263" s="282"/>
      <c r="BD263" s="282"/>
      <c r="BE263" s="282"/>
      <c r="BF263" s="282"/>
      <c r="BG263" s="282"/>
      <c r="BH263" s="282"/>
      <c r="BI263" s="282"/>
      <c r="BJ263" s="278"/>
      <c r="BK263" s="278"/>
      <c r="BL263" s="278"/>
      <c r="BM263" s="278"/>
      <c r="BN263" s="278"/>
      <c r="BO263" s="278"/>
      <c r="BP263" s="278"/>
      <c r="BQ263" s="278"/>
      <c r="BR263" s="278"/>
      <c r="BS263" s="278"/>
      <c r="BT263" s="278"/>
      <c r="BU263" s="278"/>
      <c r="BV263" s="278"/>
      <c r="BW263" s="278"/>
      <c r="BX263" s="278"/>
      <c r="BY263" s="278"/>
      <c r="BZ263" s="278"/>
      <c r="CA263" s="278"/>
      <c r="CB263" s="278"/>
      <c r="CC263" s="278"/>
      <c r="CD263" s="278"/>
      <c r="CE263" s="278"/>
      <c r="CF263" s="278"/>
      <c r="CG263" s="278"/>
      <c r="CH263" s="278"/>
      <c r="CI263" s="278"/>
      <c r="CJ263" s="278"/>
      <c r="CK263" s="278"/>
      <c r="CL263" s="278"/>
      <c r="CM263" s="278"/>
      <c r="CN263" s="278"/>
      <c r="CO263" s="278"/>
      <c r="CP263" s="278"/>
      <c r="CQ263" s="278"/>
      <c r="CR263" s="278"/>
      <c r="CS263" s="278"/>
      <c r="CT263" s="278"/>
      <c r="CU263" s="278"/>
      <c r="CV263" s="278"/>
      <c r="CW263" s="278"/>
      <c r="CX263" s="278"/>
      <c r="CY263" s="278"/>
      <c r="CZ263" s="278"/>
      <c r="DA263" s="278"/>
      <c r="DB263" s="278"/>
      <c r="DC263" s="278"/>
      <c r="DD263" s="278"/>
      <c r="DE263" s="278"/>
      <c r="DF263" s="278"/>
      <c r="DG263" s="278"/>
      <c r="DH263" s="278"/>
      <c r="DI263" s="278"/>
      <c r="DJ263" s="278"/>
      <c r="DK263" s="278"/>
      <c r="DL263" s="278"/>
    </row>
    <row r="264" spans="1:116" ht="15.75" customHeight="1" x14ac:dyDescent="0.25">
      <c r="A264" s="466"/>
      <c r="B264" s="466"/>
      <c r="C264" s="467"/>
      <c r="D264" s="279"/>
      <c r="E264" s="280"/>
      <c r="F264" s="280"/>
      <c r="G264" s="279"/>
      <c r="H264" s="409"/>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282"/>
      <c r="AI264" s="282"/>
      <c r="AJ264" s="282"/>
      <c r="AK264" s="282"/>
      <c r="AL264" s="282"/>
      <c r="AM264" s="282"/>
      <c r="AN264" s="282"/>
      <c r="AO264" s="282"/>
      <c r="AP264" s="282"/>
      <c r="AQ264" s="282"/>
      <c r="AR264" s="282"/>
      <c r="AS264" s="282"/>
      <c r="AT264" s="282"/>
      <c r="AU264" s="282"/>
      <c r="AV264" s="282"/>
      <c r="AW264" s="282"/>
      <c r="AX264" s="282"/>
      <c r="AY264" s="282"/>
      <c r="AZ264" s="282"/>
      <c r="BA264" s="282"/>
      <c r="BB264" s="282"/>
      <c r="BC264" s="282"/>
      <c r="BD264" s="282"/>
      <c r="BE264" s="282"/>
      <c r="BF264" s="282"/>
      <c r="BG264" s="282"/>
      <c r="BH264" s="282"/>
      <c r="BI264" s="282"/>
      <c r="BJ264" s="278"/>
      <c r="BK264" s="278"/>
      <c r="BL264" s="278"/>
      <c r="BM264" s="278"/>
      <c r="BN264" s="278"/>
      <c r="BO264" s="278"/>
      <c r="BP264" s="278"/>
      <c r="BQ264" s="278"/>
      <c r="BR264" s="278"/>
      <c r="BS264" s="278"/>
      <c r="BT264" s="278"/>
      <c r="BU264" s="278"/>
      <c r="BV264" s="278"/>
      <c r="BW264" s="278"/>
      <c r="BX264" s="278"/>
      <c r="BY264" s="278"/>
      <c r="BZ264" s="278"/>
      <c r="CA264" s="278"/>
      <c r="CB264" s="278"/>
      <c r="CC264" s="278"/>
      <c r="CD264" s="278"/>
      <c r="CE264" s="278"/>
      <c r="CF264" s="278"/>
      <c r="CG264" s="278"/>
      <c r="CH264" s="278"/>
      <c r="CI264" s="278"/>
      <c r="CJ264" s="278"/>
      <c r="CK264" s="278"/>
      <c r="CL264" s="278"/>
      <c r="CM264" s="278"/>
      <c r="CN264" s="278"/>
      <c r="CO264" s="278"/>
      <c r="CP264" s="278"/>
      <c r="CQ264" s="278"/>
      <c r="CR264" s="278"/>
      <c r="CS264" s="278"/>
      <c r="CT264" s="278"/>
      <c r="CU264" s="278"/>
      <c r="CV264" s="278"/>
      <c r="CW264" s="278"/>
      <c r="CX264" s="278"/>
      <c r="CY264" s="278"/>
      <c r="CZ264" s="278"/>
      <c r="DA264" s="278"/>
      <c r="DB264" s="278"/>
      <c r="DC264" s="278"/>
      <c r="DD264" s="278"/>
      <c r="DE264" s="278"/>
      <c r="DF264" s="278"/>
      <c r="DG264" s="278"/>
      <c r="DH264" s="278"/>
      <c r="DI264" s="278"/>
      <c r="DJ264" s="278"/>
      <c r="DK264" s="278"/>
      <c r="DL264" s="278"/>
    </row>
    <row r="265" spans="1:116" ht="15.75" customHeight="1" x14ac:dyDescent="0.25">
      <c r="A265" s="466"/>
      <c r="B265" s="466"/>
      <c r="C265" s="467"/>
      <c r="D265" s="279"/>
      <c r="E265" s="280"/>
      <c r="F265" s="280"/>
      <c r="G265" s="279"/>
      <c r="H265" s="409"/>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82"/>
      <c r="AE265" s="282"/>
      <c r="AF265" s="282"/>
      <c r="AG265" s="282"/>
      <c r="AH265" s="282"/>
      <c r="AI265" s="282"/>
      <c r="AJ265" s="282"/>
      <c r="AK265" s="282"/>
      <c r="AL265" s="282"/>
      <c r="AM265" s="282"/>
      <c r="AN265" s="282"/>
      <c r="AO265" s="282"/>
      <c r="AP265" s="282"/>
      <c r="AQ265" s="282"/>
      <c r="AR265" s="282"/>
      <c r="AS265" s="282"/>
      <c r="AT265" s="282"/>
      <c r="AU265" s="282"/>
      <c r="AV265" s="282"/>
      <c r="AW265" s="282"/>
      <c r="AX265" s="282"/>
      <c r="AY265" s="282"/>
      <c r="AZ265" s="282"/>
      <c r="BA265" s="282"/>
      <c r="BB265" s="282"/>
      <c r="BC265" s="282"/>
      <c r="BD265" s="282"/>
      <c r="BE265" s="282"/>
      <c r="BF265" s="282"/>
      <c r="BG265" s="282"/>
      <c r="BH265" s="282"/>
      <c r="BI265" s="282"/>
      <c r="BJ265" s="278"/>
      <c r="BK265" s="278"/>
      <c r="BL265" s="278"/>
      <c r="BM265" s="278"/>
      <c r="BN265" s="278"/>
      <c r="BO265" s="278"/>
      <c r="BP265" s="278"/>
      <c r="BQ265" s="278"/>
      <c r="BR265" s="278"/>
      <c r="BS265" s="278"/>
      <c r="BT265" s="278"/>
      <c r="BU265" s="278"/>
      <c r="BV265" s="278"/>
      <c r="BW265" s="278"/>
      <c r="BX265" s="278"/>
      <c r="BY265" s="278"/>
      <c r="BZ265" s="278"/>
      <c r="CA265" s="278"/>
      <c r="CB265" s="278"/>
      <c r="CC265" s="278"/>
      <c r="CD265" s="278"/>
      <c r="CE265" s="278"/>
      <c r="CF265" s="278"/>
      <c r="CG265" s="278"/>
      <c r="CH265" s="278"/>
      <c r="CI265" s="278"/>
      <c r="CJ265" s="278"/>
      <c r="CK265" s="278"/>
      <c r="CL265" s="278"/>
      <c r="CM265" s="278"/>
      <c r="CN265" s="278"/>
      <c r="CO265" s="278"/>
      <c r="CP265" s="278"/>
      <c r="CQ265" s="278"/>
      <c r="CR265" s="278"/>
      <c r="CS265" s="278"/>
      <c r="CT265" s="278"/>
      <c r="CU265" s="278"/>
      <c r="CV265" s="278"/>
      <c r="CW265" s="278"/>
      <c r="CX265" s="278"/>
      <c r="CY265" s="278"/>
      <c r="CZ265" s="278"/>
      <c r="DA265" s="278"/>
      <c r="DB265" s="278"/>
      <c r="DC265" s="278"/>
      <c r="DD265" s="278"/>
      <c r="DE265" s="278"/>
      <c r="DF265" s="278"/>
      <c r="DG265" s="278"/>
      <c r="DH265" s="278"/>
      <c r="DI265" s="278"/>
      <c r="DJ265" s="278"/>
      <c r="DK265" s="278"/>
      <c r="DL265" s="278"/>
    </row>
    <row r="266" spans="1:116" ht="15.75" customHeight="1" x14ac:dyDescent="0.25">
      <c r="A266" s="466"/>
      <c r="B266" s="466"/>
      <c r="C266" s="467"/>
      <c r="D266" s="279"/>
      <c r="E266" s="280"/>
      <c r="F266" s="280"/>
      <c r="G266" s="279"/>
      <c r="H266" s="409"/>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282"/>
      <c r="AF266" s="282"/>
      <c r="AG266" s="282"/>
      <c r="AH266" s="282"/>
      <c r="AI266" s="282"/>
      <c r="AJ266" s="282"/>
      <c r="AK266" s="282"/>
      <c r="AL266" s="282"/>
      <c r="AM266" s="282"/>
      <c r="AN266" s="282"/>
      <c r="AO266" s="282"/>
      <c r="AP266" s="282"/>
      <c r="AQ266" s="282"/>
      <c r="AR266" s="282"/>
      <c r="AS266" s="282"/>
      <c r="AT266" s="282"/>
      <c r="AU266" s="282"/>
      <c r="AV266" s="282"/>
      <c r="AW266" s="282"/>
      <c r="AX266" s="282"/>
      <c r="AY266" s="282"/>
      <c r="AZ266" s="282"/>
      <c r="BA266" s="282"/>
      <c r="BB266" s="282"/>
      <c r="BC266" s="282"/>
      <c r="BD266" s="282"/>
      <c r="BE266" s="282"/>
      <c r="BF266" s="282"/>
      <c r="BG266" s="282"/>
      <c r="BH266" s="282"/>
      <c r="BI266" s="282"/>
      <c r="BJ266" s="278"/>
      <c r="BK266" s="278"/>
      <c r="BL266" s="278"/>
      <c r="BM266" s="278"/>
      <c r="BN266" s="278"/>
      <c r="BO266" s="278"/>
      <c r="BP266" s="278"/>
      <c r="BQ266" s="278"/>
      <c r="BR266" s="278"/>
      <c r="BS266" s="278"/>
      <c r="BT266" s="278"/>
      <c r="BU266" s="278"/>
      <c r="BV266" s="278"/>
      <c r="BW266" s="278"/>
      <c r="BX266" s="278"/>
      <c r="BY266" s="278"/>
      <c r="BZ266" s="278"/>
      <c r="CA266" s="278"/>
      <c r="CB266" s="278"/>
      <c r="CC266" s="278"/>
      <c r="CD266" s="278"/>
      <c r="CE266" s="278"/>
      <c r="CF266" s="278"/>
      <c r="CG266" s="278"/>
      <c r="CH266" s="278"/>
      <c r="CI266" s="278"/>
      <c r="CJ266" s="278"/>
      <c r="CK266" s="278"/>
      <c r="CL266" s="278"/>
      <c r="CM266" s="278"/>
      <c r="CN266" s="278"/>
      <c r="CO266" s="278"/>
      <c r="CP266" s="278"/>
      <c r="CQ266" s="278"/>
      <c r="CR266" s="278"/>
      <c r="CS266" s="278"/>
      <c r="CT266" s="278"/>
      <c r="CU266" s="278"/>
      <c r="CV266" s="278"/>
      <c r="CW266" s="278"/>
      <c r="CX266" s="278"/>
      <c r="CY266" s="278"/>
      <c r="CZ266" s="278"/>
      <c r="DA266" s="278"/>
      <c r="DB266" s="278"/>
      <c r="DC266" s="278"/>
      <c r="DD266" s="278"/>
      <c r="DE266" s="278"/>
      <c r="DF266" s="278"/>
      <c r="DG266" s="278"/>
      <c r="DH266" s="278"/>
      <c r="DI266" s="278"/>
      <c r="DJ266" s="278"/>
      <c r="DK266" s="278"/>
      <c r="DL266" s="278"/>
    </row>
    <row r="267" spans="1:116" ht="15.75" customHeight="1" x14ac:dyDescent="0.25">
      <c r="A267" s="466"/>
      <c r="B267" s="466"/>
      <c r="C267" s="467"/>
      <c r="D267" s="279"/>
      <c r="E267" s="280"/>
      <c r="F267" s="280"/>
      <c r="G267" s="279"/>
      <c r="H267" s="409"/>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82"/>
      <c r="AE267" s="282"/>
      <c r="AF267" s="282"/>
      <c r="AG267" s="282"/>
      <c r="AH267" s="282"/>
      <c r="AI267" s="282"/>
      <c r="AJ267" s="282"/>
      <c r="AK267" s="282"/>
      <c r="AL267" s="282"/>
      <c r="AM267" s="282"/>
      <c r="AN267" s="282"/>
      <c r="AO267" s="282"/>
      <c r="AP267" s="282"/>
      <c r="AQ267" s="282"/>
      <c r="AR267" s="282"/>
      <c r="AS267" s="282"/>
      <c r="AT267" s="282"/>
      <c r="AU267" s="282"/>
      <c r="AV267" s="282"/>
      <c r="AW267" s="282"/>
      <c r="AX267" s="282"/>
      <c r="AY267" s="282"/>
      <c r="AZ267" s="282"/>
      <c r="BA267" s="282"/>
      <c r="BB267" s="282"/>
      <c r="BC267" s="282"/>
      <c r="BD267" s="282"/>
      <c r="BE267" s="282"/>
      <c r="BF267" s="282"/>
      <c r="BG267" s="282"/>
      <c r="BH267" s="282"/>
      <c r="BI267" s="282"/>
      <c r="BJ267" s="278"/>
      <c r="BK267" s="278"/>
      <c r="BL267" s="278"/>
      <c r="BM267" s="278"/>
      <c r="BN267" s="278"/>
      <c r="BO267" s="278"/>
      <c r="BP267" s="278"/>
      <c r="BQ267" s="278"/>
      <c r="BR267" s="278"/>
      <c r="BS267" s="278"/>
      <c r="BT267" s="278"/>
      <c r="BU267" s="278"/>
      <c r="BV267" s="278"/>
      <c r="BW267" s="278"/>
      <c r="BX267" s="278"/>
      <c r="BY267" s="278"/>
      <c r="BZ267" s="278"/>
      <c r="CA267" s="278"/>
      <c r="CB267" s="278"/>
      <c r="CC267" s="278"/>
      <c r="CD267" s="278"/>
      <c r="CE267" s="278"/>
      <c r="CF267" s="278"/>
      <c r="CG267" s="278"/>
      <c r="CH267" s="278"/>
      <c r="CI267" s="278"/>
      <c r="CJ267" s="278"/>
      <c r="CK267" s="278"/>
      <c r="CL267" s="278"/>
      <c r="CM267" s="278"/>
      <c r="CN267" s="278"/>
      <c r="CO267" s="278"/>
      <c r="CP267" s="278"/>
      <c r="CQ267" s="278"/>
      <c r="CR267" s="278"/>
      <c r="CS267" s="278"/>
      <c r="CT267" s="278"/>
      <c r="CU267" s="278"/>
      <c r="CV267" s="278"/>
      <c r="CW267" s="278"/>
      <c r="CX267" s="278"/>
      <c r="CY267" s="278"/>
      <c r="CZ267" s="278"/>
      <c r="DA267" s="278"/>
      <c r="DB267" s="278"/>
      <c r="DC267" s="278"/>
      <c r="DD267" s="278"/>
      <c r="DE267" s="278"/>
      <c r="DF267" s="278"/>
      <c r="DG267" s="278"/>
      <c r="DH267" s="278"/>
      <c r="DI267" s="278"/>
      <c r="DJ267" s="278"/>
      <c r="DK267" s="278"/>
      <c r="DL267" s="278"/>
    </row>
    <row r="268" spans="1:116" ht="15.75" customHeight="1" x14ac:dyDescent="0.25">
      <c r="A268" s="466"/>
      <c r="B268" s="466"/>
      <c r="C268" s="467"/>
      <c r="D268" s="279"/>
      <c r="E268" s="280"/>
      <c r="F268" s="280"/>
      <c r="G268" s="279"/>
      <c r="H268" s="409"/>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82"/>
      <c r="AE268" s="282"/>
      <c r="AF268" s="282"/>
      <c r="AG268" s="282"/>
      <c r="AH268" s="282"/>
      <c r="AI268" s="282"/>
      <c r="AJ268" s="282"/>
      <c r="AK268" s="282"/>
      <c r="AL268" s="282"/>
      <c r="AM268" s="282"/>
      <c r="AN268" s="282"/>
      <c r="AO268" s="282"/>
      <c r="AP268" s="282"/>
      <c r="AQ268" s="282"/>
      <c r="AR268" s="282"/>
      <c r="AS268" s="282"/>
      <c r="AT268" s="282"/>
      <c r="AU268" s="282"/>
      <c r="AV268" s="282"/>
      <c r="AW268" s="282"/>
      <c r="AX268" s="282"/>
      <c r="AY268" s="282"/>
      <c r="AZ268" s="282"/>
      <c r="BA268" s="282"/>
      <c r="BB268" s="282"/>
      <c r="BC268" s="282"/>
      <c r="BD268" s="282"/>
      <c r="BE268" s="282"/>
      <c r="BF268" s="282"/>
      <c r="BG268" s="282"/>
      <c r="BH268" s="282"/>
      <c r="BI268" s="282"/>
      <c r="BJ268" s="278"/>
      <c r="BK268" s="278"/>
      <c r="BL268" s="278"/>
      <c r="BM268" s="278"/>
      <c r="BN268" s="278"/>
      <c r="BO268" s="278"/>
      <c r="BP268" s="278"/>
      <c r="BQ268" s="278"/>
      <c r="BR268" s="278"/>
      <c r="BS268" s="278"/>
      <c r="BT268" s="278"/>
      <c r="BU268" s="278"/>
      <c r="BV268" s="278"/>
      <c r="BW268" s="278"/>
      <c r="BX268" s="278"/>
      <c r="BY268" s="278"/>
      <c r="BZ268" s="278"/>
      <c r="CA268" s="278"/>
      <c r="CB268" s="278"/>
      <c r="CC268" s="278"/>
      <c r="CD268" s="278"/>
      <c r="CE268" s="278"/>
      <c r="CF268" s="278"/>
      <c r="CG268" s="278"/>
      <c r="CH268" s="278"/>
      <c r="CI268" s="278"/>
      <c r="CJ268" s="278"/>
      <c r="CK268" s="278"/>
      <c r="CL268" s="278"/>
      <c r="CM268" s="278"/>
      <c r="CN268" s="278"/>
      <c r="CO268" s="278"/>
      <c r="CP268" s="278"/>
      <c r="CQ268" s="278"/>
      <c r="CR268" s="278"/>
      <c r="CS268" s="278"/>
      <c r="CT268" s="278"/>
      <c r="CU268" s="278"/>
      <c r="CV268" s="278"/>
      <c r="CW268" s="278"/>
      <c r="CX268" s="278"/>
      <c r="CY268" s="278"/>
      <c r="CZ268" s="278"/>
      <c r="DA268" s="278"/>
      <c r="DB268" s="278"/>
      <c r="DC268" s="278"/>
      <c r="DD268" s="278"/>
      <c r="DE268" s="278"/>
      <c r="DF268" s="278"/>
      <c r="DG268" s="278"/>
      <c r="DH268" s="278"/>
      <c r="DI268" s="278"/>
      <c r="DJ268" s="278"/>
      <c r="DK268" s="278"/>
      <c r="DL268" s="278"/>
    </row>
    <row r="269" spans="1:116" ht="15.75" customHeight="1" x14ac:dyDescent="0.25">
      <c r="A269" s="466"/>
      <c r="B269" s="466"/>
      <c r="C269" s="467"/>
      <c r="D269" s="279"/>
      <c r="E269" s="280"/>
      <c r="F269" s="280"/>
      <c r="G269" s="279"/>
      <c r="H269" s="409"/>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82"/>
      <c r="AE269" s="282"/>
      <c r="AF269" s="282"/>
      <c r="AG269" s="282"/>
      <c r="AH269" s="282"/>
      <c r="AI269" s="282"/>
      <c r="AJ269" s="282"/>
      <c r="AK269" s="282"/>
      <c r="AL269" s="282"/>
      <c r="AM269" s="282"/>
      <c r="AN269" s="282"/>
      <c r="AO269" s="282"/>
      <c r="AP269" s="282"/>
      <c r="AQ269" s="282"/>
      <c r="AR269" s="282"/>
      <c r="AS269" s="282"/>
      <c r="AT269" s="282"/>
      <c r="AU269" s="282"/>
      <c r="AV269" s="282"/>
      <c r="AW269" s="282"/>
      <c r="AX269" s="282"/>
      <c r="AY269" s="282"/>
      <c r="AZ269" s="282"/>
      <c r="BA269" s="282"/>
      <c r="BB269" s="282"/>
      <c r="BC269" s="282"/>
      <c r="BD269" s="282"/>
      <c r="BE269" s="282"/>
      <c r="BF269" s="282"/>
      <c r="BG269" s="282"/>
      <c r="BH269" s="282"/>
      <c r="BI269" s="282"/>
      <c r="BJ269" s="278"/>
      <c r="BK269" s="278"/>
      <c r="BL269" s="278"/>
      <c r="BM269" s="278"/>
      <c r="BN269" s="278"/>
      <c r="BO269" s="278"/>
      <c r="BP269" s="278"/>
      <c r="BQ269" s="278"/>
      <c r="BR269" s="278"/>
      <c r="BS269" s="278"/>
      <c r="BT269" s="278"/>
      <c r="BU269" s="278"/>
      <c r="BV269" s="278"/>
      <c r="BW269" s="278"/>
      <c r="BX269" s="278"/>
      <c r="BY269" s="278"/>
      <c r="BZ269" s="278"/>
      <c r="CA269" s="278"/>
      <c r="CB269" s="278"/>
      <c r="CC269" s="278"/>
      <c r="CD269" s="278"/>
      <c r="CE269" s="278"/>
      <c r="CF269" s="278"/>
      <c r="CG269" s="278"/>
      <c r="CH269" s="278"/>
      <c r="CI269" s="278"/>
      <c r="CJ269" s="278"/>
      <c r="CK269" s="278"/>
      <c r="CL269" s="278"/>
      <c r="CM269" s="278"/>
      <c r="CN269" s="278"/>
      <c r="CO269" s="278"/>
      <c r="CP269" s="278"/>
      <c r="CQ269" s="278"/>
      <c r="CR269" s="278"/>
      <c r="CS269" s="278"/>
      <c r="CT269" s="278"/>
      <c r="CU269" s="278"/>
      <c r="CV269" s="278"/>
      <c r="CW269" s="278"/>
      <c r="CX269" s="278"/>
      <c r="CY269" s="278"/>
      <c r="CZ269" s="278"/>
      <c r="DA269" s="278"/>
      <c r="DB269" s="278"/>
      <c r="DC269" s="278"/>
      <c r="DD269" s="278"/>
      <c r="DE269" s="278"/>
      <c r="DF269" s="278"/>
      <c r="DG269" s="278"/>
      <c r="DH269" s="278"/>
      <c r="DI269" s="278"/>
      <c r="DJ269" s="278"/>
      <c r="DK269" s="278"/>
      <c r="DL269" s="278"/>
    </row>
    <row r="270" spans="1:116" ht="15.75" customHeight="1" x14ac:dyDescent="0.25">
      <c r="A270" s="466"/>
      <c r="B270" s="466"/>
      <c r="C270" s="467"/>
      <c r="D270" s="279"/>
      <c r="E270" s="280"/>
      <c r="F270" s="280"/>
      <c r="G270" s="279"/>
      <c r="H270" s="409"/>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282"/>
      <c r="AE270" s="282"/>
      <c r="AF270" s="282"/>
      <c r="AG270" s="282"/>
      <c r="AH270" s="282"/>
      <c r="AI270" s="282"/>
      <c r="AJ270" s="282"/>
      <c r="AK270" s="282"/>
      <c r="AL270" s="282"/>
      <c r="AM270" s="282"/>
      <c r="AN270" s="282"/>
      <c r="AO270" s="282"/>
      <c r="AP270" s="282"/>
      <c r="AQ270" s="282"/>
      <c r="AR270" s="282"/>
      <c r="AS270" s="282"/>
      <c r="AT270" s="282"/>
      <c r="AU270" s="282"/>
      <c r="AV270" s="282"/>
      <c r="AW270" s="282"/>
      <c r="AX270" s="282"/>
      <c r="AY270" s="282"/>
      <c r="AZ270" s="282"/>
      <c r="BA270" s="282"/>
      <c r="BB270" s="282"/>
      <c r="BC270" s="282"/>
      <c r="BD270" s="282"/>
      <c r="BE270" s="282"/>
      <c r="BF270" s="282"/>
      <c r="BG270" s="282"/>
      <c r="BH270" s="282"/>
      <c r="BI270" s="282"/>
      <c r="BJ270" s="278"/>
      <c r="BK270" s="278"/>
      <c r="BL270" s="278"/>
      <c r="BM270" s="278"/>
      <c r="BN270" s="278"/>
      <c r="BO270" s="278"/>
      <c r="BP270" s="278"/>
      <c r="BQ270" s="278"/>
      <c r="BR270" s="278"/>
      <c r="BS270" s="278"/>
      <c r="BT270" s="278"/>
      <c r="BU270" s="278"/>
      <c r="BV270" s="278"/>
      <c r="BW270" s="278"/>
      <c r="BX270" s="278"/>
      <c r="BY270" s="278"/>
      <c r="BZ270" s="278"/>
      <c r="CA270" s="278"/>
      <c r="CB270" s="278"/>
      <c r="CC270" s="278"/>
      <c r="CD270" s="278"/>
      <c r="CE270" s="278"/>
      <c r="CF270" s="278"/>
      <c r="CG270" s="278"/>
      <c r="CH270" s="278"/>
      <c r="CI270" s="278"/>
      <c r="CJ270" s="278"/>
      <c r="CK270" s="278"/>
      <c r="CL270" s="278"/>
      <c r="CM270" s="278"/>
      <c r="CN270" s="278"/>
      <c r="CO270" s="278"/>
      <c r="CP270" s="278"/>
      <c r="CQ270" s="278"/>
      <c r="CR270" s="278"/>
      <c r="CS270" s="278"/>
      <c r="CT270" s="278"/>
      <c r="CU270" s="278"/>
      <c r="CV270" s="278"/>
      <c r="CW270" s="278"/>
      <c r="CX270" s="278"/>
      <c r="CY270" s="278"/>
      <c r="CZ270" s="278"/>
      <c r="DA270" s="278"/>
      <c r="DB270" s="278"/>
      <c r="DC270" s="278"/>
      <c r="DD270" s="278"/>
      <c r="DE270" s="278"/>
      <c r="DF270" s="278"/>
      <c r="DG270" s="278"/>
      <c r="DH270" s="278"/>
      <c r="DI270" s="278"/>
      <c r="DJ270" s="278"/>
      <c r="DK270" s="278"/>
      <c r="DL270" s="278"/>
    </row>
    <row r="271" spans="1:116" ht="15.75" customHeight="1" x14ac:dyDescent="0.25">
      <c r="A271" s="466"/>
      <c r="B271" s="466"/>
      <c r="C271" s="467"/>
      <c r="D271" s="279"/>
      <c r="E271" s="280"/>
      <c r="F271" s="280"/>
      <c r="G271" s="279"/>
      <c r="H271" s="409"/>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282"/>
      <c r="AE271" s="282"/>
      <c r="AF271" s="282"/>
      <c r="AG271" s="282"/>
      <c r="AH271" s="282"/>
      <c r="AI271" s="282"/>
      <c r="AJ271" s="282"/>
      <c r="AK271" s="282"/>
      <c r="AL271" s="282"/>
      <c r="AM271" s="282"/>
      <c r="AN271" s="282"/>
      <c r="AO271" s="282"/>
      <c r="AP271" s="282"/>
      <c r="AQ271" s="282"/>
      <c r="AR271" s="282"/>
      <c r="AS271" s="282"/>
      <c r="AT271" s="282"/>
      <c r="AU271" s="282"/>
      <c r="AV271" s="282"/>
      <c r="AW271" s="282"/>
      <c r="AX271" s="282"/>
      <c r="AY271" s="282"/>
      <c r="AZ271" s="282"/>
      <c r="BA271" s="282"/>
      <c r="BB271" s="282"/>
      <c r="BC271" s="282"/>
      <c r="BD271" s="282"/>
      <c r="BE271" s="282"/>
      <c r="BF271" s="282"/>
      <c r="BG271" s="282"/>
      <c r="BH271" s="282"/>
      <c r="BI271" s="282"/>
      <c r="BJ271" s="278"/>
      <c r="BK271" s="278"/>
      <c r="BL271" s="278"/>
      <c r="BM271" s="278"/>
      <c r="BN271" s="278"/>
      <c r="BO271" s="278"/>
      <c r="BP271" s="278"/>
      <c r="BQ271" s="278"/>
      <c r="BR271" s="278"/>
      <c r="BS271" s="278"/>
      <c r="BT271" s="278"/>
      <c r="BU271" s="278"/>
      <c r="BV271" s="278"/>
      <c r="BW271" s="278"/>
      <c r="BX271" s="278"/>
      <c r="BY271" s="278"/>
      <c r="BZ271" s="278"/>
      <c r="CA271" s="278"/>
      <c r="CB271" s="278"/>
      <c r="CC271" s="278"/>
      <c r="CD271" s="278"/>
      <c r="CE271" s="278"/>
      <c r="CF271" s="278"/>
      <c r="CG271" s="278"/>
      <c r="CH271" s="278"/>
      <c r="CI271" s="278"/>
      <c r="CJ271" s="278"/>
      <c r="CK271" s="278"/>
      <c r="CL271" s="278"/>
      <c r="CM271" s="278"/>
      <c r="CN271" s="278"/>
      <c r="CO271" s="278"/>
      <c r="CP271" s="278"/>
      <c r="CQ271" s="278"/>
      <c r="CR271" s="278"/>
      <c r="CS271" s="278"/>
      <c r="CT271" s="278"/>
      <c r="CU271" s="278"/>
      <c r="CV271" s="278"/>
      <c r="CW271" s="278"/>
      <c r="CX271" s="278"/>
      <c r="CY271" s="278"/>
      <c r="CZ271" s="278"/>
      <c r="DA271" s="278"/>
      <c r="DB271" s="278"/>
      <c r="DC271" s="278"/>
      <c r="DD271" s="278"/>
      <c r="DE271" s="278"/>
      <c r="DF271" s="278"/>
      <c r="DG271" s="278"/>
      <c r="DH271" s="278"/>
      <c r="DI271" s="278"/>
      <c r="DJ271" s="278"/>
      <c r="DK271" s="278"/>
      <c r="DL271" s="278"/>
    </row>
    <row r="272" spans="1:116" ht="15.75" customHeight="1" x14ac:dyDescent="0.25">
      <c r="A272" s="466"/>
      <c r="B272" s="466"/>
      <c r="C272" s="467"/>
      <c r="D272" s="279"/>
      <c r="E272" s="280"/>
      <c r="F272" s="280"/>
      <c r="G272" s="279"/>
      <c r="H272" s="409"/>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282"/>
      <c r="AE272" s="282"/>
      <c r="AF272" s="282"/>
      <c r="AG272" s="282"/>
      <c r="AH272" s="282"/>
      <c r="AI272" s="282"/>
      <c r="AJ272" s="282"/>
      <c r="AK272" s="282"/>
      <c r="AL272" s="282"/>
      <c r="AM272" s="282"/>
      <c r="AN272" s="282"/>
      <c r="AO272" s="282"/>
      <c r="AP272" s="282"/>
      <c r="AQ272" s="282"/>
      <c r="AR272" s="282"/>
      <c r="AS272" s="282"/>
      <c r="AT272" s="282"/>
      <c r="AU272" s="282"/>
      <c r="AV272" s="282"/>
      <c r="AW272" s="282"/>
      <c r="AX272" s="282"/>
      <c r="AY272" s="282"/>
      <c r="AZ272" s="282"/>
      <c r="BA272" s="282"/>
      <c r="BB272" s="282"/>
      <c r="BC272" s="282"/>
      <c r="BD272" s="282"/>
      <c r="BE272" s="282"/>
      <c r="BF272" s="282"/>
      <c r="BG272" s="282"/>
      <c r="BH272" s="282"/>
      <c r="BI272" s="282"/>
      <c r="BJ272" s="278"/>
      <c r="BK272" s="278"/>
      <c r="BL272" s="278"/>
      <c r="BM272" s="278"/>
      <c r="BN272" s="278"/>
      <c r="BO272" s="278"/>
      <c r="BP272" s="278"/>
      <c r="BQ272" s="278"/>
      <c r="BR272" s="278"/>
      <c r="BS272" s="278"/>
      <c r="BT272" s="278"/>
      <c r="BU272" s="278"/>
      <c r="BV272" s="278"/>
      <c r="BW272" s="278"/>
      <c r="BX272" s="278"/>
      <c r="BY272" s="278"/>
      <c r="BZ272" s="278"/>
      <c r="CA272" s="278"/>
      <c r="CB272" s="278"/>
      <c r="CC272" s="278"/>
      <c r="CD272" s="278"/>
      <c r="CE272" s="278"/>
      <c r="CF272" s="278"/>
      <c r="CG272" s="278"/>
      <c r="CH272" s="278"/>
      <c r="CI272" s="278"/>
      <c r="CJ272" s="278"/>
      <c r="CK272" s="278"/>
      <c r="CL272" s="278"/>
      <c r="CM272" s="278"/>
      <c r="CN272" s="278"/>
      <c r="CO272" s="278"/>
      <c r="CP272" s="278"/>
      <c r="CQ272" s="278"/>
      <c r="CR272" s="278"/>
      <c r="CS272" s="278"/>
      <c r="CT272" s="278"/>
      <c r="CU272" s="278"/>
      <c r="CV272" s="278"/>
      <c r="CW272" s="278"/>
      <c r="CX272" s="278"/>
      <c r="CY272" s="278"/>
      <c r="CZ272" s="278"/>
      <c r="DA272" s="278"/>
      <c r="DB272" s="278"/>
      <c r="DC272" s="278"/>
      <c r="DD272" s="278"/>
      <c r="DE272" s="278"/>
      <c r="DF272" s="278"/>
      <c r="DG272" s="278"/>
      <c r="DH272" s="278"/>
      <c r="DI272" s="278"/>
      <c r="DJ272" s="278"/>
      <c r="DK272" s="278"/>
      <c r="DL272" s="278"/>
    </row>
    <row r="273" spans="1:116" ht="15.75" customHeight="1" x14ac:dyDescent="0.25">
      <c r="A273" s="466"/>
      <c r="B273" s="466"/>
      <c r="C273" s="467"/>
      <c r="D273" s="279"/>
      <c r="E273" s="280"/>
      <c r="F273" s="280"/>
      <c r="G273" s="279"/>
      <c r="H273" s="409"/>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282"/>
      <c r="AE273" s="282"/>
      <c r="AF273" s="282"/>
      <c r="AG273" s="282"/>
      <c r="AH273" s="282"/>
      <c r="AI273" s="282"/>
      <c r="AJ273" s="282"/>
      <c r="AK273" s="282"/>
      <c r="AL273" s="282"/>
      <c r="AM273" s="282"/>
      <c r="AN273" s="282"/>
      <c r="AO273" s="282"/>
      <c r="AP273" s="282"/>
      <c r="AQ273" s="282"/>
      <c r="AR273" s="282"/>
      <c r="AS273" s="282"/>
      <c r="AT273" s="282"/>
      <c r="AU273" s="282"/>
      <c r="AV273" s="282"/>
      <c r="AW273" s="282"/>
      <c r="AX273" s="282"/>
      <c r="AY273" s="282"/>
      <c r="AZ273" s="282"/>
      <c r="BA273" s="282"/>
      <c r="BB273" s="282"/>
      <c r="BC273" s="282"/>
      <c r="BD273" s="282"/>
      <c r="BE273" s="282"/>
      <c r="BF273" s="282"/>
      <c r="BG273" s="282"/>
      <c r="BH273" s="282"/>
      <c r="BI273" s="282"/>
      <c r="BJ273" s="278"/>
      <c r="BK273" s="278"/>
      <c r="BL273" s="278"/>
      <c r="BM273" s="278"/>
      <c r="BN273" s="278"/>
      <c r="BO273" s="278"/>
      <c r="BP273" s="278"/>
      <c r="BQ273" s="278"/>
      <c r="BR273" s="278"/>
      <c r="BS273" s="278"/>
      <c r="BT273" s="278"/>
      <c r="BU273" s="278"/>
      <c r="BV273" s="278"/>
      <c r="BW273" s="278"/>
      <c r="BX273" s="278"/>
      <c r="BY273" s="278"/>
      <c r="BZ273" s="278"/>
      <c r="CA273" s="278"/>
      <c r="CB273" s="278"/>
      <c r="CC273" s="278"/>
      <c r="CD273" s="278"/>
      <c r="CE273" s="278"/>
      <c r="CF273" s="278"/>
      <c r="CG273" s="278"/>
      <c r="CH273" s="278"/>
      <c r="CI273" s="278"/>
      <c r="CJ273" s="278"/>
      <c r="CK273" s="278"/>
      <c r="CL273" s="278"/>
      <c r="CM273" s="278"/>
      <c r="CN273" s="278"/>
      <c r="CO273" s="278"/>
      <c r="CP273" s="278"/>
      <c r="CQ273" s="278"/>
      <c r="CR273" s="278"/>
      <c r="CS273" s="278"/>
      <c r="CT273" s="278"/>
      <c r="CU273" s="278"/>
      <c r="CV273" s="278"/>
      <c r="CW273" s="278"/>
      <c r="CX273" s="278"/>
      <c r="CY273" s="278"/>
      <c r="CZ273" s="278"/>
      <c r="DA273" s="278"/>
      <c r="DB273" s="278"/>
      <c r="DC273" s="278"/>
      <c r="DD273" s="278"/>
      <c r="DE273" s="278"/>
      <c r="DF273" s="278"/>
      <c r="DG273" s="278"/>
      <c r="DH273" s="278"/>
      <c r="DI273" s="278"/>
      <c r="DJ273" s="278"/>
      <c r="DK273" s="278"/>
      <c r="DL273" s="278"/>
    </row>
    <row r="274" spans="1:116" ht="15.75" customHeight="1" x14ac:dyDescent="0.25">
      <c r="A274" s="466"/>
      <c r="B274" s="466"/>
      <c r="C274" s="467"/>
      <c r="D274" s="279"/>
      <c r="E274" s="280"/>
      <c r="F274" s="280"/>
      <c r="G274" s="279"/>
      <c r="H274" s="409"/>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82"/>
      <c r="AE274" s="282"/>
      <c r="AF274" s="282"/>
      <c r="AG274" s="282"/>
      <c r="AH274" s="282"/>
      <c r="AI274" s="282"/>
      <c r="AJ274" s="282"/>
      <c r="AK274" s="282"/>
      <c r="AL274" s="282"/>
      <c r="AM274" s="282"/>
      <c r="AN274" s="282"/>
      <c r="AO274" s="282"/>
      <c r="AP274" s="282"/>
      <c r="AQ274" s="282"/>
      <c r="AR274" s="282"/>
      <c r="AS274" s="282"/>
      <c r="AT274" s="282"/>
      <c r="AU274" s="282"/>
      <c r="AV274" s="282"/>
      <c r="AW274" s="282"/>
      <c r="AX274" s="282"/>
      <c r="AY274" s="282"/>
      <c r="AZ274" s="282"/>
      <c r="BA274" s="282"/>
      <c r="BB274" s="282"/>
      <c r="BC274" s="282"/>
      <c r="BD274" s="282"/>
      <c r="BE274" s="282"/>
      <c r="BF274" s="282"/>
      <c r="BG274" s="282"/>
      <c r="BH274" s="282"/>
      <c r="BI274" s="282"/>
      <c r="BJ274" s="278"/>
      <c r="BK274" s="278"/>
      <c r="BL274" s="278"/>
      <c r="BM274" s="278"/>
      <c r="BN274" s="278"/>
      <c r="BO274" s="278"/>
      <c r="BP274" s="278"/>
      <c r="BQ274" s="278"/>
      <c r="BR274" s="278"/>
      <c r="BS274" s="278"/>
      <c r="BT274" s="278"/>
      <c r="BU274" s="278"/>
      <c r="BV274" s="278"/>
      <c r="BW274" s="278"/>
      <c r="BX274" s="278"/>
      <c r="BY274" s="278"/>
      <c r="BZ274" s="278"/>
      <c r="CA274" s="278"/>
      <c r="CB274" s="278"/>
      <c r="CC274" s="278"/>
      <c r="CD274" s="278"/>
      <c r="CE274" s="278"/>
      <c r="CF274" s="278"/>
      <c r="CG274" s="278"/>
      <c r="CH274" s="278"/>
      <c r="CI274" s="278"/>
      <c r="CJ274" s="278"/>
      <c r="CK274" s="278"/>
      <c r="CL274" s="278"/>
      <c r="CM274" s="278"/>
      <c r="CN274" s="278"/>
      <c r="CO274" s="278"/>
      <c r="CP274" s="278"/>
      <c r="CQ274" s="278"/>
      <c r="CR274" s="278"/>
      <c r="CS274" s="278"/>
      <c r="CT274" s="278"/>
      <c r="CU274" s="278"/>
      <c r="CV274" s="278"/>
      <c r="CW274" s="278"/>
      <c r="CX274" s="278"/>
      <c r="CY274" s="278"/>
      <c r="CZ274" s="278"/>
      <c r="DA274" s="278"/>
      <c r="DB274" s="278"/>
      <c r="DC274" s="278"/>
      <c r="DD274" s="278"/>
      <c r="DE274" s="278"/>
      <c r="DF274" s="278"/>
      <c r="DG274" s="278"/>
      <c r="DH274" s="278"/>
      <c r="DI274" s="278"/>
      <c r="DJ274" s="278"/>
      <c r="DK274" s="278"/>
      <c r="DL274" s="278"/>
    </row>
    <row r="275" spans="1:116" ht="15.75" customHeight="1" x14ac:dyDescent="0.25">
      <c r="A275" s="466"/>
      <c r="B275" s="466"/>
      <c r="C275" s="467"/>
      <c r="D275" s="279"/>
      <c r="E275" s="280"/>
      <c r="F275" s="280"/>
      <c r="G275" s="279"/>
      <c r="H275" s="409"/>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282"/>
      <c r="AF275" s="282"/>
      <c r="AG275" s="282"/>
      <c r="AH275" s="282"/>
      <c r="AI275" s="282"/>
      <c r="AJ275" s="282"/>
      <c r="AK275" s="282"/>
      <c r="AL275" s="282"/>
      <c r="AM275" s="282"/>
      <c r="AN275" s="282"/>
      <c r="AO275" s="282"/>
      <c r="AP275" s="282"/>
      <c r="AQ275" s="282"/>
      <c r="AR275" s="282"/>
      <c r="AS275" s="282"/>
      <c r="AT275" s="282"/>
      <c r="AU275" s="282"/>
      <c r="AV275" s="282"/>
      <c r="AW275" s="282"/>
      <c r="AX275" s="282"/>
      <c r="AY275" s="282"/>
      <c r="AZ275" s="282"/>
      <c r="BA275" s="282"/>
      <c r="BB275" s="282"/>
      <c r="BC275" s="282"/>
      <c r="BD275" s="282"/>
      <c r="BE275" s="282"/>
      <c r="BF275" s="282"/>
      <c r="BG275" s="282"/>
      <c r="BH275" s="282"/>
      <c r="BI275" s="282"/>
      <c r="BJ275" s="278"/>
      <c r="BK275" s="278"/>
      <c r="BL275" s="278"/>
      <c r="BM275" s="278"/>
      <c r="BN275" s="278"/>
      <c r="BO275" s="278"/>
      <c r="BP275" s="278"/>
      <c r="BQ275" s="278"/>
      <c r="BR275" s="278"/>
      <c r="BS275" s="278"/>
      <c r="BT275" s="278"/>
      <c r="BU275" s="278"/>
      <c r="BV275" s="278"/>
      <c r="BW275" s="278"/>
      <c r="BX275" s="278"/>
      <c r="BY275" s="278"/>
      <c r="BZ275" s="278"/>
      <c r="CA275" s="278"/>
      <c r="CB275" s="278"/>
      <c r="CC275" s="278"/>
      <c r="CD275" s="278"/>
      <c r="CE275" s="278"/>
      <c r="CF275" s="278"/>
      <c r="CG275" s="278"/>
      <c r="CH275" s="278"/>
      <c r="CI275" s="278"/>
      <c r="CJ275" s="278"/>
      <c r="CK275" s="278"/>
      <c r="CL275" s="278"/>
      <c r="CM275" s="278"/>
      <c r="CN275" s="278"/>
      <c r="CO275" s="278"/>
      <c r="CP275" s="278"/>
      <c r="CQ275" s="278"/>
      <c r="CR275" s="278"/>
      <c r="CS275" s="278"/>
      <c r="CT275" s="278"/>
      <c r="CU275" s="278"/>
      <c r="CV275" s="278"/>
      <c r="CW275" s="278"/>
      <c r="CX275" s="278"/>
      <c r="CY275" s="278"/>
      <c r="CZ275" s="278"/>
      <c r="DA275" s="278"/>
      <c r="DB275" s="278"/>
      <c r="DC275" s="278"/>
      <c r="DD275" s="278"/>
      <c r="DE275" s="278"/>
      <c r="DF275" s="278"/>
      <c r="DG275" s="278"/>
      <c r="DH275" s="278"/>
      <c r="DI275" s="278"/>
      <c r="DJ275" s="278"/>
      <c r="DK275" s="278"/>
      <c r="DL275" s="278"/>
    </row>
    <row r="276" spans="1:116" ht="15.75" customHeight="1" x14ac:dyDescent="0.25">
      <c r="A276" s="466"/>
      <c r="B276" s="466"/>
      <c r="C276" s="467"/>
      <c r="D276" s="279"/>
      <c r="E276" s="280"/>
      <c r="F276" s="280"/>
      <c r="G276" s="279"/>
      <c r="H276" s="409"/>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282"/>
      <c r="AE276" s="282"/>
      <c r="AF276" s="282"/>
      <c r="AG276" s="282"/>
      <c r="AH276" s="282"/>
      <c r="AI276" s="282"/>
      <c r="AJ276" s="282"/>
      <c r="AK276" s="282"/>
      <c r="AL276" s="282"/>
      <c r="AM276" s="282"/>
      <c r="AN276" s="282"/>
      <c r="AO276" s="282"/>
      <c r="AP276" s="282"/>
      <c r="AQ276" s="282"/>
      <c r="AR276" s="282"/>
      <c r="AS276" s="282"/>
      <c r="AT276" s="282"/>
      <c r="AU276" s="282"/>
      <c r="AV276" s="282"/>
      <c r="AW276" s="282"/>
      <c r="AX276" s="282"/>
      <c r="AY276" s="282"/>
      <c r="AZ276" s="282"/>
      <c r="BA276" s="282"/>
      <c r="BB276" s="282"/>
      <c r="BC276" s="282"/>
      <c r="BD276" s="282"/>
      <c r="BE276" s="282"/>
      <c r="BF276" s="282"/>
      <c r="BG276" s="282"/>
      <c r="BH276" s="282"/>
      <c r="BI276" s="282"/>
      <c r="BJ276" s="278"/>
      <c r="BK276" s="278"/>
      <c r="BL276" s="278"/>
      <c r="BM276" s="278"/>
      <c r="BN276" s="278"/>
      <c r="BO276" s="278"/>
      <c r="BP276" s="278"/>
      <c r="BQ276" s="278"/>
      <c r="BR276" s="278"/>
      <c r="BS276" s="278"/>
      <c r="BT276" s="278"/>
      <c r="BU276" s="278"/>
      <c r="BV276" s="278"/>
      <c r="BW276" s="278"/>
      <c r="BX276" s="278"/>
      <c r="BY276" s="278"/>
      <c r="BZ276" s="278"/>
      <c r="CA276" s="278"/>
      <c r="CB276" s="278"/>
      <c r="CC276" s="278"/>
      <c r="CD276" s="278"/>
      <c r="CE276" s="278"/>
      <c r="CF276" s="278"/>
      <c r="CG276" s="278"/>
      <c r="CH276" s="278"/>
      <c r="CI276" s="278"/>
      <c r="CJ276" s="278"/>
      <c r="CK276" s="278"/>
      <c r="CL276" s="278"/>
      <c r="CM276" s="278"/>
      <c r="CN276" s="278"/>
      <c r="CO276" s="278"/>
      <c r="CP276" s="278"/>
      <c r="CQ276" s="278"/>
      <c r="CR276" s="278"/>
      <c r="CS276" s="278"/>
      <c r="CT276" s="278"/>
      <c r="CU276" s="278"/>
      <c r="CV276" s="278"/>
      <c r="CW276" s="278"/>
      <c r="CX276" s="278"/>
      <c r="CY276" s="278"/>
      <c r="CZ276" s="278"/>
      <c r="DA276" s="278"/>
      <c r="DB276" s="278"/>
      <c r="DC276" s="278"/>
      <c r="DD276" s="278"/>
      <c r="DE276" s="278"/>
      <c r="DF276" s="278"/>
      <c r="DG276" s="278"/>
      <c r="DH276" s="278"/>
      <c r="DI276" s="278"/>
      <c r="DJ276" s="278"/>
      <c r="DK276" s="278"/>
      <c r="DL276" s="278"/>
    </row>
    <row r="277" spans="1:116" ht="15.75" customHeight="1" x14ac:dyDescent="0.25">
      <c r="A277" s="466"/>
      <c r="B277" s="466"/>
      <c r="C277" s="467"/>
      <c r="D277" s="279"/>
      <c r="E277" s="280"/>
      <c r="F277" s="280"/>
      <c r="G277" s="279"/>
      <c r="H277" s="409"/>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282"/>
      <c r="AE277" s="282"/>
      <c r="AF277" s="282"/>
      <c r="AG277" s="282"/>
      <c r="AH277" s="282"/>
      <c r="AI277" s="282"/>
      <c r="AJ277" s="282"/>
      <c r="AK277" s="282"/>
      <c r="AL277" s="282"/>
      <c r="AM277" s="282"/>
      <c r="AN277" s="282"/>
      <c r="AO277" s="282"/>
      <c r="AP277" s="282"/>
      <c r="AQ277" s="282"/>
      <c r="AR277" s="282"/>
      <c r="AS277" s="282"/>
      <c r="AT277" s="282"/>
      <c r="AU277" s="282"/>
      <c r="AV277" s="282"/>
      <c r="AW277" s="282"/>
      <c r="AX277" s="282"/>
      <c r="AY277" s="282"/>
      <c r="AZ277" s="282"/>
      <c r="BA277" s="282"/>
      <c r="BB277" s="282"/>
      <c r="BC277" s="282"/>
      <c r="BD277" s="282"/>
      <c r="BE277" s="282"/>
      <c r="BF277" s="282"/>
      <c r="BG277" s="282"/>
      <c r="BH277" s="282"/>
      <c r="BI277" s="282"/>
      <c r="BJ277" s="278"/>
      <c r="BK277" s="278"/>
      <c r="BL277" s="278"/>
      <c r="BM277" s="278"/>
      <c r="BN277" s="278"/>
      <c r="BO277" s="278"/>
      <c r="BP277" s="278"/>
      <c r="BQ277" s="278"/>
      <c r="BR277" s="278"/>
      <c r="BS277" s="278"/>
      <c r="BT277" s="278"/>
      <c r="BU277" s="278"/>
      <c r="BV277" s="278"/>
      <c r="BW277" s="278"/>
      <c r="BX277" s="278"/>
      <c r="BY277" s="278"/>
      <c r="BZ277" s="278"/>
      <c r="CA277" s="278"/>
      <c r="CB277" s="278"/>
      <c r="CC277" s="278"/>
      <c r="CD277" s="278"/>
      <c r="CE277" s="278"/>
      <c r="CF277" s="278"/>
      <c r="CG277" s="278"/>
      <c r="CH277" s="278"/>
      <c r="CI277" s="278"/>
      <c r="CJ277" s="278"/>
      <c r="CK277" s="278"/>
      <c r="CL277" s="278"/>
      <c r="CM277" s="278"/>
      <c r="CN277" s="278"/>
      <c r="CO277" s="278"/>
      <c r="CP277" s="278"/>
      <c r="CQ277" s="278"/>
      <c r="CR277" s="278"/>
      <c r="CS277" s="278"/>
      <c r="CT277" s="278"/>
      <c r="CU277" s="278"/>
      <c r="CV277" s="278"/>
      <c r="CW277" s="278"/>
      <c r="CX277" s="278"/>
      <c r="CY277" s="278"/>
      <c r="CZ277" s="278"/>
      <c r="DA277" s="278"/>
      <c r="DB277" s="278"/>
      <c r="DC277" s="278"/>
      <c r="DD277" s="278"/>
      <c r="DE277" s="278"/>
      <c r="DF277" s="278"/>
      <c r="DG277" s="278"/>
      <c r="DH277" s="278"/>
      <c r="DI277" s="278"/>
      <c r="DJ277" s="278"/>
      <c r="DK277" s="278"/>
      <c r="DL277" s="278"/>
    </row>
    <row r="278" spans="1:116" ht="15.75" customHeight="1" x14ac:dyDescent="0.25">
      <c r="A278" s="466"/>
      <c r="B278" s="466"/>
      <c r="C278" s="467"/>
      <c r="D278" s="279"/>
      <c r="E278" s="280"/>
      <c r="F278" s="280"/>
      <c r="G278" s="279"/>
      <c r="H278" s="409"/>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282"/>
      <c r="AE278" s="282"/>
      <c r="AF278" s="282"/>
      <c r="AG278" s="282"/>
      <c r="AH278" s="282"/>
      <c r="AI278" s="282"/>
      <c r="AJ278" s="282"/>
      <c r="AK278" s="282"/>
      <c r="AL278" s="282"/>
      <c r="AM278" s="282"/>
      <c r="AN278" s="282"/>
      <c r="AO278" s="282"/>
      <c r="AP278" s="282"/>
      <c r="AQ278" s="282"/>
      <c r="AR278" s="282"/>
      <c r="AS278" s="282"/>
      <c r="AT278" s="282"/>
      <c r="AU278" s="282"/>
      <c r="AV278" s="282"/>
      <c r="AW278" s="282"/>
      <c r="AX278" s="282"/>
      <c r="AY278" s="282"/>
      <c r="AZ278" s="282"/>
      <c r="BA278" s="282"/>
      <c r="BB278" s="282"/>
      <c r="BC278" s="282"/>
      <c r="BD278" s="282"/>
      <c r="BE278" s="282"/>
      <c r="BF278" s="282"/>
      <c r="BG278" s="282"/>
      <c r="BH278" s="282"/>
      <c r="BI278" s="282"/>
      <c r="BJ278" s="278"/>
      <c r="BK278" s="278"/>
      <c r="BL278" s="278"/>
      <c r="BM278" s="278"/>
      <c r="BN278" s="278"/>
      <c r="BO278" s="278"/>
      <c r="BP278" s="278"/>
      <c r="BQ278" s="278"/>
      <c r="BR278" s="278"/>
      <c r="BS278" s="278"/>
      <c r="BT278" s="278"/>
      <c r="BU278" s="278"/>
      <c r="BV278" s="278"/>
      <c r="BW278" s="278"/>
      <c r="BX278" s="278"/>
      <c r="BY278" s="278"/>
      <c r="BZ278" s="278"/>
      <c r="CA278" s="278"/>
      <c r="CB278" s="278"/>
      <c r="CC278" s="278"/>
      <c r="CD278" s="278"/>
      <c r="CE278" s="278"/>
      <c r="CF278" s="278"/>
      <c r="CG278" s="278"/>
      <c r="CH278" s="278"/>
      <c r="CI278" s="278"/>
      <c r="CJ278" s="278"/>
      <c r="CK278" s="278"/>
      <c r="CL278" s="278"/>
      <c r="CM278" s="278"/>
      <c r="CN278" s="278"/>
      <c r="CO278" s="278"/>
      <c r="CP278" s="278"/>
      <c r="CQ278" s="278"/>
      <c r="CR278" s="278"/>
      <c r="CS278" s="278"/>
      <c r="CT278" s="278"/>
      <c r="CU278" s="278"/>
      <c r="CV278" s="278"/>
      <c r="CW278" s="278"/>
      <c r="CX278" s="278"/>
      <c r="CY278" s="278"/>
      <c r="CZ278" s="278"/>
      <c r="DA278" s="278"/>
      <c r="DB278" s="278"/>
      <c r="DC278" s="278"/>
      <c r="DD278" s="278"/>
      <c r="DE278" s="278"/>
      <c r="DF278" s="278"/>
      <c r="DG278" s="278"/>
      <c r="DH278" s="278"/>
      <c r="DI278" s="278"/>
      <c r="DJ278" s="278"/>
      <c r="DK278" s="278"/>
      <c r="DL278" s="278"/>
    </row>
    <row r="279" spans="1:116" ht="15.75" customHeight="1" x14ac:dyDescent="0.25">
      <c r="A279" s="466"/>
      <c r="B279" s="466"/>
      <c r="C279" s="467"/>
      <c r="D279" s="279"/>
      <c r="E279" s="280"/>
      <c r="F279" s="280"/>
      <c r="G279" s="279"/>
      <c r="H279" s="409"/>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282"/>
      <c r="AE279" s="282"/>
      <c r="AF279" s="282"/>
      <c r="AG279" s="282"/>
      <c r="AH279" s="282"/>
      <c r="AI279" s="282"/>
      <c r="AJ279" s="282"/>
      <c r="AK279" s="282"/>
      <c r="AL279" s="282"/>
      <c r="AM279" s="282"/>
      <c r="AN279" s="282"/>
      <c r="AO279" s="282"/>
      <c r="AP279" s="282"/>
      <c r="AQ279" s="282"/>
      <c r="AR279" s="282"/>
      <c r="AS279" s="282"/>
      <c r="AT279" s="282"/>
      <c r="AU279" s="282"/>
      <c r="AV279" s="282"/>
      <c r="AW279" s="282"/>
      <c r="AX279" s="282"/>
      <c r="AY279" s="282"/>
      <c r="AZ279" s="282"/>
      <c r="BA279" s="282"/>
      <c r="BB279" s="282"/>
      <c r="BC279" s="282"/>
      <c r="BD279" s="282"/>
      <c r="BE279" s="282"/>
      <c r="BF279" s="282"/>
      <c r="BG279" s="282"/>
      <c r="BH279" s="282"/>
      <c r="BI279" s="282"/>
      <c r="BJ279" s="278"/>
      <c r="BK279" s="278"/>
      <c r="BL279" s="278"/>
      <c r="BM279" s="278"/>
      <c r="BN279" s="278"/>
      <c r="BO279" s="278"/>
      <c r="BP279" s="278"/>
      <c r="BQ279" s="278"/>
      <c r="BR279" s="278"/>
      <c r="BS279" s="278"/>
      <c r="BT279" s="278"/>
      <c r="BU279" s="278"/>
      <c r="BV279" s="278"/>
      <c r="BW279" s="278"/>
      <c r="BX279" s="278"/>
      <c r="BY279" s="278"/>
      <c r="BZ279" s="278"/>
      <c r="CA279" s="278"/>
      <c r="CB279" s="278"/>
      <c r="CC279" s="278"/>
      <c r="CD279" s="278"/>
      <c r="CE279" s="278"/>
      <c r="CF279" s="278"/>
      <c r="CG279" s="278"/>
      <c r="CH279" s="278"/>
      <c r="CI279" s="278"/>
      <c r="CJ279" s="278"/>
      <c r="CK279" s="278"/>
      <c r="CL279" s="278"/>
      <c r="CM279" s="278"/>
      <c r="CN279" s="278"/>
      <c r="CO279" s="278"/>
      <c r="CP279" s="278"/>
      <c r="CQ279" s="278"/>
      <c r="CR279" s="278"/>
      <c r="CS279" s="278"/>
      <c r="CT279" s="278"/>
      <c r="CU279" s="278"/>
      <c r="CV279" s="278"/>
      <c r="CW279" s="278"/>
      <c r="CX279" s="278"/>
      <c r="CY279" s="278"/>
      <c r="CZ279" s="278"/>
      <c r="DA279" s="278"/>
      <c r="DB279" s="278"/>
      <c r="DC279" s="278"/>
      <c r="DD279" s="278"/>
      <c r="DE279" s="278"/>
      <c r="DF279" s="278"/>
      <c r="DG279" s="278"/>
      <c r="DH279" s="278"/>
      <c r="DI279" s="278"/>
      <c r="DJ279" s="278"/>
      <c r="DK279" s="278"/>
      <c r="DL279" s="278"/>
    </row>
    <row r="280" spans="1:116" ht="15.75" customHeight="1" x14ac:dyDescent="0.25">
      <c r="A280" s="466"/>
      <c r="B280" s="466"/>
      <c r="C280" s="467"/>
      <c r="D280" s="279"/>
      <c r="E280" s="280"/>
      <c r="F280" s="280"/>
      <c r="G280" s="279"/>
      <c r="H280" s="409"/>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282"/>
      <c r="AE280" s="282"/>
      <c r="AF280" s="282"/>
      <c r="AG280" s="282"/>
      <c r="AH280" s="282"/>
      <c r="AI280" s="282"/>
      <c r="AJ280" s="282"/>
      <c r="AK280" s="282"/>
      <c r="AL280" s="282"/>
      <c r="AM280" s="282"/>
      <c r="AN280" s="282"/>
      <c r="AO280" s="282"/>
      <c r="AP280" s="282"/>
      <c r="AQ280" s="282"/>
      <c r="AR280" s="282"/>
      <c r="AS280" s="282"/>
      <c r="AT280" s="282"/>
      <c r="AU280" s="282"/>
      <c r="AV280" s="282"/>
      <c r="AW280" s="282"/>
      <c r="AX280" s="282"/>
      <c r="AY280" s="282"/>
      <c r="AZ280" s="282"/>
      <c r="BA280" s="282"/>
      <c r="BB280" s="282"/>
      <c r="BC280" s="282"/>
      <c r="BD280" s="282"/>
      <c r="BE280" s="282"/>
      <c r="BF280" s="282"/>
      <c r="BG280" s="282"/>
      <c r="BH280" s="282"/>
      <c r="BI280" s="282"/>
      <c r="BJ280" s="278"/>
      <c r="BK280" s="278"/>
      <c r="BL280" s="278"/>
      <c r="BM280" s="278"/>
      <c r="BN280" s="278"/>
      <c r="BO280" s="278"/>
      <c r="BP280" s="278"/>
      <c r="BQ280" s="278"/>
      <c r="BR280" s="278"/>
      <c r="BS280" s="278"/>
      <c r="BT280" s="278"/>
      <c r="BU280" s="278"/>
      <c r="BV280" s="278"/>
      <c r="BW280" s="278"/>
      <c r="BX280" s="278"/>
      <c r="BY280" s="278"/>
      <c r="BZ280" s="278"/>
      <c r="CA280" s="278"/>
      <c r="CB280" s="278"/>
      <c r="CC280" s="278"/>
      <c r="CD280" s="278"/>
      <c r="CE280" s="278"/>
      <c r="CF280" s="278"/>
      <c r="CG280" s="278"/>
      <c r="CH280" s="278"/>
      <c r="CI280" s="278"/>
      <c r="CJ280" s="278"/>
      <c r="CK280" s="278"/>
      <c r="CL280" s="278"/>
      <c r="CM280" s="278"/>
      <c r="CN280" s="278"/>
      <c r="CO280" s="278"/>
      <c r="CP280" s="278"/>
      <c r="CQ280" s="278"/>
      <c r="CR280" s="278"/>
      <c r="CS280" s="278"/>
      <c r="CT280" s="278"/>
      <c r="CU280" s="278"/>
      <c r="CV280" s="278"/>
      <c r="CW280" s="278"/>
      <c r="CX280" s="278"/>
      <c r="CY280" s="278"/>
      <c r="CZ280" s="278"/>
      <c r="DA280" s="278"/>
      <c r="DB280" s="278"/>
      <c r="DC280" s="278"/>
      <c r="DD280" s="278"/>
      <c r="DE280" s="278"/>
      <c r="DF280" s="278"/>
      <c r="DG280" s="278"/>
      <c r="DH280" s="278"/>
      <c r="DI280" s="278"/>
      <c r="DJ280" s="278"/>
      <c r="DK280" s="278"/>
      <c r="DL280" s="278"/>
    </row>
    <row r="281" spans="1:116" ht="15.75" customHeight="1" x14ac:dyDescent="0.25">
      <c r="A281" s="466"/>
      <c r="B281" s="466"/>
      <c r="C281" s="467"/>
      <c r="D281" s="279"/>
      <c r="E281" s="280"/>
      <c r="F281" s="280"/>
      <c r="G281" s="279"/>
      <c r="H281" s="409"/>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282"/>
      <c r="AE281" s="282"/>
      <c r="AF281" s="282"/>
      <c r="AG281" s="282"/>
      <c r="AH281" s="282"/>
      <c r="AI281" s="282"/>
      <c r="AJ281" s="282"/>
      <c r="AK281" s="282"/>
      <c r="AL281" s="282"/>
      <c r="AM281" s="282"/>
      <c r="AN281" s="282"/>
      <c r="AO281" s="282"/>
      <c r="AP281" s="282"/>
      <c r="AQ281" s="282"/>
      <c r="AR281" s="282"/>
      <c r="AS281" s="282"/>
      <c r="AT281" s="282"/>
      <c r="AU281" s="282"/>
      <c r="AV281" s="282"/>
      <c r="AW281" s="282"/>
      <c r="AX281" s="282"/>
      <c r="AY281" s="282"/>
      <c r="AZ281" s="282"/>
      <c r="BA281" s="282"/>
      <c r="BB281" s="282"/>
      <c r="BC281" s="282"/>
      <c r="BD281" s="282"/>
      <c r="BE281" s="282"/>
      <c r="BF281" s="282"/>
      <c r="BG281" s="282"/>
      <c r="BH281" s="282"/>
      <c r="BI281" s="282"/>
      <c r="BJ281" s="278"/>
      <c r="BK281" s="278"/>
      <c r="BL281" s="278"/>
      <c r="BM281" s="278"/>
      <c r="BN281" s="278"/>
      <c r="BO281" s="278"/>
      <c r="BP281" s="278"/>
      <c r="BQ281" s="278"/>
      <c r="BR281" s="278"/>
      <c r="BS281" s="278"/>
      <c r="BT281" s="278"/>
      <c r="BU281" s="278"/>
      <c r="BV281" s="278"/>
      <c r="BW281" s="278"/>
      <c r="BX281" s="278"/>
      <c r="BY281" s="278"/>
      <c r="BZ281" s="278"/>
      <c r="CA281" s="278"/>
      <c r="CB281" s="278"/>
      <c r="CC281" s="278"/>
      <c r="CD281" s="278"/>
      <c r="CE281" s="278"/>
      <c r="CF281" s="278"/>
      <c r="CG281" s="278"/>
      <c r="CH281" s="278"/>
      <c r="CI281" s="278"/>
      <c r="CJ281" s="278"/>
      <c r="CK281" s="278"/>
      <c r="CL281" s="278"/>
      <c r="CM281" s="278"/>
      <c r="CN281" s="278"/>
      <c r="CO281" s="278"/>
      <c r="CP281" s="278"/>
      <c r="CQ281" s="278"/>
      <c r="CR281" s="278"/>
      <c r="CS281" s="278"/>
      <c r="CT281" s="278"/>
      <c r="CU281" s="278"/>
      <c r="CV281" s="278"/>
      <c r="CW281" s="278"/>
      <c r="CX281" s="278"/>
      <c r="CY281" s="278"/>
      <c r="CZ281" s="278"/>
      <c r="DA281" s="278"/>
      <c r="DB281" s="278"/>
      <c r="DC281" s="278"/>
      <c r="DD281" s="278"/>
      <c r="DE281" s="278"/>
      <c r="DF281" s="278"/>
      <c r="DG281" s="278"/>
      <c r="DH281" s="278"/>
      <c r="DI281" s="278"/>
      <c r="DJ281" s="278"/>
      <c r="DK281" s="278"/>
      <c r="DL281" s="278"/>
    </row>
    <row r="282" spans="1:116" ht="15.75" customHeight="1" x14ac:dyDescent="0.25">
      <c r="A282" s="466"/>
      <c r="B282" s="466"/>
      <c r="C282" s="467"/>
      <c r="D282" s="279"/>
      <c r="E282" s="280"/>
      <c r="F282" s="280"/>
      <c r="G282" s="279"/>
      <c r="H282" s="409"/>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282"/>
      <c r="AE282" s="282"/>
      <c r="AF282" s="282"/>
      <c r="AG282" s="282"/>
      <c r="AH282" s="282"/>
      <c r="AI282" s="282"/>
      <c r="AJ282" s="282"/>
      <c r="AK282" s="282"/>
      <c r="AL282" s="282"/>
      <c r="AM282" s="282"/>
      <c r="AN282" s="282"/>
      <c r="AO282" s="282"/>
      <c r="AP282" s="282"/>
      <c r="AQ282" s="282"/>
      <c r="AR282" s="282"/>
      <c r="AS282" s="282"/>
      <c r="AT282" s="282"/>
      <c r="AU282" s="282"/>
      <c r="AV282" s="282"/>
      <c r="AW282" s="282"/>
      <c r="AX282" s="282"/>
      <c r="AY282" s="282"/>
      <c r="AZ282" s="282"/>
      <c r="BA282" s="282"/>
      <c r="BB282" s="282"/>
      <c r="BC282" s="282"/>
      <c r="BD282" s="282"/>
      <c r="BE282" s="282"/>
      <c r="BF282" s="282"/>
      <c r="BG282" s="282"/>
      <c r="BH282" s="282"/>
      <c r="BI282" s="282"/>
      <c r="BJ282" s="278"/>
      <c r="BK282" s="278"/>
      <c r="BL282" s="278"/>
      <c r="BM282" s="278"/>
      <c r="BN282" s="278"/>
      <c r="BO282" s="278"/>
      <c r="BP282" s="278"/>
      <c r="BQ282" s="278"/>
      <c r="BR282" s="278"/>
      <c r="BS282" s="278"/>
      <c r="BT282" s="278"/>
      <c r="BU282" s="278"/>
      <c r="BV282" s="278"/>
      <c r="BW282" s="278"/>
      <c r="BX282" s="278"/>
      <c r="BY282" s="278"/>
      <c r="BZ282" s="278"/>
      <c r="CA282" s="278"/>
      <c r="CB282" s="278"/>
      <c r="CC282" s="278"/>
      <c r="CD282" s="278"/>
      <c r="CE282" s="278"/>
      <c r="CF282" s="278"/>
      <c r="CG282" s="278"/>
      <c r="CH282" s="278"/>
      <c r="CI282" s="278"/>
      <c r="CJ282" s="278"/>
      <c r="CK282" s="278"/>
      <c r="CL282" s="278"/>
      <c r="CM282" s="278"/>
      <c r="CN282" s="278"/>
      <c r="CO282" s="278"/>
      <c r="CP282" s="278"/>
      <c r="CQ282" s="278"/>
      <c r="CR282" s="278"/>
      <c r="CS282" s="278"/>
      <c r="CT282" s="278"/>
      <c r="CU282" s="278"/>
      <c r="CV282" s="278"/>
      <c r="CW282" s="278"/>
      <c r="CX282" s="278"/>
      <c r="CY282" s="278"/>
      <c r="CZ282" s="278"/>
      <c r="DA282" s="278"/>
      <c r="DB282" s="278"/>
      <c r="DC282" s="278"/>
      <c r="DD282" s="278"/>
      <c r="DE282" s="278"/>
      <c r="DF282" s="278"/>
      <c r="DG282" s="278"/>
      <c r="DH282" s="278"/>
      <c r="DI282" s="278"/>
      <c r="DJ282" s="278"/>
      <c r="DK282" s="278"/>
      <c r="DL282" s="278"/>
    </row>
    <row r="283" spans="1:116" ht="15.75" customHeight="1" x14ac:dyDescent="0.25">
      <c r="A283" s="466"/>
      <c r="B283" s="466"/>
      <c r="C283" s="467"/>
      <c r="D283" s="279"/>
      <c r="E283" s="280"/>
      <c r="F283" s="280"/>
      <c r="G283" s="279"/>
      <c r="H283" s="409"/>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282"/>
      <c r="AE283" s="282"/>
      <c r="AF283" s="282"/>
      <c r="AG283" s="282"/>
      <c r="AH283" s="282"/>
      <c r="AI283" s="282"/>
      <c r="AJ283" s="282"/>
      <c r="AK283" s="282"/>
      <c r="AL283" s="282"/>
      <c r="AM283" s="282"/>
      <c r="AN283" s="282"/>
      <c r="AO283" s="282"/>
      <c r="AP283" s="282"/>
      <c r="AQ283" s="282"/>
      <c r="AR283" s="282"/>
      <c r="AS283" s="282"/>
      <c r="AT283" s="282"/>
      <c r="AU283" s="282"/>
      <c r="AV283" s="282"/>
      <c r="AW283" s="282"/>
      <c r="AX283" s="282"/>
      <c r="AY283" s="282"/>
      <c r="AZ283" s="282"/>
      <c r="BA283" s="282"/>
      <c r="BB283" s="282"/>
      <c r="BC283" s="282"/>
      <c r="BD283" s="282"/>
      <c r="BE283" s="282"/>
      <c r="BF283" s="282"/>
      <c r="BG283" s="282"/>
      <c r="BH283" s="282"/>
      <c r="BI283" s="282"/>
      <c r="BJ283" s="278"/>
      <c r="BK283" s="278"/>
      <c r="BL283" s="278"/>
      <c r="BM283" s="278"/>
      <c r="BN283" s="278"/>
      <c r="BO283" s="278"/>
      <c r="BP283" s="278"/>
      <c r="BQ283" s="278"/>
      <c r="BR283" s="278"/>
      <c r="BS283" s="278"/>
      <c r="BT283" s="278"/>
      <c r="BU283" s="278"/>
      <c r="BV283" s="278"/>
      <c r="BW283" s="278"/>
      <c r="BX283" s="278"/>
      <c r="BY283" s="278"/>
      <c r="BZ283" s="278"/>
      <c r="CA283" s="278"/>
      <c r="CB283" s="278"/>
      <c r="CC283" s="278"/>
      <c r="CD283" s="278"/>
      <c r="CE283" s="278"/>
      <c r="CF283" s="278"/>
      <c r="CG283" s="278"/>
      <c r="CH283" s="278"/>
      <c r="CI283" s="278"/>
      <c r="CJ283" s="278"/>
      <c r="CK283" s="278"/>
      <c r="CL283" s="278"/>
      <c r="CM283" s="278"/>
      <c r="CN283" s="278"/>
      <c r="CO283" s="278"/>
      <c r="CP283" s="278"/>
      <c r="CQ283" s="278"/>
      <c r="CR283" s="278"/>
      <c r="CS283" s="278"/>
      <c r="CT283" s="278"/>
      <c r="CU283" s="278"/>
      <c r="CV283" s="278"/>
      <c r="CW283" s="278"/>
      <c r="CX283" s="278"/>
      <c r="CY283" s="278"/>
      <c r="CZ283" s="278"/>
      <c r="DA283" s="278"/>
      <c r="DB283" s="278"/>
      <c r="DC283" s="278"/>
      <c r="DD283" s="278"/>
      <c r="DE283" s="278"/>
      <c r="DF283" s="278"/>
      <c r="DG283" s="278"/>
      <c r="DH283" s="278"/>
      <c r="DI283" s="278"/>
      <c r="DJ283" s="278"/>
      <c r="DK283" s="278"/>
      <c r="DL283" s="278"/>
    </row>
    <row r="284" spans="1:116" ht="15.75" customHeight="1" x14ac:dyDescent="0.25">
      <c r="A284" s="466"/>
      <c r="B284" s="466"/>
      <c r="C284" s="467"/>
      <c r="D284" s="279"/>
      <c r="E284" s="280"/>
      <c r="F284" s="280"/>
      <c r="G284" s="279"/>
      <c r="H284" s="409"/>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282"/>
      <c r="AE284" s="282"/>
      <c r="AF284" s="282"/>
      <c r="AG284" s="282"/>
      <c r="AH284" s="282"/>
      <c r="AI284" s="282"/>
      <c r="AJ284" s="282"/>
      <c r="AK284" s="282"/>
      <c r="AL284" s="282"/>
      <c r="AM284" s="282"/>
      <c r="AN284" s="282"/>
      <c r="AO284" s="282"/>
      <c r="AP284" s="282"/>
      <c r="AQ284" s="282"/>
      <c r="AR284" s="282"/>
      <c r="AS284" s="282"/>
      <c r="AT284" s="282"/>
      <c r="AU284" s="282"/>
      <c r="AV284" s="282"/>
      <c r="AW284" s="282"/>
      <c r="AX284" s="282"/>
      <c r="AY284" s="282"/>
      <c r="AZ284" s="282"/>
      <c r="BA284" s="282"/>
      <c r="BB284" s="282"/>
      <c r="BC284" s="282"/>
      <c r="BD284" s="282"/>
      <c r="BE284" s="282"/>
      <c r="BF284" s="282"/>
      <c r="BG284" s="282"/>
      <c r="BH284" s="282"/>
      <c r="BI284" s="282"/>
      <c r="BJ284" s="278"/>
      <c r="BK284" s="278"/>
      <c r="BL284" s="278"/>
      <c r="BM284" s="278"/>
      <c r="BN284" s="278"/>
      <c r="BO284" s="278"/>
      <c r="BP284" s="278"/>
      <c r="BQ284" s="278"/>
      <c r="BR284" s="278"/>
      <c r="BS284" s="278"/>
      <c r="BT284" s="278"/>
      <c r="BU284" s="278"/>
      <c r="BV284" s="278"/>
      <c r="BW284" s="278"/>
      <c r="BX284" s="278"/>
      <c r="BY284" s="278"/>
      <c r="BZ284" s="278"/>
      <c r="CA284" s="278"/>
      <c r="CB284" s="278"/>
      <c r="CC284" s="278"/>
      <c r="CD284" s="278"/>
      <c r="CE284" s="278"/>
      <c r="CF284" s="278"/>
      <c r="CG284" s="278"/>
      <c r="CH284" s="278"/>
      <c r="CI284" s="278"/>
      <c r="CJ284" s="278"/>
      <c r="CK284" s="278"/>
      <c r="CL284" s="278"/>
      <c r="CM284" s="278"/>
      <c r="CN284" s="278"/>
      <c r="CO284" s="278"/>
      <c r="CP284" s="278"/>
      <c r="CQ284" s="278"/>
      <c r="CR284" s="278"/>
      <c r="CS284" s="278"/>
      <c r="CT284" s="278"/>
      <c r="CU284" s="278"/>
      <c r="CV284" s="278"/>
      <c r="CW284" s="278"/>
      <c r="CX284" s="278"/>
      <c r="CY284" s="278"/>
      <c r="CZ284" s="278"/>
      <c r="DA284" s="278"/>
      <c r="DB284" s="278"/>
      <c r="DC284" s="278"/>
      <c r="DD284" s="278"/>
      <c r="DE284" s="278"/>
      <c r="DF284" s="278"/>
      <c r="DG284" s="278"/>
      <c r="DH284" s="278"/>
      <c r="DI284" s="278"/>
      <c r="DJ284" s="278"/>
      <c r="DK284" s="278"/>
      <c r="DL284" s="278"/>
    </row>
    <row r="285" spans="1:116" ht="15.75" customHeight="1" x14ac:dyDescent="0.25">
      <c r="A285" s="466"/>
      <c r="B285" s="466"/>
      <c r="C285" s="467"/>
      <c r="D285" s="279"/>
      <c r="E285" s="280"/>
      <c r="F285" s="280"/>
      <c r="G285" s="279"/>
      <c r="H285" s="409"/>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282"/>
      <c r="AE285" s="282"/>
      <c r="AF285" s="282"/>
      <c r="AG285" s="282"/>
      <c r="AH285" s="282"/>
      <c r="AI285" s="282"/>
      <c r="AJ285" s="282"/>
      <c r="AK285" s="282"/>
      <c r="AL285" s="282"/>
      <c r="AM285" s="282"/>
      <c r="AN285" s="282"/>
      <c r="AO285" s="282"/>
      <c r="AP285" s="282"/>
      <c r="AQ285" s="282"/>
      <c r="AR285" s="282"/>
      <c r="AS285" s="282"/>
      <c r="AT285" s="282"/>
      <c r="AU285" s="282"/>
      <c r="AV285" s="282"/>
      <c r="AW285" s="282"/>
      <c r="AX285" s="282"/>
      <c r="AY285" s="282"/>
      <c r="AZ285" s="282"/>
      <c r="BA285" s="282"/>
      <c r="BB285" s="282"/>
      <c r="BC285" s="282"/>
      <c r="BD285" s="282"/>
      <c r="BE285" s="282"/>
      <c r="BF285" s="282"/>
      <c r="BG285" s="282"/>
      <c r="BH285" s="282"/>
      <c r="BI285" s="282"/>
      <c r="BJ285" s="278"/>
      <c r="BK285" s="278"/>
      <c r="BL285" s="278"/>
      <c r="BM285" s="278"/>
      <c r="BN285" s="278"/>
      <c r="BO285" s="278"/>
      <c r="BP285" s="278"/>
      <c r="BQ285" s="278"/>
      <c r="BR285" s="278"/>
      <c r="BS285" s="278"/>
      <c r="BT285" s="278"/>
      <c r="BU285" s="278"/>
      <c r="BV285" s="278"/>
      <c r="BW285" s="278"/>
      <c r="BX285" s="278"/>
      <c r="BY285" s="278"/>
      <c r="BZ285" s="278"/>
      <c r="CA285" s="278"/>
      <c r="CB285" s="278"/>
      <c r="CC285" s="278"/>
      <c r="CD285" s="278"/>
      <c r="CE285" s="278"/>
      <c r="CF285" s="278"/>
      <c r="CG285" s="278"/>
      <c r="CH285" s="278"/>
      <c r="CI285" s="278"/>
      <c r="CJ285" s="278"/>
      <c r="CK285" s="278"/>
      <c r="CL285" s="278"/>
      <c r="CM285" s="278"/>
      <c r="CN285" s="278"/>
      <c r="CO285" s="278"/>
      <c r="CP285" s="278"/>
      <c r="CQ285" s="278"/>
      <c r="CR285" s="278"/>
      <c r="CS285" s="278"/>
      <c r="CT285" s="278"/>
      <c r="CU285" s="278"/>
      <c r="CV285" s="278"/>
      <c r="CW285" s="278"/>
      <c r="CX285" s="278"/>
      <c r="CY285" s="278"/>
      <c r="CZ285" s="278"/>
      <c r="DA285" s="278"/>
      <c r="DB285" s="278"/>
      <c r="DC285" s="278"/>
      <c r="DD285" s="278"/>
      <c r="DE285" s="278"/>
      <c r="DF285" s="278"/>
      <c r="DG285" s="278"/>
      <c r="DH285" s="278"/>
      <c r="DI285" s="278"/>
      <c r="DJ285" s="278"/>
      <c r="DK285" s="278"/>
      <c r="DL285" s="278"/>
    </row>
    <row r="286" spans="1:116" ht="15.75" customHeight="1" x14ac:dyDescent="0.25">
      <c r="A286" s="466"/>
      <c r="B286" s="466"/>
      <c r="C286" s="467"/>
      <c r="D286" s="279"/>
      <c r="E286" s="280"/>
      <c r="F286" s="280"/>
      <c r="G286" s="279"/>
      <c r="H286" s="409"/>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282"/>
      <c r="AE286" s="282"/>
      <c r="AF286" s="282"/>
      <c r="AG286" s="282"/>
      <c r="AH286" s="282"/>
      <c r="AI286" s="282"/>
      <c r="AJ286" s="282"/>
      <c r="AK286" s="282"/>
      <c r="AL286" s="282"/>
      <c r="AM286" s="282"/>
      <c r="AN286" s="282"/>
      <c r="AO286" s="282"/>
      <c r="AP286" s="282"/>
      <c r="AQ286" s="282"/>
      <c r="AR286" s="282"/>
      <c r="AS286" s="282"/>
      <c r="AT286" s="282"/>
      <c r="AU286" s="282"/>
      <c r="AV286" s="282"/>
      <c r="AW286" s="282"/>
      <c r="AX286" s="282"/>
      <c r="AY286" s="282"/>
      <c r="AZ286" s="282"/>
      <c r="BA286" s="282"/>
      <c r="BB286" s="282"/>
      <c r="BC286" s="282"/>
      <c r="BD286" s="282"/>
      <c r="BE286" s="282"/>
      <c r="BF286" s="282"/>
      <c r="BG286" s="282"/>
      <c r="BH286" s="282"/>
      <c r="BI286" s="282"/>
      <c r="BJ286" s="278"/>
      <c r="BK286" s="278"/>
      <c r="BL286" s="278"/>
      <c r="BM286" s="278"/>
      <c r="BN286" s="278"/>
      <c r="BO286" s="278"/>
      <c r="BP286" s="278"/>
      <c r="BQ286" s="278"/>
      <c r="BR286" s="278"/>
      <c r="BS286" s="278"/>
      <c r="BT286" s="278"/>
      <c r="BU286" s="278"/>
      <c r="BV286" s="278"/>
      <c r="BW286" s="278"/>
      <c r="BX286" s="278"/>
      <c r="BY286" s="278"/>
      <c r="BZ286" s="278"/>
      <c r="CA286" s="278"/>
      <c r="CB286" s="278"/>
      <c r="CC286" s="278"/>
      <c r="CD286" s="278"/>
      <c r="CE286" s="278"/>
      <c r="CF286" s="278"/>
      <c r="CG286" s="278"/>
      <c r="CH286" s="278"/>
      <c r="CI286" s="278"/>
      <c r="CJ286" s="278"/>
      <c r="CK286" s="278"/>
      <c r="CL286" s="278"/>
      <c r="CM286" s="278"/>
      <c r="CN286" s="278"/>
      <c r="CO286" s="278"/>
      <c r="CP286" s="278"/>
      <c r="CQ286" s="278"/>
      <c r="CR286" s="278"/>
      <c r="CS286" s="278"/>
      <c r="CT286" s="278"/>
      <c r="CU286" s="278"/>
      <c r="CV286" s="278"/>
      <c r="CW286" s="278"/>
      <c r="CX286" s="278"/>
      <c r="CY286" s="278"/>
      <c r="CZ286" s="278"/>
      <c r="DA286" s="278"/>
      <c r="DB286" s="278"/>
      <c r="DC286" s="278"/>
      <c r="DD286" s="278"/>
      <c r="DE286" s="278"/>
      <c r="DF286" s="278"/>
      <c r="DG286" s="278"/>
      <c r="DH286" s="278"/>
      <c r="DI286" s="278"/>
      <c r="DJ286" s="278"/>
      <c r="DK286" s="278"/>
      <c r="DL286" s="278"/>
    </row>
    <row r="287" spans="1:116" ht="15.75" customHeight="1" x14ac:dyDescent="0.25">
      <c r="A287" s="466"/>
      <c r="B287" s="466"/>
      <c r="C287" s="467"/>
      <c r="D287" s="279"/>
      <c r="E287" s="280"/>
      <c r="F287" s="280"/>
      <c r="G287" s="279"/>
      <c r="H287" s="409"/>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282"/>
      <c r="AE287" s="282"/>
      <c r="AF287" s="282"/>
      <c r="AG287" s="282"/>
      <c r="AH287" s="282"/>
      <c r="AI287" s="282"/>
      <c r="AJ287" s="282"/>
      <c r="AK287" s="282"/>
      <c r="AL287" s="282"/>
      <c r="AM287" s="282"/>
      <c r="AN287" s="282"/>
      <c r="AO287" s="282"/>
      <c r="AP287" s="282"/>
      <c r="AQ287" s="282"/>
      <c r="AR287" s="282"/>
      <c r="AS287" s="282"/>
      <c r="AT287" s="282"/>
      <c r="AU287" s="282"/>
      <c r="AV287" s="282"/>
      <c r="AW287" s="282"/>
      <c r="AX287" s="282"/>
      <c r="AY287" s="282"/>
      <c r="AZ287" s="282"/>
      <c r="BA287" s="282"/>
      <c r="BB287" s="282"/>
      <c r="BC287" s="282"/>
      <c r="BD287" s="282"/>
      <c r="BE287" s="282"/>
      <c r="BF287" s="282"/>
      <c r="BG287" s="282"/>
      <c r="BH287" s="282"/>
      <c r="BI287" s="282"/>
      <c r="BJ287" s="278"/>
      <c r="BK287" s="278"/>
      <c r="BL287" s="278"/>
      <c r="BM287" s="278"/>
      <c r="BN287" s="278"/>
      <c r="BO287" s="278"/>
      <c r="BP287" s="278"/>
      <c r="BQ287" s="278"/>
      <c r="BR287" s="278"/>
      <c r="BS287" s="278"/>
      <c r="BT287" s="278"/>
      <c r="BU287" s="278"/>
      <c r="BV287" s="278"/>
      <c r="BW287" s="278"/>
      <c r="BX287" s="278"/>
      <c r="BY287" s="278"/>
      <c r="BZ287" s="278"/>
      <c r="CA287" s="278"/>
      <c r="CB287" s="278"/>
      <c r="CC287" s="278"/>
      <c r="CD287" s="278"/>
      <c r="CE287" s="278"/>
      <c r="CF287" s="278"/>
      <c r="CG287" s="278"/>
      <c r="CH287" s="278"/>
      <c r="CI287" s="278"/>
      <c r="CJ287" s="278"/>
      <c r="CK287" s="278"/>
      <c r="CL287" s="278"/>
      <c r="CM287" s="278"/>
      <c r="CN287" s="278"/>
      <c r="CO287" s="278"/>
      <c r="CP287" s="278"/>
      <c r="CQ287" s="278"/>
      <c r="CR287" s="278"/>
      <c r="CS287" s="278"/>
      <c r="CT287" s="278"/>
      <c r="CU287" s="278"/>
      <c r="CV287" s="278"/>
      <c r="CW287" s="278"/>
      <c r="CX287" s="278"/>
      <c r="CY287" s="278"/>
      <c r="CZ287" s="278"/>
      <c r="DA287" s="278"/>
      <c r="DB287" s="278"/>
      <c r="DC287" s="278"/>
      <c r="DD287" s="278"/>
      <c r="DE287" s="278"/>
      <c r="DF287" s="278"/>
      <c r="DG287" s="278"/>
      <c r="DH287" s="278"/>
      <c r="DI287" s="278"/>
      <c r="DJ287" s="278"/>
      <c r="DK287" s="278"/>
      <c r="DL287" s="278"/>
    </row>
    <row r="288" spans="1:116" ht="15.75" customHeight="1" x14ac:dyDescent="0.25">
      <c r="A288" s="466"/>
      <c r="B288" s="466"/>
      <c r="C288" s="467"/>
      <c r="D288" s="279"/>
      <c r="E288" s="280"/>
      <c r="F288" s="280"/>
      <c r="G288" s="279"/>
      <c r="H288" s="409"/>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82"/>
      <c r="AE288" s="282"/>
      <c r="AF288" s="282"/>
      <c r="AG288" s="282"/>
      <c r="AH288" s="282"/>
      <c r="AI288" s="282"/>
      <c r="AJ288" s="282"/>
      <c r="AK288" s="282"/>
      <c r="AL288" s="282"/>
      <c r="AM288" s="282"/>
      <c r="AN288" s="282"/>
      <c r="AO288" s="282"/>
      <c r="AP288" s="282"/>
      <c r="AQ288" s="282"/>
      <c r="AR288" s="282"/>
      <c r="AS288" s="282"/>
      <c r="AT288" s="282"/>
      <c r="AU288" s="282"/>
      <c r="AV288" s="282"/>
      <c r="AW288" s="282"/>
      <c r="AX288" s="282"/>
      <c r="AY288" s="282"/>
      <c r="AZ288" s="282"/>
      <c r="BA288" s="282"/>
      <c r="BB288" s="282"/>
      <c r="BC288" s="282"/>
      <c r="BD288" s="282"/>
      <c r="BE288" s="282"/>
      <c r="BF288" s="282"/>
      <c r="BG288" s="282"/>
      <c r="BH288" s="282"/>
      <c r="BI288" s="282"/>
      <c r="BJ288" s="278"/>
      <c r="BK288" s="278"/>
      <c r="BL288" s="278"/>
      <c r="BM288" s="278"/>
      <c r="BN288" s="278"/>
      <c r="BO288" s="278"/>
      <c r="BP288" s="278"/>
      <c r="BQ288" s="278"/>
      <c r="BR288" s="278"/>
      <c r="BS288" s="278"/>
      <c r="BT288" s="278"/>
      <c r="BU288" s="278"/>
      <c r="BV288" s="278"/>
      <c r="BW288" s="278"/>
      <c r="BX288" s="278"/>
      <c r="BY288" s="278"/>
      <c r="BZ288" s="278"/>
      <c r="CA288" s="278"/>
      <c r="CB288" s="278"/>
      <c r="CC288" s="278"/>
      <c r="CD288" s="278"/>
      <c r="CE288" s="278"/>
      <c r="CF288" s="278"/>
      <c r="CG288" s="278"/>
      <c r="CH288" s="278"/>
      <c r="CI288" s="278"/>
      <c r="CJ288" s="278"/>
      <c r="CK288" s="278"/>
      <c r="CL288" s="278"/>
      <c r="CM288" s="278"/>
      <c r="CN288" s="278"/>
      <c r="CO288" s="278"/>
      <c r="CP288" s="278"/>
      <c r="CQ288" s="278"/>
      <c r="CR288" s="278"/>
      <c r="CS288" s="278"/>
      <c r="CT288" s="278"/>
      <c r="CU288" s="278"/>
      <c r="CV288" s="278"/>
      <c r="CW288" s="278"/>
      <c r="CX288" s="278"/>
      <c r="CY288" s="278"/>
      <c r="CZ288" s="278"/>
      <c r="DA288" s="278"/>
      <c r="DB288" s="278"/>
      <c r="DC288" s="278"/>
      <c r="DD288" s="278"/>
      <c r="DE288" s="278"/>
      <c r="DF288" s="278"/>
      <c r="DG288" s="278"/>
      <c r="DH288" s="278"/>
      <c r="DI288" s="278"/>
      <c r="DJ288" s="278"/>
      <c r="DK288" s="278"/>
      <c r="DL288" s="278"/>
    </row>
    <row r="289" spans="1:116" ht="15.75" customHeight="1" x14ac:dyDescent="0.25">
      <c r="A289" s="466"/>
      <c r="B289" s="466"/>
      <c r="C289" s="467"/>
      <c r="D289" s="279"/>
      <c r="E289" s="280"/>
      <c r="F289" s="280"/>
      <c r="G289" s="279"/>
      <c r="H289" s="409"/>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282"/>
      <c r="AE289" s="282"/>
      <c r="AF289" s="282"/>
      <c r="AG289" s="282"/>
      <c r="AH289" s="282"/>
      <c r="AI289" s="282"/>
      <c r="AJ289" s="282"/>
      <c r="AK289" s="282"/>
      <c r="AL289" s="282"/>
      <c r="AM289" s="282"/>
      <c r="AN289" s="282"/>
      <c r="AO289" s="282"/>
      <c r="AP289" s="282"/>
      <c r="AQ289" s="282"/>
      <c r="AR289" s="282"/>
      <c r="AS289" s="282"/>
      <c r="AT289" s="282"/>
      <c r="AU289" s="282"/>
      <c r="AV289" s="282"/>
      <c r="AW289" s="282"/>
      <c r="AX289" s="282"/>
      <c r="AY289" s="282"/>
      <c r="AZ289" s="282"/>
      <c r="BA289" s="282"/>
      <c r="BB289" s="282"/>
      <c r="BC289" s="282"/>
      <c r="BD289" s="282"/>
      <c r="BE289" s="282"/>
      <c r="BF289" s="282"/>
      <c r="BG289" s="282"/>
      <c r="BH289" s="282"/>
      <c r="BI289" s="282"/>
      <c r="BJ289" s="278"/>
      <c r="BK289" s="278"/>
      <c r="BL289" s="278"/>
      <c r="BM289" s="278"/>
      <c r="BN289" s="278"/>
      <c r="BO289" s="278"/>
      <c r="BP289" s="278"/>
      <c r="BQ289" s="278"/>
      <c r="BR289" s="278"/>
      <c r="BS289" s="278"/>
      <c r="BT289" s="278"/>
      <c r="BU289" s="278"/>
      <c r="BV289" s="278"/>
      <c r="BW289" s="278"/>
      <c r="BX289" s="278"/>
      <c r="BY289" s="278"/>
      <c r="BZ289" s="278"/>
      <c r="CA289" s="278"/>
      <c r="CB289" s="278"/>
      <c r="CC289" s="278"/>
      <c r="CD289" s="278"/>
      <c r="CE289" s="278"/>
      <c r="CF289" s="278"/>
      <c r="CG289" s="278"/>
      <c r="CH289" s="278"/>
      <c r="CI289" s="278"/>
      <c r="CJ289" s="278"/>
      <c r="CK289" s="278"/>
      <c r="CL289" s="278"/>
      <c r="CM289" s="278"/>
      <c r="CN289" s="278"/>
      <c r="CO289" s="278"/>
      <c r="CP289" s="278"/>
      <c r="CQ289" s="278"/>
      <c r="CR289" s="278"/>
      <c r="CS289" s="278"/>
      <c r="CT289" s="278"/>
      <c r="CU289" s="278"/>
      <c r="CV289" s="278"/>
      <c r="CW289" s="278"/>
      <c r="CX289" s="278"/>
      <c r="CY289" s="278"/>
      <c r="CZ289" s="278"/>
      <c r="DA289" s="278"/>
      <c r="DB289" s="278"/>
      <c r="DC289" s="278"/>
      <c r="DD289" s="278"/>
      <c r="DE289" s="278"/>
      <c r="DF289" s="278"/>
      <c r="DG289" s="278"/>
      <c r="DH289" s="278"/>
      <c r="DI289" s="278"/>
      <c r="DJ289" s="278"/>
      <c r="DK289" s="278"/>
      <c r="DL289" s="278"/>
    </row>
    <row r="290" spans="1:116" ht="15.75" customHeight="1" x14ac:dyDescent="0.25">
      <c r="A290" s="466"/>
      <c r="B290" s="466"/>
      <c r="C290" s="467"/>
      <c r="D290" s="279"/>
      <c r="E290" s="280"/>
      <c r="F290" s="280"/>
      <c r="G290" s="279"/>
      <c r="H290" s="409"/>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82"/>
      <c r="AE290" s="282"/>
      <c r="AF290" s="282"/>
      <c r="AG290" s="282"/>
      <c r="AH290" s="282"/>
      <c r="AI290" s="282"/>
      <c r="AJ290" s="282"/>
      <c r="AK290" s="282"/>
      <c r="AL290" s="282"/>
      <c r="AM290" s="282"/>
      <c r="AN290" s="282"/>
      <c r="AO290" s="282"/>
      <c r="AP290" s="282"/>
      <c r="AQ290" s="282"/>
      <c r="AR290" s="282"/>
      <c r="AS290" s="282"/>
      <c r="AT290" s="282"/>
      <c r="AU290" s="282"/>
      <c r="AV290" s="282"/>
      <c r="AW290" s="282"/>
      <c r="AX290" s="282"/>
      <c r="AY290" s="282"/>
      <c r="AZ290" s="282"/>
      <c r="BA290" s="282"/>
      <c r="BB290" s="282"/>
      <c r="BC290" s="282"/>
      <c r="BD290" s="282"/>
      <c r="BE290" s="282"/>
      <c r="BF290" s="282"/>
      <c r="BG290" s="282"/>
      <c r="BH290" s="282"/>
      <c r="BI290" s="282"/>
      <c r="BJ290" s="278"/>
      <c r="BK290" s="278"/>
      <c r="BL290" s="278"/>
      <c r="BM290" s="278"/>
      <c r="BN290" s="278"/>
      <c r="BO290" s="278"/>
      <c r="BP290" s="278"/>
      <c r="BQ290" s="278"/>
      <c r="BR290" s="278"/>
      <c r="BS290" s="278"/>
      <c r="BT290" s="278"/>
      <c r="BU290" s="278"/>
      <c r="BV290" s="278"/>
      <c r="BW290" s="278"/>
      <c r="BX290" s="278"/>
      <c r="BY290" s="278"/>
      <c r="BZ290" s="278"/>
      <c r="CA290" s="278"/>
      <c r="CB290" s="278"/>
      <c r="CC290" s="278"/>
      <c r="CD290" s="278"/>
      <c r="CE290" s="278"/>
      <c r="CF290" s="278"/>
      <c r="CG290" s="278"/>
      <c r="CH290" s="278"/>
      <c r="CI290" s="278"/>
      <c r="CJ290" s="278"/>
      <c r="CK290" s="278"/>
      <c r="CL290" s="278"/>
      <c r="CM290" s="278"/>
      <c r="CN290" s="278"/>
      <c r="CO290" s="278"/>
      <c r="CP290" s="278"/>
      <c r="CQ290" s="278"/>
      <c r="CR290" s="278"/>
      <c r="CS290" s="278"/>
      <c r="CT290" s="278"/>
      <c r="CU290" s="278"/>
      <c r="CV290" s="278"/>
      <c r="CW290" s="278"/>
      <c r="CX290" s="278"/>
      <c r="CY290" s="278"/>
      <c r="CZ290" s="278"/>
      <c r="DA290" s="278"/>
      <c r="DB290" s="278"/>
      <c r="DC290" s="278"/>
      <c r="DD290" s="278"/>
      <c r="DE290" s="278"/>
      <c r="DF290" s="278"/>
      <c r="DG290" s="278"/>
      <c r="DH290" s="278"/>
      <c r="DI290" s="278"/>
      <c r="DJ290" s="278"/>
      <c r="DK290" s="278"/>
      <c r="DL290" s="278"/>
    </row>
    <row r="291" spans="1:116" ht="15.75" customHeight="1" x14ac:dyDescent="0.25">
      <c r="A291" s="466"/>
      <c r="B291" s="466"/>
      <c r="C291" s="467"/>
      <c r="D291" s="279"/>
      <c r="E291" s="280"/>
      <c r="F291" s="280"/>
      <c r="G291" s="279"/>
      <c r="H291" s="409"/>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82"/>
      <c r="AE291" s="282"/>
      <c r="AF291" s="282"/>
      <c r="AG291" s="282"/>
      <c r="AH291" s="282"/>
      <c r="AI291" s="282"/>
      <c r="AJ291" s="282"/>
      <c r="AK291" s="282"/>
      <c r="AL291" s="282"/>
      <c r="AM291" s="282"/>
      <c r="AN291" s="282"/>
      <c r="AO291" s="282"/>
      <c r="AP291" s="282"/>
      <c r="AQ291" s="282"/>
      <c r="AR291" s="282"/>
      <c r="AS291" s="282"/>
      <c r="AT291" s="282"/>
      <c r="AU291" s="282"/>
      <c r="AV291" s="282"/>
      <c r="AW291" s="282"/>
      <c r="AX291" s="282"/>
      <c r="AY291" s="282"/>
      <c r="AZ291" s="282"/>
      <c r="BA291" s="282"/>
      <c r="BB291" s="282"/>
      <c r="BC291" s="282"/>
      <c r="BD291" s="282"/>
      <c r="BE291" s="282"/>
      <c r="BF291" s="282"/>
      <c r="BG291" s="282"/>
      <c r="BH291" s="282"/>
      <c r="BI291" s="282"/>
      <c r="BJ291" s="278"/>
      <c r="BK291" s="278"/>
      <c r="BL291" s="278"/>
      <c r="BM291" s="278"/>
      <c r="BN291" s="278"/>
      <c r="BO291" s="278"/>
      <c r="BP291" s="278"/>
      <c r="BQ291" s="278"/>
      <c r="BR291" s="278"/>
      <c r="BS291" s="278"/>
      <c r="BT291" s="278"/>
      <c r="BU291" s="278"/>
      <c r="BV291" s="278"/>
      <c r="BW291" s="278"/>
      <c r="BX291" s="278"/>
      <c r="BY291" s="278"/>
      <c r="BZ291" s="278"/>
      <c r="CA291" s="278"/>
      <c r="CB291" s="278"/>
      <c r="CC291" s="278"/>
      <c r="CD291" s="278"/>
      <c r="CE291" s="278"/>
      <c r="CF291" s="278"/>
      <c r="CG291" s="278"/>
      <c r="CH291" s="278"/>
      <c r="CI291" s="278"/>
      <c r="CJ291" s="278"/>
      <c r="CK291" s="278"/>
      <c r="CL291" s="278"/>
      <c r="CM291" s="278"/>
      <c r="CN291" s="278"/>
      <c r="CO291" s="278"/>
      <c r="CP291" s="278"/>
      <c r="CQ291" s="278"/>
      <c r="CR291" s="278"/>
      <c r="CS291" s="278"/>
      <c r="CT291" s="278"/>
      <c r="CU291" s="278"/>
      <c r="CV291" s="278"/>
      <c r="CW291" s="278"/>
      <c r="CX291" s="278"/>
      <c r="CY291" s="278"/>
      <c r="CZ291" s="278"/>
      <c r="DA291" s="278"/>
      <c r="DB291" s="278"/>
      <c r="DC291" s="278"/>
      <c r="DD291" s="278"/>
      <c r="DE291" s="278"/>
      <c r="DF291" s="278"/>
      <c r="DG291" s="278"/>
      <c r="DH291" s="278"/>
      <c r="DI291" s="278"/>
      <c r="DJ291" s="278"/>
      <c r="DK291" s="278"/>
      <c r="DL291" s="278"/>
    </row>
    <row r="292" spans="1:116" ht="15.75" customHeight="1" x14ac:dyDescent="0.25">
      <c r="A292" s="466"/>
      <c r="B292" s="466"/>
      <c r="C292" s="467"/>
      <c r="D292" s="279"/>
      <c r="E292" s="280"/>
      <c r="F292" s="280"/>
      <c r="G292" s="279"/>
      <c r="H292" s="409"/>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282"/>
      <c r="AE292" s="282"/>
      <c r="AF292" s="282"/>
      <c r="AG292" s="282"/>
      <c r="AH292" s="282"/>
      <c r="AI292" s="282"/>
      <c r="AJ292" s="282"/>
      <c r="AK292" s="282"/>
      <c r="AL292" s="282"/>
      <c r="AM292" s="282"/>
      <c r="AN292" s="282"/>
      <c r="AO292" s="282"/>
      <c r="AP292" s="282"/>
      <c r="AQ292" s="282"/>
      <c r="AR292" s="282"/>
      <c r="AS292" s="282"/>
      <c r="AT292" s="282"/>
      <c r="AU292" s="282"/>
      <c r="AV292" s="282"/>
      <c r="AW292" s="282"/>
      <c r="AX292" s="282"/>
      <c r="AY292" s="282"/>
      <c r="AZ292" s="282"/>
      <c r="BA292" s="282"/>
      <c r="BB292" s="282"/>
      <c r="BC292" s="282"/>
      <c r="BD292" s="282"/>
      <c r="BE292" s="282"/>
      <c r="BF292" s="282"/>
      <c r="BG292" s="282"/>
      <c r="BH292" s="282"/>
      <c r="BI292" s="282"/>
      <c r="BJ292" s="278"/>
      <c r="BK292" s="278"/>
      <c r="BL292" s="278"/>
      <c r="BM292" s="278"/>
      <c r="BN292" s="278"/>
      <c r="BO292" s="278"/>
      <c r="BP292" s="278"/>
      <c r="BQ292" s="278"/>
      <c r="BR292" s="278"/>
      <c r="BS292" s="278"/>
      <c r="BT292" s="278"/>
      <c r="BU292" s="278"/>
      <c r="BV292" s="278"/>
      <c r="BW292" s="278"/>
      <c r="BX292" s="278"/>
      <c r="BY292" s="278"/>
      <c r="BZ292" s="278"/>
      <c r="CA292" s="278"/>
      <c r="CB292" s="278"/>
      <c r="CC292" s="278"/>
      <c r="CD292" s="278"/>
      <c r="CE292" s="278"/>
      <c r="CF292" s="278"/>
      <c r="CG292" s="278"/>
      <c r="CH292" s="278"/>
      <c r="CI292" s="278"/>
      <c r="CJ292" s="278"/>
      <c r="CK292" s="278"/>
      <c r="CL292" s="278"/>
      <c r="CM292" s="278"/>
      <c r="CN292" s="278"/>
      <c r="CO292" s="278"/>
      <c r="CP292" s="278"/>
      <c r="CQ292" s="278"/>
      <c r="CR292" s="278"/>
      <c r="CS292" s="278"/>
      <c r="CT292" s="278"/>
      <c r="CU292" s="278"/>
      <c r="CV292" s="278"/>
      <c r="CW292" s="278"/>
      <c r="CX292" s="278"/>
      <c r="CY292" s="278"/>
      <c r="CZ292" s="278"/>
      <c r="DA292" s="278"/>
      <c r="DB292" s="278"/>
      <c r="DC292" s="278"/>
      <c r="DD292" s="278"/>
      <c r="DE292" s="278"/>
      <c r="DF292" s="278"/>
      <c r="DG292" s="278"/>
      <c r="DH292" s="278"/>
      <c r="DI292" s="278"/>
      <c r="DJ292" s="278"/>
      <c r="DK292" s="278"/>
      <c r="DL292" s="278"/>
    </row>
    <row r="293" spans="1:116" ht="15.75" customHeight="1" x14ac:dyDescent="0.25">
      <c r="A293" s="466"/>
      <c r="B293" s="466"/>
      <c r="C293" s="467"/>
      <c r="D293" s="279"/>
      <c r="E293" s="280"/>
      <c r="F293" s="280"/>
      <c r="G293" s="279"/>
      <c r="H293" s="409"/>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282"/>
      <c r="AE293" s="282"/>
      <c r="AF293" s="282"/>
      <c r="AG293" s="282"/>
      <c r="AH293" s="282"/>
      <c r="AI293" s="282"/>
      <c r="AJ293" s="282"/>
      <c r="AK293" s="282"/>
      <c r="AL293" s="282"/>
      <c r="AM293" s="282"/>
      <c r="AN293" s="282"/>
      <c r="AO293" s="282"/>
      <c r="AP293" s="282"/>
      <c r="AQ293" s="282"/>
      <c r="AR293" s="282"/>
      <c r="AS293" s="282"/>
      <c r="AT293" s="282"/>
      <c r="AU293" s="282"/>
      <c r="AV293" s="282"/>
      <c r="AW293" s="282"/>
      <c r="AX293" s="282"/>
      <c r="AY293" s="282"/>
      <c r="AZ293" s="282"/>
      <c r="BA293" s="282"/>
      <c r="BB293" s="282"/>
      <c r="BC293" s="282"/>
      <c r="BD293" s="282"/>
      <c r="BE293" s="282"/>
      <c r="BF293" s="282"/>
      <c r="BG293" s="282"/>
      <c r="BH293" s="282"/>
      <c r="BI293" s="282"/>
      <c r="BJ293" s="278"/>
      <c r="BK293" s="278"/>
      <c r="BL293" s="278"/>
      <c r="BM293" s="278"/>
      <c r="BN293" s="278"/>
      <c r="BO293" s="278"/>
      <c r="BP293" s="278"/>
      <c r="BQ293" s="278"/>
      <c r="BR293" s="278"/>
      <c r="BS293" s="278"/>
      <c r="BT293" s="278"/>
      <c r="BU293" s="278"/>
      <c r="BV293" s="278"/>
      <c r="BW293" s="278"/>
      <c r="BX293" s="278"/>
      <c r="BY293" s="278"/>
      <c r="BZ293" s="278"/>
      <c r="CA293" s="278"/>
      <c r="CB293" s="278"/>
      <c r="CC293" s="278"/>
      <c r="CD293" s="278"/>
      <c r="CE293" s="278"/>
      <c r="CF293" s="278"/>
      <c r="CG293" s="278"/>
      <c r="CH293" s="278"/>
      <c r="CI293" s="278"/>
      <c r="CJ293" s="278"/>
      <c r="CK293" s="278"/>
      <c r="CL293" s="278"/>
      <c r="CM293" s="278"/>
      <c r="CN293" s="278"/>
      <c r="CO293" s="278"/>
      <c r="CP293" s="278"/>
      <c r="CQ293" s="278"/>
      <c r="CR293" s="278"/>
      <c r="CS293" s="278"/>
      <c r="CT293" s="278"/>
      <c r="CU293" s="278"/>
      <c r="CV293" s="278"/>
      <c r="CW293" s="278"/>
      <c r="CX293" s="278"/>
      <c r="CY293" s="278"/>
      <c r="CZ293" s="278"/>
      <c r="DA293" s="278"/>
      <c r="DB293" s="278"/>
      <c r="DC293" s="278"/>
      <c r="DD293" s="278"/>
      <c r="DE293" s="278"/>
      <c r="DF293" s="278"/>
      <c r="DG293" s="278"/>
      <c r="DH293" s="278"/>
      <c r="DI293" s="278"/>
      <c r="DJ293" s="278"/>
      <c r="DK293" s="278"/>
      <c r="DL293" s="278"/>
    </row>
    <row r="294" spans="1:116" ht="15.75" customHeight="1" x14ac:dyDescent="0.25">
      <c r="A294" s="466"/>
      <c r="B294" s="466"/>
      <c r="C294" s="467"/>
      <c r="D294" s="279"/>
      <c r="E294" s="280"/>
      <c r="F294" s="280"/>
      <c r="G294" s="279"/>
      <c r="H294" s="409"/>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c r="AF294" s="282"/>
      <c r="AG294" s="282"/>
      <c r="AH294" s="282"/>
      <c r="AI294" s="282"/>
      <c r="AJ294" s="282"/>
      <c r="AK294" s="282"/>
      <c r="AL294" s="282"/>
      <c r="AM294" s="282"/>
      <c r="AN294" s="282"/>
      <c r="AO294" s="282"/>
      <c r="AP294" s="282"/>
      <c r="AQ294" s="282"/>
      <c r="AR294" s="282"/>
      <c r="AS294" s="282"/>
      <c r="AT294" s="282"/>
      <c r="AU294" s="282"/>
      <c r="AV294" s="282"/>
      <c r="AW294" s="282"/>
      <c r="AX294" s="282"/>
      <c r="AY294" s="282"/>
      <c r="AZ294" s="282"/>
      <c r="BA294" s="282"/>
      <c r="BB294" s="282"/>
      <c r="BC294" s="282"/>
      <c r="BD294" s="282"/>
      <c r="BE294" s="282"/>
      <c r="BF294" s="282"/>
      <c r="BG294" s="282"/>
      <c r="BH294" s="282"/>
      <c r="BI294" s="282"/>
      <c r="BJ294" s="278"/>
      <c r="BK294" s="278"/>
      <c r="BL294" s="278"/>
      <c r="BM294" s="278"/>
      <c r="BN294" s="278"/>
      <c r="BO294" s="278"/>
      <c r="BP294" s="278"/>
      <c r="BQ294" s="278"/>
      <c r="BR294" s="278"/>
      <c r="BS294" s="278"/>
      <c r="BT294" s="278"/>
      <c r="BU294" s="278"/>
      <c r="BV294" s="278"/>
      <c r="BW294" s="278"/>
      <c r="BX294" s="278"/>
      <c r="BY294" s="278"/>
      <c r="BZ294" s="278"/>
      <c r="CA294" s="278"/>
      <c r="CB294" s="278"/>
      <c r="CC294" s="278"/>
      <c r="CD294" s="278"/>
      <c r="CE294" s="278"/>
      <c r="CF294" s="278"/>
      <c r="CG294" s="278"/>
      <c r="CH294" s="278"/>
      <c r="CI294" s="278"/>
      <c r="CJ294" s="278"/>
      <c r="CK294" s="278"/>
      <c r="CL294" s="278"/>
      <c r="CM294" s="278"/>
      <c r="CN294" s="278"/>
      <c r="CO294" s="278"/>
      <c r="CP294" s="278"/>
      <c r="CQ294" s="278"/>
      <c r="CR294" s="278"/>
      <c r="CS294" s="278"/>
      <c r="CT294" s="278"/>
      <c r="CU294" s="278"/>
      <c r="CV294" s="278"/>
      <c r="CW294" s="278"/>
      <c r="CX294" s="278"/>
      <c r="CY294" s="278"/>
      <c r="CZ294" s="278"/>
      <c r="DA294" s="278"/>
      <c r="DB294" s="278"/>
      <c r="DC294" s="278"/>
      <c r="DD294" s="278"/>
      <c r="DE294" s="278"/>
      <c r="DF294" s="278"/>
      <c r="DG294" s="278"/>
      <c r="DH294" s="278"/>
      <c r="DI294" s="278"/>
      <c r="DJ294" s="278"/>
      <c r="DK294" s="278"/>
      <c r="DL294" s="278"/>
    </row>
    <row r="295" spans="1:116" ht="15.75" customHeight="1" x14ac:dyDescent="0.25">
      <c r="A295" s="466"/>
      <c r="B295" s="466"/>
      <c r="C295" s="467"/>
      <c r="D295" s="279"/>
      <c r="E295" s="280"/>
      <c r="F295" s="280"/>
      <c r="G295" s="279"/>
      <c r="H295" s="409"/>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282"/>
      <c r="AE295" s="282"/>
      <c r="AF295" s="282"/>
      <c r="AG295" s="282"/>
      <c r="AH295" s="282"/>
      <c r="AI295" s="282"/>
      <c r="AJ295" s="282"/>
      <c r="AK295" s="282"/>
      <c r="AL295" s="282"/>
      <c r="AM295" s="282"/>
      <c r="AN295" s="282"/>
      <c r="AO295" s="282"/>
      <c r="AP295" s="282"/>
      <c r="AQ295" s="282"/>
      <c r="AR295" s="282"/>
      <c r="AS295" s="282"/>
      <c r="AT295" s="282"/>
      <c r="AU295" s="282"/>
      <c r="AV295" s="282"/>
      <c r="AW295" s="282"/>
      <c r="AX295" s="282"/>
      <c r="AY295" s="282"/>
      <c r="AZ295" s="282"/>
      <c r="BA295" s="282"/>
      <c r="BB295" s="282"/>
      <c r="BC295" s="282"/>
      <c r="BD295" s="282"/>
      <c r="BE295" s="282"/>
      <c r="BF295" s="282"/>
      <c r="BG295" s="282"/>
      <c r="BH295" s="282"/>
      <c r="BI295" s="282"/>
      <c r="BJ295" s="278"/>
      <c r="BK295" s="278"/>
      <c r="BL295" s="278"/>
      <c r="BM295" s="278"/>
      <c r="BN295" s="278"/>
      <c r="BO295" s="278"/>
      <c r="BP295" s="278"/>
      <c r="BQ295" s="278"/>
      <c r="BR295" s="278"/>
      <c r="BS295" s="278"/>
      <c r="BT295" s="278"/>
      <c r="BU295" s="278"/>
      <c r="BV295" s="278"/>
      <c r="BW295" s="278"/>
      <c r="BX295" s="278"/>
      <c r="BY295" s="278"/>
      <c r="BZ295" s="278"/>
      <c r="CA295" s="278"/>
      <c r="CB295" s="278"/>
      <c r="CC295" s="278"/>
      <c r="CD295" s="278"/>
      <c r="CE295" s="278"/>
      <c r="CF295" s="278"/>
      <c r="CG295" s="278"/>
      <c r="CH295" s="278"/>
      <c r="CI295" s="278"/>
      <c r="CJ295" s="278"/>
      <c r="CK295" s="278"/>
      <c r="CL295" s="278"/>
      <c r="CM295" s="278"/>
      <c r="CN295" s="278"/>
      <c r="CO295" s="278"/>
      <c r="CP295" s="278"/>
      <c r="CQ295" s="278"/>
      <c r="CR295" s="278"/>
      <c r="CS295" s="278"/>
      <c r="CT295" s="278"/>
      <c r="CU295" s="278"/>
      <c r="CV295" s="278"/>
      <c r="CW295" s="278"/>
      <c r="CX295" s="278"/>
      <c r="CY295" s="278"/>
      <c r="CZ295" s="278"/>
      <c r="DA295" s="278"/>
      <c r="DB295" s="278"/>
      <c r="DC295" s="278"/>
      <c r="DD295" s="278"/>
      <c r="DE295" s="278"/>
      <c r="DF295" s="278"/>
      <c r="DG295" s="278"/>
      <c r="DH295" s="278"/>
      <c r="DI295" s="278"/>
      <c r="DJ295" s="278"/>
      <c r="DK295" s="278"/>
      <c r="DL295" s="278"/>
    </row>
    <row r="296" spans="1:116" ht="15.75" customHeight="1" x14ac:dyDescent="0.25">
      <c r="A296" s="466"/>
      <c r="B296" s="466"/>
      <c r="C296" s="467"/>
      <c r="D296" s="279"/>
      <c r="E296" s="280"/>
      <c r="F296" s="280"/>
      <c r="G296" s="279"/>
      <c r="H296" s="409"/>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82"/>
      <c r="AE296" s="282"/>
      <c r="AF296" s="282"/>
      <c r="AG296" s="282"/>
      <c r="AH296" s="282"/>
      <c r="AI296" s="282"/>
      <c r="AJ296" s="282"/>
      <c r="AK296" s="282"/>
      <c r="AL296" s="282"/>
      <c r="AM296" s="282"/>
      <c r="AN296" s="282"/>
      <c r="AO296" s="282"/>
      <c r="AP296" s="282"/>
      <c r="AQ296" s="282"/>
      <c r="AR296" s="282"/>
      <c r="AS296" s="282"/>
      <c r="AT296" s="282"/>
      <c r="AU296" s="282"/>
      <c r="AV296" s="282"/>
      <c r="AW296" s="282"/>
      <c r="AX296" s="282"/>
      <c r="AY296" s="282"/>
      <c r="AZ296" s="282"/>
      <c r="BA296" s="282"/>
      <c r="BB296" s="282"/>
      <c r="BC296" s="282"/>
      <c r="BD296" s="282"/>
      <c r="BE296" s="282"/>
      <c r="BF296" s="282"/>
      <c r="BG296" s="282"/>
      <c r="BH296" s="282"/>
      <c r="BI296" s="282"/>
      <c r="BJ296" s="278"/>
      <c r="BK296" s="278"/>
      <c r="BL296" s="278"/>
      <c r="BM296" s="278"/>
      <c r="BN296" s="278"/>
      <c r="BO296" s="278"/>
      <c r="BP296" s="278"/>
      <c r="BQ296" s="278"/>
      <c r="BR296" s="278"/>
      <c r="BS296" s="278"/>
      <c r="BT296" s="278"/>
      <c r="BU296" s="278"/>
      <c r="BV296" s="278"/>
      <c r="BW296" s="278"/>
      <c r="BX296" s="278"/>
      <c r="BY296" s="278"/>
      <c r="BZ296" s="278"/>
      <c r="CA296" s="278"/>
      <c r="CB296" s="278"/>
      <c r="CC296" s="278"/>
      <c r="CD296" s="278"/>
      <c r="CE296" s="278"/>
      <c r="CF296" s="278"/>
      <c r="CG296" s="278"/>
      <c r="CH296" s="278"/>
      <c r="CI296" s="278"/>
      <c r="CJ296" s="278"/>
      <c r="CK296" s="278"/>
      <c r="CL296" s="278"/>
      <c r="CM296" s="278"/>
      <c r="CN296" s="278"/>
      <c r="CO296" s="278"/>
      <c r="CP296" s="278"/>
      <c r="CQ296" s="278"/>
      <c r="CR296" s="278"/>
      <c r="CS296" s="278"/>
      <c r="CT296" s="278"/>
      <c r="CU296" s="278"/>
      <c r="CV296" s="278"/>
      <c r="CW296" s="278"/>
      <c r="CX296" s="278"/>
      <c r="CY296" s="278"/>
      <c r="CZ296" s="278"/>
      <c r="DA296" s="278"/>
      <c r="DB296" s="278"/>
      <c r="DC296" s="278"/>
      <c r="DD296" s="278"/>
      <c r="DE296" s="278"/>
      <c r="DF296" s="278"/>
      <c r="DG296" s="278"/>
      <c r="DH296" s="278"/>
      <c r="DI296" s="278"/>
      <c r="DJ296" s="278"/>
      <c r="DK296" s="278"/>
      <c r="DL296" s="278"/>
    </row>
    <row r="297" spans="1:116" ht="15.75" customHeight="1" x14ac:dyDescent="0.25">
      <c r="A297" s="466"/>
      <c r="B297" s="466"/>
      <c r="C297" s="467"/>
      <c r="D297" s="279"/>
      <c r="E297" s="280"/>
      <c r="F297" s="280"/>
      <c r="G297" s="279"/>
      <c r="H297" s="409"/>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282"/>
      <c r="AE297" s="282"/>
      <c r="AF297" s="282"/>
      <c r="AG297" s="282"/>
      <c r="AH297" s="282"/>
      <c r="AI297" s="282"/>
      <c r="AJ297" s="282"/>
      <c r="AK297" s="282"/>
      <c r="AL297" s="282"/>
      <c r="AM297" s="282"/>
      <c r="AN297" s="282"/>
      <c r="AO297" s="282"/>
      <c r="AP297" s="282"/>
      <c r="AQ297" s="282"/>
      <c r="AR297" s="282"/>
      <c r="AS297" s="282"/>
      <c r="AT297" s="282"/>
      <c r="AU297" s="282"/>
      <c r="AV297" s="282"/>
      <c r="AW297" s="282"/>
      <c r="AX297" s="282"/>
      <c r="AY297" s="282"/>
      <c r="AZ297" s="282"/>
      <c r="BA297" s="282"/>
      <c r="BB297" s="282"/>
      <c r="BC297" s="282"/>
      <c r="BD297" s="282"/>
      <c r="BE297" s="282"/>
      <c r="BF297" s="282"/>
      <c r="BG297" s="282"/>
      <c r="BH297" s="282"/>
      <c r="BI297" s="282"/>
      <c r="BJ297" s="278"/>
      <c r="BK297" s="278"/>
      <c r="BL297" s="278"/>
      <c r="BM297" s="278"/>
      <c r="BN297" s="278"/>
      <c r="BO297" s="278"/>
      <c r="BP297" s="278"/>
      <c r="BQ297" s="278"/>
      <c r="BR297" s="278"/>
      <c r="BS297" s="278"/>
      <c r="BT297" s="278"/>
      <c r="BU297" s="278"/>
      <c r="BV297" s="278"/>
      <c r="BW297" s="278"/>
      <c r="BX297" s="278"/>
      <c r="BY297" s="278"/>
      <c r="BZ297" s="278"/>
      <c r="CA297" s="278"/>
      <c r="CB297" s="278"/>
      <c r="CC297" s="278"/>
      <c r="CD297" s="278"/>
      <c r="CE297" s="278"/>
      <c r="CF297" s="278"/>
      <c r="CG297" s="278"/>
      <c r="CH297" s="278"/>
      <c r="CI297" s="278"/>
      <c r="CJ297" s="278"/>
      <c r="CK297" s="278"/>
      <c r="CL297" s="278"/>
      <c r="CM297" s="278"/>
      <c r="CN297" s="278"/>
      <c r="CO297" s="278"/>
      <c r="CP297" s="278"/>
      <c r="CQ297" s="278"/>
      <c r="CR297" s="278"/>
      <c r="CS297" s="278"/>
      <c r="CT297" s="278"/>
      <c r="CU297" s="278"/>
      <c r="CV297" s="278"/>
      <c r="CW297" s="278"/>
      <c r="CX297" s="278"/>
      <c r="CY297" s="278"/>
      <c r="CZ297" s="278"/>
      <c r="DA297" s="278"/>
      <c r="DB297" s="278"/>
      <c r="DC297" s="278"/>
      <c r="DD297" s="278"/>
      <c r="DE297" s="278"/>
      <c r="DF297" s="278"/>
      <c r="DG297" s="278"/>
      <c r="DH297" s="278"/>
      <c r="DI297" s="278"/>
      <c r="DJ297" s="278"/>
      <c r="DK297" s="278"/>
      <c r="DL297" s="278"/>
    </row>
    <row r="298" spans="1:116" ht="15.75" customHeight="1" x14ac:dyDescent="0.25">
      <c r="A298" s="466"/>
      <c r="B298" s="466"/>
      <c r="C298" s="467"/>
      <c r="D298" s="279"/>
      <c r="E298" s="280"/>
      <c r="F298" s="280"/>
      <c r="G298" s="279"/>
      <c r="H298" s="409"/>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282"/>
      <c r="AE298" s="282"/>
      <c r="AF298" s="282"/>
      <c r="AG298" s="282"/>
      <c r="AH298" s="282"/>
      <c r="AI298" s="282"/>
      <c r="AJ298" s="282"/>
      <c r="AK298" s="282"/>
      <c r="AL298" s="282"/>
      <c r="AM298" s="282"/>
      <c r="AN298" s="282"/>
      <c r="AO298" s="282"/>
      <c r="AP298" s="282"/>
      <c r="AQ298" s="282"/>
      <c r="AR298" s="282"/>
      <c r="AS298" s="282"/>
      <c r="AT298" s="282"/>
      <c r="AU298" s="282"/>
      <c r="AV298" s="282"/>
      <c r="AW298" s="282"/>
      <c r="AX298" s="282"/>
      <c r="AY298" s="282"/>
      <c r="AZ298" s="282"/>
      <c r="BA298" s="282"/>
      <c r="BB298" s="282"/>
      <c r="BC298" s="282"/>
      <c r="BD298" s="282"/>
      <c r="BE298" s="282"/>
      <c r="BF298" s="282"/>
      <c r="BG298" s="282"/>
      <c r="BH298" s="282"/>
      <c r="BI298" s="282"/>
      <c r="BJ298" s="278"/>
      <c r="BK298" s="278"/>
      <c r="BL298" s="278"/>
      <c r="BM298" s="278"/>
      <c r="BN298" s="278"/>
      <c r="BO298" s="278"/>
      <c r="BP298" s="278"/>
      <c r="BQ298" s="278"/>
      <c r="BR298" s="278"/>
      <c r="BS298" s="278"/>
      <c r="BT298" s="278"/>
      <c r="BU298" s="278"/>
      <c r="BV298" s="278"/>
      <c r="BW298" s="278"/>
      <c r="BX298" s="278"/>
      <c r="BY298" s="278"/>
      <c r="BZ298" s="278"/>
      <c r="CA298" s="278"/>
      <c r="CB298" s="278"/>
      <c r="CC298" s="278"/>
      <c r="CD298" s="278"/>
      <c r="CE298" s="278"/>
      <c r="CF298" s="278"/>
      <c r="CG298" s="278"/>
      <c r="CH298" s="278"/>
      <c r="CI298" s="278"/>
      <c r="CJ298" s="278"/>
      <c r="CK298" s="278"/>
      <c r="CL298" s="278"/>
      <c r="CM298" s="278"/>
      <c r="CN298" s="278"/>
      <c r="CO298" s="278"/>
      <c r="CP298" s="278"/>
      <c r="CQ298" s="278"/>
      <c r="CR298" s="278"/>
      <c r="CS298" s="278"/>
      <c r="CT298" s="278"/>
      <c r="CU298" s="278"/>
      <c r="CV298" s="278"/>
      <c r="CW298" s="278"/>
      <c r="CX298" s="278"/>
      <c r="CY298" s="278"/>
      <c r="CZ298" s="278"/>
      <c r="DA298" s="278"/>
      <c r="DB298" s="278"/>
      <c r="DC298" s="278"/>
      <c r="DD298" s="278"/>
      <c r="DE298" s="278"/>
      <c r="DF298" s="278"/>
      <c r="DG298" s="278"/>
      <c r="DH298" s="278"/>
      <c r="DI298" s="278"/>
      <c r="DJ298" s="278"/>
      <c r="DK298" s="278"/>
      <c r="DL298" s="278"/>
    </row>
    <row r="299" spans="1:116" ht="15.75" customHeight="1" x14ac:dyDescent="0.25">
      <c r="A299" s="466"/>
      <c r="B299" s="466"/>
      <c r="C299" s="467"/>
      <c r="D299" s="279"/>
      <c r="E299" s="280"/>
      <c r="F299" s="280"/>
      <c r="G299" s="279"/>
      <c r="H299" s="409"/>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282"/>
      <c r="AE299" s="282"/>
      <c r="AF299" s="282"/>
      <c r="AG299" s="282"/>
      <c r="AH299" s="282"/>
      <c r="AI299" s="282"/>
      <c r="AJ299" s="282"/>
      <c r="AK299" s="282"/>
      <c r="AL299" s="282"/>
      <c r="AM299" s="282"/>
      <c r="AN299" s="282"/>
      <c r="AO299" s="282"/>
      <c r="AP299" s="282"/>
      <c r="AQ299" s="282"/>
      <c r="AR299" s="282"/>
      <c r="AS299" s="282"/>
      <c r="AT299" s="282"/>
      <c r="AU299" s="282"/>
      <c r="AV299" s="282"/>
      <c r="AW299" s="282"/>
      <c r="AX299" s="282"/>
      <c r="AY299" s="282"/>
      <c r="AZ299" s="282"/>
      <c r="BA299" s="282"/>
      <c r="BB299" s="282"/>
      <c r="BC299" s="282"/>
      <c r="BD299" s="282"/>
      <c r="BE299" s="282"/>
      <c r="BF299" s="282"/>
      <c r="BG299" s="282"/>
      <c r="BH299" s="282"/>
      <c r="BI299" s="282"/>
      <c r="BJ299" s="278"/>
      <c r="BK299" s="278"/>
      <c r="BL299" s="278"/>
      <c r="BM299" s="278"/>
      <c r="BN299" s="278"/>
      <c r="BO299" s="278"/>
      <c r="BP299" s="278"/>
      <c r="BQ299" s="278"/>
      <c r="BR299" s="278"/>
      <c r="BS299" s="278"/>
      <c r="BT299" s="278"/>
      <c r="BU299" s="278"/>
      <c r="BV299" s="278"/>
      <c r="BW299" s="278"/>
      <c r="BX299" s="278"/>
      <c r="BY299" s="278"/>
      <c r="BZ299" s="278"/>
      <c r="CA299" s="278"/>
      <c r="CB299" s="278"/>
      <c r="CC299" s="278"/>
      <c r="CD299" s="278"/>
      <c r="CE299" s="278"/>
      <c r="CF299" s="278"/>
      <c r="CG299" s="278"/>
      <c r="CH299" s="278"/>
      <c r="CI299" s="278"/>
      <c r="CJ299" s="278"/>
      <c r="CK299" s="278"/>
      <c r="CL299" s="278"/>
      <c r="CM299" s="278"/>
      <c r="CN299" s="278"/>
      <c r="CO299" s="278"/>
      <c r="CP299" s="278"/>
      <c r="CQ299" s="278"/>
      <c r="CR299" s="278"/>
      <c r="CS299" s="278"/>
      <c r="CT299" s="278"/>
      <c r="CU299" s="278"/>
      <c r="CV299" s="278"/>
      <c r="CW299" s="278"/>
      <c r="CX299" s="278"/>
      <c r="CY299" s="278"/>
      <c r="CZ299" s="278"/>
      <c r="DA299" s="278"/>
      <c r="DB299" s="278"/>
      <c r="DC299" s="278"/>
      <c r="DD299" s="278"/>
      <c r="DE299" s="278"/>
      <c r="DF299" s="278"/>
      <c r="DG299" s="278"/>
      <c r="DH299" s="278"/>
      <c r="DI299" s="278"/>
      <c r="DJ299" s="278"/>
      <c r="DK299" s="278"/>
      <c r="DL299" s="278"/>
    </row>
    <row r="300" spans="1:116" ht="15.75" customHeight="1" x14ac:dyDescent="0.25">
      <c r="A300" s="468"/>
      <c r="B300" s="469"/>
      <c r="C300" s="278"/>
      <c r="D300" s="389"/>
      <c r="E300" s="470"/>
      <c r="F300" s="470"/>
      <c r="G300" s="389"/>
      <c r="H300" s="471"/>
      <c r="I300" s="278"/>
      <c r="J300" s="278"/>
      <c r="K300" s="278"/>
      <c r="L300" s="278"/>
      <c r="M300" s="278"/>
      <c r="N300" s="278"/>
      <c r="O300" s="278"/>
      <c r="P300" s="278"/>
      <c r="Q300" s="278"/>
      <c r="R300" s="278"/>
      <c r="S300" s="278"/>
      <c r="T300" s="278"/>
      <c r="U300" s="278"/>
      <c r="V300" s="278"/>
      <c r="W300" s="278"/>
      <c r="X300" s="278"/>
      <c r="Y300" s="278"/>
      <c r="Z300" s="278"/>
      <c r="AA300" s="278"/>
      <c r="AB300" s="278"/>
      <c r="AC300" s="278"/>
      <c r="AD300" s="278"/>
      <c r="AE300" s="278"/>
      <c r="AF300" s="278"/>
      <c r="AG300" s="278"/>
      <c r="AH300" s="278"/>
      <c r="AI300" s="278"/>
      <c r="AJ300" s="278"/>
      <c r="AK300" s="278"/>
      <c r="AL300" s="278"/>
      <c r="AM300" s="278"/>
      <c r="AN300" s="278"/>
      <c r="AO300" s="278"/>
      <c r="AP300" s="278"/>
      <c r="AQ300" s="278"/>
      <c r="AR300" s="278"/>
      <c r="AS300" s="278"/>
      <c r="AT300" s="278"/>
      <c r="AU300" s="278"/>
      <c r="AV300" s="278"/>
      <c r="AW300" s="278"/>
      <c r="AX300" s="278"/>
      <c r="AY300" s="278"/>
      <c r="AZ300" s="278"/>
      <c r="BA300" s="278"/>
      <c r="BB300" s="278"/>
      <c r="BC300" s="278"/>
      <c r="BD300" s="278"/>
      <c r="BE300" s="278"/>
      <c r="BF300" s="278"/>
      <c r="BG300" s="278"/>
      <c r="BH300" s="278"/>
      <c r="BI300" s="278"/>
      <c r="BJ300" s="278"/>
      <c r="BK300" s="278"/>
      <c r="BL300" s="278"/>
      <c r="BM300" s="278"/>
      <c r="BN300" s="278"/>
      <c r="BO300" s="278"/>
      <c r="BP300" s="278"/>
      <c r="BQ300" s="278"/>
      <c r="BR300" s="278"/>
      <c r="BS300" s="278"/>
      <c r="BT300" s="278"/>
      <c r="BU300" s="278"/>
      <c r="BV300" s="278"/>
      <c r="BW300" s="278"/>
      <c r="BX300" s="278"/>
      <c r="BY300" s="278"/>
      <c r="BZ300" s="278"/>
      <c r="CA300" s="278"/>
      <c r="CB300" s="278"/>
      <c r="CC300" s="278"/>
      <c r="CD300" s="278"/>
      <c r="CE300" s="278"/>
      <c r="CF300" s="278"/>
      <c r="CG300" s="278"/>
      <c r="CH300" s="278"/>
      <c r="CI300" s="278"/>
      <c r="CJ300" s="278"/>
      <c r="CK300" s="278"/>
      <c r="CL300" s="278"/>
      <c r="CM300" s="278"/>
      <c r="CN300" s="278"/>
      <c r="CO300" s="278"/>
      <c r="CP300" s="278"/>
      <c r="CQ300" s="278"/>
      <c r="CR300" s="278"/>
      <c r="CS300" s="278"/>
      <c r="CT300" s="278"/>
      <c r="CU300" s="278"/>
      <c r="CV300" s="278"/>
      <c r="CW300" s="278"/>
      <c r="CX300" s="278"/>
      <c r="CY300" s="278"/>
      <c r="CZ300" s="278"/>
      <c r="DA300" s="278"/>
      <c r="DB300" s="278"/>
      <c r="DC300" s="278"/>
      <c r="DD300" s="278"/>
      <c r="DE300" s="278"/>
      <c r="DF300" s="278"/>
      <c r="DG300" s="278"/>
      <c r="DH300" s="278"/>
      <c r="DI300" s="278"/>
      <c r="DJ300" s="278"/>
      <c r="DK300" s="278"/>
      <c r="DL300" s="278"/>
    </row>
    <row r="301" spans="1:116" ht="15.75" customHeight="1" x14ac:dyDescent="0.25">
      <c r="A301" s="468"/>
      <c r="B301" s="469"/>
      <c r="C301" s="278"/>
      <c r="D301" s="389"/>
      <c r="E301" s="470"/>
      <c r="F301" s="470"/>
      <c r="G301" s="389"/>
      <c r="H301" s="471"/>
      <c r="I301" s="278"/>
      <c r="J301" s="278"/>
      <c r="K301" s="278"/>
      <c r="L301" s="278"/>
      <c r="M301" s="278"/>
      <c r="N301" s="278"/>
      <c r="O301" s="278"/>
      <c r="P301" s="278"/>
      <c r="Q301" s="278"/>
      <c r="R301" s="278"/>
      <c r="S301" s="278"/>
      <c r="T301" s="278"/>
      <c r="U301" s="278"/>
      <c r="V301" s="278"/>
      <c r="W301" s="278"/>
      <c r="X301" s="278"/>
      <c r="Y301" s="278"/>
      <c r="Z301" s="278"/>
      <c r="AA301" s="278"/>
      <c r="AB301" s="278"/>
      <c r="AC301" s="278"/>
      <c r="AD301" s="278"/>
      <c r="AE301" s="278"/>
      <c r="AF301" s="278"/>
      <c r="AG301" s="278"/>
      <c r="AH301" s="278"/>
      <c r="AI301" s="278"/>
      <c r="AJ301" s="278"/>
      <c r="AK301" s="278"/>
      <c r="AL301" s="278"/>
      <c r="AM301" s="278"/>
      <c r="AN301" s="278"/>
      <c r="AO301" s="278"/>
      <c r="AP301" s="278"/>
      <c r="AQ301" s="278"/>
      <c r="AR301" s="278"/>
      <c r="AS301" s="278"/>
      <c r="AT301" s="278"/>
      <c r="AU301" s="278"/>
      <c r="AV301" s="278"/>
      <c r="AW301" s="278"/>
      <c r="AX301" s="278"/>
      <c r="AY301" s="278"/>
      <c r="AZ301" s="278"/>
      <c r="BA301" s="278"/>
      <c r="BB301" s="278"/>
      <c r="BC301" s="278"/>
      <c r="BD301" s="278"/>
      <c r="BE301" s="278"/>
      <c r="BF301" s="278"/>
      <c r="BG301" s="278"/>
      <c r="BH301" s="278"/>
      <c r="BI301" s="278"/>
      <c r="BJ301" s="278"/>
      <c r="BK301" s="278"/>
      <c r="BL301" s="278"/>
      <c r="BM301" s="278"/>
      <c r="BN301" s="278"/>
      <c r="BO301" s="278"/>
      <c r="BP301" s="278"/>
      <c r="BQ301" s="278"/>
      <c r="BR301" s="278"/>
      <c r="BS301" s="278"/>
      <c r="BT301" s="278"/>
      <c r="BU301" s="278"/>
      <c r="BV301" s="278"/>
      <c r="BW301" s="278"/>
      <c r="BX301" s="278"/>
      <c r="BY301" s="278"/>
      <c r="BZ301" s="278"/>
      <c r="CA301" s="278"/>
      <c r="CB301" s="278"/>
      <c r="CC301" s="278"/>
      <c r="CD301" s="278"/>
      <c r="CE301" s="278"/>
      <c r="CF301" s="278"/>
      <c r="CG301" s="278"/>
      <c r="CH301" s="278"/>
      <c r="CI301" s="278"/>
      <c r="CJ301" s="278"/>
      <c r="CK301" s="278"/>
      <c r="CL301" s="278"/>
      <c r="CM301" s="278"/>
      <c r="CN301" s="278"/>
      <c r="CO301" s="278"/>
      <c r="CP301" s="278"/>
      <c r="CQ301" s="278"/>
      <c r="CR301" s="278"/>
      <c r="CS301" s="278"/>
      <c r="CT301" s="278"/>
      <c r="CU301" s="278"/>
      <c r="CV301" s="278"/>
      <c r="CW301" s="278"/>
      <c r="CX301" s="278"/>
      <c r="CY301" s="278"/>
      <c r="CZ301" s="278"/>
      <c r="DA301" s="278"/>
      <c r="DB301" s="278"/>
      <c r="DC301" s="278"/>
      <c r="DD301" s="278"/>
      <c r="DE301" s="278"/>
      <c r="DF301" s="278"/>
      <c r="DG301" s="278"/>
      <c r="DH301" s="278"/>
      <c r="DI301" s="278"/>
      <c r="DJ301" s="278"/>
      <c r="DK301" s="278"/>
      <c r="DL301" s="278"/>
    </row>
    <row r="302" spans="1:116" ht="15.75" customHeight="1" x14ac:dyDescent="0.25">
      <c r="A302" s="468"/>
      <c r="B302" s="469"/>
      <c r="C302" s="278"/>
      <c r="D302" s="389"/>
      <c r="E302" s="470"/>
      <c r="F302" s="470"/>
      <c r="G302" s="389"/>
      <c r="H302" s="471"/>
      <c r="I302" s="278"/>
      <c r="J302" s="278"/>
      <c r="K302" s="278"/>
      <c r="L302" s="278"/>
      <c r="M302" s="278"/>
      <c r="N302" s="278"/>
      <c r="O302" s="278"/>
      <c r="P302" s="278"/>
      <c r="Q302" s="278"/>
      <c r="R302" s="278"/>
      <c r="S302" s="278"/>
      <c r="T302" s="278"/>
      <c r="U302" s="278"/>
      <c r="V302" s="278"/>
      <c r="W302" s="278"/>
      <c r="X302" s="278"/>
      <c r="Y302" s="278"/>
      <c r="Z302" s="278"/>
      <c r="AA302" s="278"/>
      <c r="AB302" s="278"/>
      <c r="AC302" s="278"/>
      <c r="AD302" s="278"/>
      <c r="AE302" s="278"/>
      <c r="AF302" s="278"/>
      <c r="AG302" s="278"/>
      <c r="AH302" s="278"/>
      <c r="AI302" s="278"/>
      <c r="AJ302" s="278"/>
      <c r="AK302" s="278"/>
      <c r="AL302" s="278"/>
      <c r="AM302" s="278"/>
      <c r="AN302" s="278"/>
      <c r="AO302" s="278"/>
      <c r="AP302" s="278"/>
      <c r="AQ302" s="278"/>
      <c r="AR302" s="278"/>
      <c r="AS302" s="278"/>
      <c r="AT302" s="278"/>
      <c r="AU302" s="278"/>
      <c r="AV302" s="278"/>
      <c r="AW302" s="278"/>
      <c r="AX302" s="278"/>
      <c r="AY302" s="278"/>
      <c r="AZ302" s="278"/>
      <c r="BA302" s="278"/>
      <c r="BB302" s="278"/>
      <c r="BC302" s="278"/>
      <c r="BD302" s="278"/>
      <c r="BE302" s="278"/>
      <c r="BF302" s="278"/>
      <c r="BG302" s="278"/>
      <c r="BH302" s="278"/>
      <c r="BI302" s="278"/>
      <c r="BJ302" s="278"/>
      <c r="BK302" s="278"/>
      <c r="BL302" s="278"/>
      <c r="BM302" s="278"/>
      <c r="BN302" s="278"/>
      <c r="BO302" s="278"/>
      <c r="BP302" s="278"/>
      <c r="BQ302" s="278"/>
      <c r="BR302" s="278"/>
      <c r="BS302" s="278"/>
      <c r="BT302" s="278"/>
      <c r="BU302" s="278"/>
      <c r="BV302" s="278"/>
      <c r="BW302" s="278"/>
      <c r="BX302" s="278"/>
      <c r="BY302" s="278"/>
      <c r="BZ302" s="278"/>
      <c r="CA302" s="278"/>
      <c r="CB302" s="278"/>
      <c r="CC302" s="278"/>
      <c r="CD302" s="278"/>
      <c r="CE302" s="278"/>
      <c r="CF302" s="278"/>
      <c r="CG302" s="278"/>
      <c r="CH302" s="278"/>
      <c r="CI302" s="278"/>
      <c r="CJ302" s="278"/>
      <c r="CK302" s="278"/>
      <c r="CL302" s="278"/>
      <c r="CM302" s="278"/>
      <c r="CN302" s="278"/>
      <c r="CO302" s="278"/>
      <c r="CP302" s="278"/>
      <c r="CQ302" s="278"/>
      <c r="CR302" s="278"/>
      <c r="CS302" s="278"/>
      <c r="CT302" s="278"/>
      <c r="CU302" s="278"/>
      <c r="CV302" s="278"/>
      <c r="CW302" s="278"/>
      <c r="CX302" s="278"/>
      <c r="CY302" s="278"/>
      <c r="CZ302" s="278"/>
      <c r="DA302" s="278"/>
      <c r="DB302" s="278"/>
      <c r="DC302" s="278"/>
      <c r="DD302" s="278"/>
      <c r="DE302" s="278"/>
      <c r="DF302" s="278"/>
      <c r="DG302" s="278"/>
      <c r="DH302" s="278"/>
      <c r="DI302" s="278"/>
      <c r="DJ302" s="278"/>
      <c r="DK302" s="278"/>
      <c r="DL302" s="278"/>
    </row>
    <row r="303" spans="1:116" ht="15.75" customHeight="1" x14ac:dyDescent="0.25">
      <c r="A303" s="468"/>
      <c r="B303" s="469"/>
      <c r="C303" s="278"/>
      <c r="D303" s="389"/>
      <c r="E303" s="470"/>
      <c r="F303" s="470"/>
      <c r="G303" s="389"/>
      <c r="H303" s="471"/>
      <c r="I303" s="278"/>
      <c r="J303" s="278"/>
      <c r="K303" s="278"/>
      <c r="L303" s="278"/>
      <c r="M303" s="278"/>
      <c r="N303" s="278"/>
      <c r="O303" s="278"/>
      <c r="P303" s="278"/>
      <c r="Q303" s="278"/>
      <c r="R303" s="278"/>
      <c r="S303" s="278"/>
      <c r="T303" s="278"/>
      <c r="U303" s="278"/>
      <c r="V303" s="278"/>
      <c r="W303" s="278"/>
      <c r="X303" s="278"/>
      <c r="Y303" s="278"/>
      <c r="Z303" s="278"/>
      <c r="AA303" s="278"/>
      <c r="AB303" s="278"/>
      <c r="AC303" s="278"/>
      <c r="AD303" s="278"/>
      <c r="AE303" s="278"/>
      <c r="AF303" s="278"/>
      <c r="AG303" s="278"/>
      <c r="AH303" s="278"/>
      <c r="AI303" s="278"/>
      <c r="AJ303" s="278"/>
      <c r="AK303" s="278"/>
      <c r="AL303" s="278"/>
      <c r="AM303" s="278"/>
      <c r="AN303" s="278"/>
      <c r="AO303" s="278"/>
      <c r="AP303" s="278"/>
      <c r="AQ303" s="278"/>
      <c r="AR303" s="278"/>
      <c r="AS303" s="278"/>
      <c r="AT303" s="278"/>
      <c r="AU303" s="278"/>
      <c r="AV303" s="278"/>
      <c r="AW303" s="278"/>
      <c r="AX303" s="278"/>
      <c r="AY303" s="278"/>
      <c r="AZ303" s="278"/>
      <c r="BA303" s="278"/>
      <c r="BB303" s="278"/>
      <c r="BC303" s="278"/>
      <c r="BD303" s="278"/>
      <c r="BE303" s="278"/>
      <c r="BF303" s="278"/>
      <c r="BG303" s="278"/>
      <c r="BH303" s="278"/>
      <c r="BI303" s="278"/>
      <c r="BJ303" s="278"/>
      <c r="BK303" s="278"/>
      <c r="BL303" s="278"/>
      <c r="BM303" s="278"/>
      <c r="BN303" s="278"/>
      <c r="BO303" s="278"/>
      <c r="BP303" s="278"/>
      <c r="BQ303" s="278"/>
      <c r="BR303" s="278"/>
      <c r="BS303" s="278"/>
      <c r="BT303" s="278"/>
      <c r="BU303" s="278"/>
      <c r="BV303" s="278"/>
      <c r="BW303" s="278"/>
      <c r="BX303" s="278"/>
      <c r="BY303" s="278"/>
      <c r="BZ303" s="278"/>
      <c r="CA303" s="278"/>
      <c r="CB303" s="278"/>
      <c r="CC303" s="278"/>
      <c r="CD303" s="278"/>
      <c r="CE303" s="278"/>
      <c r="CF303" s="278"/>
      <c r="CG303" s="278"/>
      <c r="CH303" s="278"/>
      <c r="CI303" s="278"/>
      <c r="CJ303" s="278"/>
      <c r="CK303" s="278"/>
      <c r="CL303" s="278"/>
      <c r="CM303" s="278"/>
      <c r="CN303" s="278"/>
      <c r="CO303" s="278"/>
      <c r="CP303" s="278"/>
      <c r="CQ303" s="278"/>
      <c r="CR303" s="278"/>
      <c r="CS303" s="278"/>
      <c r="CT303" s="278"/>
      <c r="CU303" s="278"/>
      <c r="CV303" s="278"/>
      <c r="CW303" s="278"/>
      <c r="CX303" s="278"/>
      <c r="CY303" s="278"/>
      <c r="CZ303" s="278"/>
      <c r="DA303" s="278"/>
      <c r="DB303" s="278"/>
      <c r="DC303" s="278"/>
      <c r="DD303" s="278"/>
      <c r="DE303" s="278"/>
      <c r="DF303" s="278"/>
      <c r="DG303" s="278"/>
      <c r="DH303" s="278"/>
      <c r="DI303" s="278"/>
      <c r="DJ303" s="278"/>
      <c r="DK303" s="278"/>
      <c r="DL303" s="278"/>
    </row>
    <row r="304" spans="1:116" ht="15.75" customHeight="1" x14ac:dyDescent="0.25">
      <c r="A304" s="468"/>
      <c r="B304" s="469"/>
      <c r="C304" s="278"/>
      <c r="D304" s="389"/>
      <c r="E304" s="470"/>
      <c r="F304" s="470"/>
      <c r="G304" s="389"/>
      <c r="H304" s="471"/>
      <c r="I304" s="278"/>
      <c r="J304" s="278"/>
      <c r="K304" s="278"/>
      <c r="L304" s="278"/>
      <c r="M304" s="278"/>
      <c r="N304" s="278"/>
      <c r="O304" s="278"/>
      <c r="P304" s="278"/>
      <c r="Q304" s="278"/>
      <c r="R304" s="278"/>
      <c r="S304" s="278"/>
      <c r="T304" s="278"/>
      <c r="U304" s="278"/>
      <c r="V304" s="278"/>
      <c r="W304" s="278"/>
      <c r="X304" s="278"/>
      <c r="Y304" s="278"/>
      <c r="Z304" s="278"/>
      <c r="AA304" s="278"/>
      <c r="AB304" s="278"/>
      <c r="AC304" s="278"/>
      <c r="AD304" s="278"/>
      <c r="AE304" s="278"/>
      <c r="AF304" s="278"/>
      <c r="AG304" s="278"/>
      <c r="AH304" s="278"/>
      <c r="AI304" s="278"/>
      <c r="AJ304" s="278"/>
      <c r="AK304" s="278"/>
      <c r="AL304" s="278"/>
      <c r="AM304" s="278"/>
      <c r="AN304" s="278"/>
      <c r="AO304" s="278"/>
      <c r="AP304" s="278"/>
      <c r="AQ304" s="278"/>
      <c r="AR304" s="278"/>
      <c r="AS304" s="278"/>
      <c r="AT304" s="278"/>
      <c r="AU304" s="278"/>
      <c r="AV304" s="278"/>
      <c r="AW304" s="278"/>
      <c r="AX304" s="278"/>
      <c r="AY304" s="278"/>
      <c r="AZ304" s="278"/>
      <c r="BA304" s="278"/>
      <c r="BB304" s="278"/>
      <c r="BC304" s="278"/>
      <c r="BD304" s="278"/>
      <c r="BE304" s="278"/>
      <c r="BF304" s="278"/>
      <c r="BG304" s="278"/>
      <c r="BH304" s="278"/>
      <c r="BI304" s="278"/>
      <c r="BJ304" s="278"/>
      <c r="BK304" s="278"/>
      <c r="BL304" s="278"/>
      <c r="BM304" s="278"/>
      <c r="BN304" s="278"/>
      <c r="BO304" s="278"/>
      <c r="BP304" s="278"/>
      <c r="BQ304" s="278"/>
      <c r="BR304" s="278"/>
      <c r="BS304" s="278"/>
      <c r="BT304" s="278"/>
      <c r="BU304" s="278"/>
      <c r="BV304" s="278"/>
      <c r="BW304" s="278"/>
      <c r="BX304" s="278"/>
      <c r="BY304" s="278"/>
      <c r="BZ304" s="278"/>
      <c r="CA304" s="278"/>
      <c r="CB304" s="278"/>
      <c r="CC304" s="278"/>
      <c r="CD304" s="278"/>
      <c r="CE304" s="278"/>
      <c r="CF304" s="278"/>
      <c r="CG304" s="278"/>
      <c r="CH304" s="278"/>
      <c r="CI304" s="278"/>
      <c r="CJ304" s="278"/>
      <c r="CK304" s="278"/>
      <c r="CL304" s="278"/>
      <c r="CM304" s="278"/>
      <c r="CN304" s="278"/>
      <c r="CO304" s="278"/>
      <c r="CP304" s="278"/>
      <c r="CQ304" s="278"/>
      <c r="CR304" s="278"/>
      <c r="CS304" s="278"/>
      <c r="CT304" s="278"/>
      <c r="CU304" s="278"/>
      <c r="CV304" s="278"/>
      <c r="CW304" s="278"/>
      <c r="CX304" s="278"/>
      <c r="CY304" s="278"/>
      <c r="CZ304" s="278"/>
      <c r="DA304" s="278"/>
      <c r="DB304" s="278"/>
      <c r="DC304" s="278"/>
      <c r="DD304" s="278"/>
      <c r="DE304" s="278"/>
      <c r="DF304" s="278"/>
      <c r="DG304" s="278"/>
      <c r="DH304" s="278"/>
      <c r="DI304" s="278"/>
      <c r="DJ304" s="278"/>
      <c r="DK304" s="278"/>
      <c r="DL304" s="278"/>
    </row>
    <row r="305" spans="1:116" ht="15.75" customHeight="1" x14ac:dyDescent="0.25">
      <c r="A305" s="468"/>
      <c r="B305" s="469"/>
      <c r="C305" s="278"/>
      <c r="D305" s="389"/>
      <c r="E305" s="470"/>
      <c r="F305" s="470"/>
      <c r="G305" s="389"/>
      <c r="H305" s="471"/>
      <c r="I305" s="278"/>
      <c r="J305" s="278"/>
      <c r="K305" s="278"/>
      <c r="L305" s="278"/>
      <c r="M305" s="278"/>
      <c r="N305" s="278"/>
      <c r="O305" s="278"/>
      <c r="P305" s="278"/>
      <c r="Q305" s="278"/>
      <c r="R305" s="278"/>
      <c r="S305" s="278"/>
      <c r="T305" s="278"/>
      <c r="U305" s="278"/>
      <c r="V305" s="278"/>
      <c r="W305" s="278"/>
      <c r="X305" s="278"/>
      <c r="Y305" s="278"/>
      <c r="Z305" s="278"/>
      <c r="AA305" s="278"/>
      <c r="AB305" s="278"/>
      <c r="AC305" s="278"/>
      <c r="AD305" s="278"/>
      <c r="AE305" s="278"/>
      <c r="AF305" s="278"/>
      <c r="AG305" s="278"/>
      <c r="AH305" s="278"/>
      <c r="AI305" s="278"/>
      <c r="AJ305" s="278"/>
      <c r="AK305" s="278"/>
      <c r="AL305" s="278"/>
      <c r="AM305" s="278"/>
      <c r="AN305" s="278"/>
      <c r="AO305" s="278"/>
      <c r="AP305" s="278"/>
      <c r="AQ305" s="278"/>
      <c r="AR305" s="278"/>
      <c r="AS305" s="278"/>
      <c r="AT305" s="278"/>
      <c r="AU305" s="278"/>
      <c r="AV305" s="278"/>
      <c r="AW305" s="278"/>
      <c r="AX305" s="278"/>
      <c r="AY305" s="278"/>
      <c r="AZ305" s="278"/>
      <c r="BA305" s="278"/>
      <c r="BB305" s="278"/>
      <c r="BC305" s="278"/>
      <c r="BD305" s="278"/>
      <c r="BE305" s="278"/>
      <c r="BF305" s="278"/>
      <c r="BG305" s="278"/>
      <c r="BH305" s="278"/>
      <c r="BI305" s="278"/>
      <c r="BJ305" s="278"/>
      <c r="BK305" s="278"/>
      <c r="BL305" s="278"/>
      <c r="BM305" s="278"/>
      <c r="BN305" s="278"/>
      <c r="BO305" s="278"/>
      <c r="BP305" s="278"/>
      <c r="BQ305" s="278"/>
      <c r="BR305" s="278"/>
      <c r="BS305" s="278"/>
      <c r="BT305" s="278"/>
      <c r="BU305" s="278"/>
      <c r="BV305" s="278"/>
      <c r="BW305" s="278"/>
      <c r="BX305" s="278"/>
      <c r="BY305" s="278"/>
      <c r="BZ305" s="278"/>
      <c r="CA305" s="278"/>
      <c r="CB305" s="278"/>
      <c r="CC305" s="278"/>
      <c r="CD305" s="278"/>
      <c r="CE305" s="278"/>
      <c r="CF305" s="278"/>
      <c r="CG305" s="278"/>
      <c r="CH305" s="278"/>
      <c r="CI305" s="278"/>
      <c r="CJ305" s="278"/>
      <c r="CK305" s="278"/>
      <c r="CL305" s="278"/>
      <c r="CM305" s="278"/>
      <c r="CN305" s="278"/>
      <c r="CO305" s="278"/>
      <c r="CP305" s="278"/>
      <c r="CQ305" s="278"/>
      <c r="CR305" s="278"/>
      <c r="CS305" s="278"/>
      <c r="CT305" s="278"/>
      <c r="CU305" s="278"/>
      <c r="CV305" s="278"/>
      <c r="CW305" s="278"/>
      <c r="CX305" s="278"/>
      <c r="CY305" s="278"/>
      <c r="CZ305" s="278"/>
      <c r="DA305" s="278"/>
      <c r="DB305" s="278"/>
      <c r="DC305" s="278"/>
      <c r="DD305" s="278"/>
      <c r="DE305" s="278"/>
      <c r="DF305" s="278"/>
      <c r="DG305" s="278"/>
      <c r="DH305" s="278"/>
      <c r="DI305" s="278"/>
      <c r="DJ305" s="278"/>
      <c r="DK305" s="278"/>
      <c r="DL305" s="278"/>
    </row>
    <row r="306" spans="1:116" ht="15.75" customHeight="1" x14ac:dyDescent="0.25">
      <c r="A306" s="468"/>
      <c r="B306" s="469"/>
      <c r="C306" s="278"/>
      <c r="D306" s="389"/>
      <c r="E306" s="470"/>
      <c r="F306" s="470"/>
      <c r="G306" s="389"/>
      <c r="H306" s="471"/>
      <c r="I306" s="278"/>
      <c r="J306" s="278"/>
      <c r="K306" s="278"/>
      <c r="L306" s="278"/>
      <c r="M306" s="278"/>
      <c r="N306" s="278"/>
      <c r="O306" s="278"/>
      <c r="P306" s="278"/>
      <c r="Q306" s="278"/>
      <c r="R306" s="278"/>
      <c r="S306" s="278"/>
      <c r="T306" s="278"/>
      <c r="U306" s="278"/>
      <c r="V306" s="278"/>
      <c r="W306" s="278"/>
      <c r="X306" s="278"/>
      <c r="Y306" s="278"/>
      <c r="Z306" s="278"/>
      <c r="AA306" s="278"/>
      <c r="AB306" s="278"/>
      <c r="AC306" s="278"/>
      <c r="AD306" s="278"/>
      <c r="AE306" s="278"/>
      <c r="AF306" s="278"/>
      <c r="AG306" s="278"/>
      <c r="AH306" s="278"/>
      <c r="AI306" s="278"/>
      <c r="AJ306" s="278"/>
      <c r="AK306" s="278"/>
      <c r="AL306" s="278"/>
      <c r="AM306" s="278"/>
      <c r="AN306" s="278"/>
      <c r="AO306" s="278"/>
      <c r="AP306" s="278"/>
      <c r="AQ306" s="278"/>
      <c r="AR306" s="278"/>
      <c r="AS306" s="278"/>
      <c r="AT306" s="278"/>
      <c r="AU306" s="278"/>
      <c r="AV306" s="278"/>
      <c r="AW306" s="278"/>
      <c r="AX306" s="278"/>
      <c r="AY306" s="278"/>
      <c r="AZ306" s="278"/>
      <c r="BA306" s="278"/>
      <c r="BB306" s="278"/>
      <c r="BC306" s="278"/>
      <c r="BD306" s="278"/>
      <c r="BE306" s="278"/>
      <c r="BF306" s="278"/>
      <c r="BG306" s="278"/>
      <c r="BH306" s="278"/>
      <c r="BI306" s="278"/>
      <c r="BJ306" s="278"/>
      <c r="BK306" s="278"/>
      <c r="BL306" s="278"/>
      <c r="BM306" s="278"/>
      <c r="BN306" s="278"/>
      <c r="BO306" s="278"/>
      <c r="BP306" s="278"/>
      <c r="BQ306" s="278"/>
      <c r="BR306" s="278"/>
      <c r="BS306" s="278"/>
      <c r="BT306" s="278"/>
      <c r="BU306" s="278"/>
      <c r="BV306" s="278"/>
      <c r="BW306" s="278"/>
      <c r="BX306" s="278"/>
      <c r="BY306" s="278"/>
      <c r="BZ306" s="278"/>
      <c r="CA306" s="278"/>
      <c r="CB306" s="278"/>
      <c r="CC306" s="278"/>
      <c r="CD306" s="278"/>
      <c r="CE306" s="278"/>
      <c r="CF306" s="278"/>
      <c r="CG306" s="278"/>
      <c r="CH306" s="278"/>
      <c r="CI306" s="278"/>
      <c r="CJ306" s="278"/>
      <c r="CK306" s="278"/>
      <c r="CL306" s="278"/>
      <c r="CM306" s="278"/>
      <c r="CN306" s="278"/>
      <c r="CO306" s="278"/>
      <c r="CP306" s="278"/>
      <c r="CQ306" s="278"/>
      <c r="CR306" s="278"/>
      <c r="CS306" s="278"/>
      <c r="CT306" s="278"/>
      <c r="CU306" s="278"/>
      <c r="CV306" s="278"/>
      <c r="CW306" s="278"/>
      <c r="CX306" s="278"/>
      <c r="CY306" s="278"/>
      <c r="CZ306" s="278"/>
      <c r="DA306" s="278"/>
      <c r="DB306" s="278"/>
      <c r="DC306" s="278"/>
      <c r="DD306" s="278"/>
      <c r="DE306" s="278"/>
      <c r="DF306" s="278"/>
      <c r="DG306" s="278"/>
      <c r="DH306" s="278"/>
      <c r="DI306" s="278"/>
      <c r="DJ306" s="278"/>
      <c r="DK306" s="278"/>
      <c r="DL306" s="278"/>
    </row>
    <row r="307" spans="1:116" ht="15.75" customHeight="1" x14ac:dyDescent="0.25">
      <c r="A307" s="468"/>
      <c r="B307" s="469"/>
      <c r="C307" s="278"/>
      <c r="D307" s="389"/>
      <c r="E307" s="470"/>
      <c r="F307" s="470"/>
      <c r="G307" s="389"/>
      <c r="H307" s="471"/>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78"/>
      <c r="AE307" s="278"/>
      <c r="AF307" s="278"/>
      <c r="AG307" s="278"/>
      <c r="AH307" s="278"/>
      <c r="AI307" s="278"/>
      <c r="AJ307" s="278"/>
      <c r="AK307" s="278"/>
      <c r="AL307" s="278"/>
      <c r="AM307" s="278"/>
      <c r="AN307" s="278"/>
      <c r="AO307" s="278"/>
      <c r="AP307" s="278"/>
      <c r="AQ307" s="278"/>
      <c r="AR307" s="278"/>
      <c r="AS307" s="278"/>
      <c r="AT307" s="278"/>
      <c r="AU307" s="278"/>
      <c r="AV307" s="278"/>
      <c r="AW307" s="278"/>
      <c r="AX307" s="278"/>
      <c r="AY307" s="278"/>
      <c r="AZ307" s="278"/>
      <c r="BA307" s="278"/>
      <c r="BB307" s="278"/>
      <c r="BC307" s="278"/>
      <c r="BD307" s="278"/>
      <c r="BE307" s="278"/>
      <c r="BF307" s="278"/>
      <c r="BG307" s="278"/>
      <c r="BH307" s="278"/>
      <c r="BI307" s="278"/>
      <c r="BJ307" s="278"/>
      <c r="BK307" s="278"/>
      <c r="BL307" s="278"/>
      <c r="BM307" s="278"/>
      <c r="BN307" s="278"/>
      <c r="BO307" s="278"/>
      <c r="BP307" s="278"/>
      <c r="BQ307" s="278"/>
      <c r="BR307" s="278"/>
      <c r="BS307" s="278"/>
      <c r="BT307" s="278"/>
      <c r="BU307" s="278"/>
      <c r="BV307" s="278"/>
      <c r="BW307" s="278"/>
      <c r="BX307" s="278"/>
      <c r="BY307" s="278"/>
      <c r="BZ307" s="278"/>
      <c r="CA307" s="278"/>
      <c r="CB307" s="278"/>
      <c r="CC307" s="278"/>
      <c r="CD307" s="278"/>
      <c r="CE307" s="278"/>
      <c r="CF307" s="278"/>
      <c r="CG307" s="278"/>
      <c r="CH307" s="278"/>
      <c r="CI307" s="278"/>
      <c r="CJ307" s="278"/>
      <c r="CK307" s="278"/>
      <c r="CL307" s="278"/>
      <c r="CM307" s="278"/>
      <c r="CN307" s="278"/>
      <c r="CO307" s="278"/>
      <c r="CP307" s="278"/>
      <c r="CQ307" s="278"/>
      <c r="CR307" s="278"/>
      <c r="CS307" s="278"/>
      <c r="CT307" s="278"/>
      <c r="CU307" s="278"/>
      <c r="CV307" s="278"/>
      <c r="CW307" s="278"/>
      <c r="CX307" s="278"/>
      <c r="CY307" s="278"/>
      <c r="CZ307" s="278"/>
      <c r="DA307" s="278"/>
      <c r="DB307" s="278"/>
      <c r="DC307" s="278"/>
      <c r="DD307" s="278"/>
      <c r="DE307" s="278"/>
      <c r="DF307" s="278"/>
      <c r="DG307" s="278"/>
      <c r="DH307" s="278"/>
      <c r="DI307" s="278"/>
      <c r="DJ307" s="278"/>
      <c r="DK307" s="278"/>
      <c r="DL307" s="278"/>
    </row>
    <row r="308" spans="1:116" ht="15.75" customHeight="1" x14ac:dyDescent="0.25">
      <c r="A308" s="468"/>
      <c r="B308" s="469"/>
      <c r="C308" s="278"/>
      <c r="D308" s="389"/>
      <c r="E308" s="470"/>
      <c r="F308" s="470"/>
      <c r="G308" s="389"/>
      <c r="H308" s="471"/>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278"/>
      <c r="AE308" s="278"/>
      <c r="AF308" s="278"/>
      <c r="AG308" s="278"/>
      <c r="AH308" s="278"/>
      <c r="AI308" s="278"/>
      <c r="AJ308" s="278"/>
      <c r="AK308" s="278"/>
      <c r="AL308" s="278"/>
      <c r="AM308" s="278"/>
      <c r="AN308" s="278"/>
      <c r="AO308" s="278"/>
      <c r="AP308" s="278"/>
      <c r="AQ308" s="278"/>
      <c r="AR308" s="278"/>
      <c r="AS308" s="278"/>
      <c r="AT308" s="278"/>
      <c r="AU308" s="278"/>
      <c r="AV308" s="278"/>
      <c r="AW308" s="278"/>
      <c r="AX308" s="278"/>
      <c r="AY308" s="278"/>
      <c r="AZ308" s="278"/>
      <c r="BA308" s="278"/>
      <c r="BB308" s="278"/>
      <c r="BC308" s="278"/>
      <c r="BD308" s="278"/>
      <c r="BE308" s="278"/>
      <c r="BF308" s="278"/>
      <c r="BG308" s="278"/>
      <c r="BH308" s="278"/>
      <c r="BI308" s="278"/>
      <c r="BJ308" s="278"/>
      <c r="BK308" s="278"/>
      <c r="BL308" s="278"/>
      <c r="BM308" s="278"/>
      <c r="BN308" s="278"/>
      <c r="BO308" s="278"/>
      <c r="BP308" s="278"/>
      <c r="BQ308" s="278"/>
      <c r="BR308" s="278"/>
      <c r="BS308" s="278"/>
      <c r="BT308" s="278"/>
      <c r="BU308" s="278"/>
      <c r="BV308" s="278"/>
      <c r="BW308" s="278"/>
      <c r="BX308" s="278"/>
      <c r="BY308" s="278"/>
      <c r="BZ308" s="278"/>
      <c r="CA308" s="278"/>
      <c r="CB308" s="278"/>
      <c r="CC308" s="278"/>
      <c r="CD308" s="278"/>
      <c r="CE308" s="278"/>
      <c r="CF308" s="278"/>
      <c r="CG308" s="278"/>
      <c r="CH308" s="278"/>
      <c r="CI308" s="278"/>
      <c r="CJ308" s="278"/>
      <c r="CK308" s="278"/>
      <c r="CL308" s="278"/>
      <c r="CM308" s="278"/>
      <c r="CN308" s="278"/>
      <c r="CO308" s="278"/>
      <c r="CP308" s="278"/>
      <c r="CQ308" s="278"/>
      <c r="CR308" s="278"/>
      <c r="CS308" s="278"/>
      <c r="CT308" s="278"/>
      <c r="CU308" s="278"/>
      <c r="CV308" s="278"/>
      <c r="CW308" s="278"/>
      <c r="CX308" s="278"/>
      <c r="CY308" s="278"/>
      <c r="CZ308" s="278"/>
      <c r="DA308" s="278"/>
      <c r="DB308" s="278"/>
      <c r="DC308" s="278"/>
      <c r="DD308" s="278"/>
      <c r="DE308" s="278"/>
      <c r="DF308" s="278"/>
      <c r="DG308" s="278"/>
      <c r="DH308" s="278"/>
      <c r="DI308" s="278"/>
      <c r="DJ308" s="278"/>
      <c r="DK308" s="278"/>
      <c r="DL308" s="278"/>
    </row>
  </sheetData>
  <mergeCells count="25">
    <mergeCell ref="B46:B53"/>
    <mergeCell ref="B71:B74"/>
    <mergeCell ref="B76:B79"/>
    <mergeCell ref="A109:A111"/>
    <mergeCell ref="B96:B99"/>
    <mergeCell ref="B101:B104"/>
    <mergeCell ref="B109:B111"/>
    <mergeCell ref="B56:B63"/>
    <mergeCell ref="B64:B66"/>
    <mergeCell ref="A112:C112"/>
    <mergeCell ref="A145:C145"/>
    <mergeCell ref="A8:A22"/>
    <mergeCell ref="B8:B21"/>
    <mergeCell ref="A24:A54"/>
    <mergeCell ref="B24:B36"/>
    <mergeCell ref="B38:B44"/>
    <mergeCell ref="A56:A66"/>
    <mergeCell ref="B89:B93"/>
    <mergeCell ref="A113:A143"/>
    <mergeCell ref="B113:B125"/>
    <mergeCell ref="B127:B133"/>
    <mergeCell ref="B135:B142"/>
    <mergeCell ref="B83:B87"/>
    <mergeCell ref="A71:A94"/>
    <mergeCell ref="A96:A107"/>
  </mergeCells>
  <hyperlinks>
    <hyperlink ref="E12" r:id="rId1" xr:uid="{00000000-0004-0000-0500-000000000000}"/>
    <hyperlink ref="E17" r:id="rId2" xr:uid="{00000000-0004-0000-0500-000001000000}"/>
    <hyperlink ref="E27" r:id="rId3" xr:uid="{00000000-0004-0000-0500-000002000000}"/>
    <hyperlink ref="G32" r:id="rId4" xr:uid="{00000000-0004-0000-0500-000003000000}"/>
    <hyperlink ref="E39" r:id="rId5" xr:uid="{00000000-0004-0000-0500-000004000000}"/>
    <hyperlink ref="E41" r:id="rId6" xr:uid="{00000000-0004-0000-0500-000005000000}"/>
    <hyperlink ref="E71" r:id="rId7" xr:uid="{00000000-0004-0000-0500-000006000000}"/>
    <hyperlink ref="E72" r:id="rId8" xr:uid="{00000000-0004-0000-0500-000007000000}"/>
    <hyperlink ref="E97" r:id="rId9" xr:uid="{00000000-0004-0000-0500-000008000000}"/>
    <hyperlink ref="G109" r:id="rId10" xr:uid="{00000000-0004-0000-0500-000009000000}"/>
    <hyperlink ref="G111" r:id="rId11" xr:uid="{00000000-0004-0000-0500-00000A000000}"/>
    <hyperlink ref="E116" r:id="rId12" xr:uid="{4F6B8143-B1DF-7C4C-8A37-43F11DBC8F9C}"/>
    <hyperlink ref="G121" r:id="rId13" xr:uid="{BBF0A2CF-A3CB-D34F-8C6E-91AE778D8386}"/>
    <hyperlink ref="E128" r:id="rId14" xr:uid="{613EE0ED-27E7-C446-BC34-6FDB7CCDF3EC}"/>
    <hyperlink ref="E130" r:id="rId15" xr:uid="{9F233FA3-BE06-9146-8DBC-D11C3729A4F4}"/>
  </hyperlinks>
  <pageMargins left="0.7" right="0.7" top="0.75" bottom="0.75" header="0" footer="0"/>
  <pageSetup orientation="portrait"/>
  <legacyDrawing r:id="rId1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L51"/>
  <sheetViews>
    <sheetView workbookViewId="0"/>
  </sheetViews>
  <sheetFormatPr defaultColWidth="12.7109375" defaultRowHeight="15" customHeight="1" outlineLevelRow="1" x14ac:dyDescent="0.2"/>
  <cols>
    <col min="1" max="1" width="41.42578125" customWidth="1"/>
    <col min="2" max="2" width="48.42578125" customWidth="1"/>
    <col min="3" max="3" width="74.42578125" customWidth="1"/>
    <col min="4" max="4" width="13" customWidth="1"/>
    <col min="5" max="5" width="12.42578125" customWidth="1"/>
    <col min="6" max="6" width="11.7109375" customWidth="1"/>
    <col min="7" max="7" width="12.42578125" customWidth="1"/>
    <col min="8" max="8" width="23.42578125" customWidth="1"/>
    <col min="9" max="10" width="16.42578125" customWidth="1"/>
    <col min="11" max="11" width="15.42578125" customWidth="1"/>
    <col min="12" max="12" width="13" customWidth="1"/>
    <col min="13" max="13" width="14.140625" customWidth="1"/>
    <col min="14" max="15" width="13" customWidth="1"/>
    <col min="16" max="109" width="12.42578125" customWidth="1"/>
    <col min="110" max="116" width="12.42578125" hidden="1" customWidth="1"/>
  </cols>
  <sheetData>
    <row r="1" spans="1:116" ht="19.5" customHeight="1" x14ac:dyDescent="0.25">
      <c r="A1" s="563" t="s">
        <v>411</v>
      </c>
      <c r="B1" s="563"/>
      <c r="C1" s="245"/>
      <c r="D1" s="241"/>
      <c r="E1" s="564"/>
      <c r="F1" s="241"/>
      <c r="G1" s="241"/>
      <c r="H1" s="565" t="s">
        <v>194</v>
      </c>
      <c r="I1" s="272"/>
      <c r="J1" s="272"/>
      <c r="K1" s="272"/>
      <c r="L1" s="272"/>
      <c r="M1" s="272"/>
      <c r="N1" s="272"/>
      <c r="O1" s="272"/>
      <c r="P1" s="272"/>
      <c r="Q1" s="272"/>
      <c r="R1" s="272"/>
      <c r="S1" s="272"/>
      <c r="T1" s="272"/>
      <c r="U1" s="272"/>
      <c r="V1" s="272"/>
      <c r="W1" s="272"/>
      <c r="X1" s="272"/>
      <c r="Y1" s="272"/>
      <c r="Z1" s="272"/>
      <c r="AA1" s="272"/>
      <c r="AB1" s="272"/>
      <c r="AC1" s="272"/>
      <c r="AD1" s="272"/>
      <c r="AE1" s="272"/>
      <c r="AF1" s="272"/>
      <c r="AG1" s="272"/>
      <c r="AH1" s="272"/>
      <c r="AI1" s="272"/>
      <c r="AJ1" s="272"/>
      <c r="AK1" s="272"/>
      <c r="AL1" s="272"/>
      <c r="AM1" s="272"/>
      <c r="AN1" s="272"/>
      <c r="AO1" s="566"/>
      <c r="AP1" s="566"/>
      <c r="AQ1" s="566"/>
      <c r="AR1" s="566"/>
      <c r="AS1" s="566"/>
      <c r="AT1" s="566"/>
      <c r="AU1" s="566"/>
      <c r="AV1" s="566"/>
      <c r="AW1" s="566"/>
      <c r="AX1" s="566"/>
      <c r="AY1" s="566"/>
      <c r="AZ1" s="566"/>
      <c r="BA1" s="566"/>
      <c r="BB1" s="566"/>
      <c r="BC1" s="566"/>
      <c r="BD1" s="566"/>
      <c r="BE1" s="566"/>
      <c r="BF1" s="566"/>
      <c r="BG1" s="566"/>
      <c r="BH1" s="566"/>
      <c r="BI1" s="566"/>
      <c r="BJ1" s="566"/>
      <c r="BK1" s="566"/>
      <c r="BL1" s="566"/>
      <c r="BM1" s="566"/>
      <c r="BN1" s="566"/>
      <c r="BO1" s="566"/>
      <c r="BP1" s="566"/>
      <c r="BQ1" s="566"/>
      <c r="BR1" s="566"/>
      <c r="BS1" s="566"/>
      <c r="BT1" s="566"/>
      <c r="BU1" s="566"/>
      <c r="BV1" s="566"/>
      <c r="BW1" s="566"/>
      <c r="BX1" s="566"/>
      <c r="BY1" s="566"/>
      <c r="BZ1" s="566"/>
      <c r="CA1" s="566"/>
      <c r="CB1" s="566"/>
      <c r="CC1" s="566"/>
      <c r="CD1" s="566"/>
      <c r="CE1" s="566"/>
      <c r="CF1" s="566"/>
      <c r="CG1" s="566"/>
      <c r="CH1" s="566"/>
      <c r="CI1" s="566"/>
      <c r="CJ1" s="566"/>
      <c r="CK1" s="566"/>
      <c r="CL1" s="566"/>
      <c r="CM1" s="566"/>
      <c r="CN1" s="566"/>
      <c r="CO1" s="566"/>
      <c r="CP1" s="566"/>
      <c r="CQ1" s="566"/>
      <c r="CR1" s="566"/>
      <c r="CS1" s="566"/>
      <c r="CT1" s="566"/>
      <c r="CU1" s="566"/>
      <c r="CV1" s="566"/>
      <c r="CW1" s="566"/>
      <c r="CX1" s="566"/>
      <c r="CY1" s="566"/>
      <c r="CZ1" s="566"/>
      <c r="DA1" s="566"/>
      <c r="DB1" s="566"/>
      <c r="DC1" s="566"/>
      <c r="DD1" s="566"/>
      <c r="DE1" s="566"/>
      <c r="DF1" s="566"/>
      <c r="DG1" s="566"/>
      <c r="DH1" s="566"/>
      <c r="DI1" s="566"/>
      <c r="DJ1" s="566"/>
      <c r="DK1" s="566"/>
      <c r="DL1" s="566"/>
    </row>
    <row r="2" spans="1:116" ht="15.75" customHeight="1" x14ac:dyDescent="0.25">
      <c r="A2" s="246" t="s">
        <v>195</v>
      </c>
      <c r="B2" s="253" t="s">
        <v>412</v>
      </c>
      <c r="C2" s="246" t="s">
        <v>197</v>
      </c>
      <c r="D2" s="246" t="s">
        <v>198</v>
      </c>
      <c r="E2" s="252"/>
      <c r="F2" s="253"/>
      <c r="G2" s="253"/>
      <c r="H2" s="251" t="s">
        <v>12</v>
      </c>
      <c r="I2" s="250">
        <v>2023</v>
      </c>
      <c r="J2" s="251">
        <f t="shared" ref="J2:DE2" si="0">I2+1</f>
        <v>2024</v>
      </c>
      <c r="K2" s="251">
        <f t="shared" si="0"/>
        <v>2025</v>
      </c>
      <c r="L2" s="251">
        <f t="shared" si="0"/>
        <v>2026</v>
      </c>
      <c r="M2" s="251">
        <f t="shared" si="0"/>
        <v>2027</v>
      </c>
      <c r="N2" s="251">
        <f t="shared" si="0"/>
        <v>2028</v>
      </c>
      <c r="O2" s="251">
        <f t="shared" si="0"/>
        <v>2029</v>
      </c>
      <c r="P2" s="251">
        <f t="shared" si="0"/>
        <v>2030</v>
      </c>
      <c r="Q2" s="251">
        <f t="shared" si="0"/>
        <v>2031</v>
      </c>
      <c r="R2" s="251">
        <f t="shared" si="0"/>
        <v>2032</v>
      </c>
      <c r="S2" s="251">
        <f t="shared" si="0"/>
        <v>2033</v>
      </c>
      <c r="T2" s="251">
        <f t="shared" si="0"/>
        <v>2034</v>
      </c>
      <c r="U2" s="251">
        <f t="shared" si="0"/>
        <v>2035</v>
      </c>
      <c r="V2" s="251">
        <f t="shared" si="0"/>
        <v>2036</v>
      </c>
      <c r="W2" s="251">
        <f t="shared" si="0"/>
        <v>2037</v>
      </c>
      <c r="X2" s="251">
        <f t="shared" si="0"/>
        <v>2038</v>
      </c>
      <c r="Y2" s="251">
        <f t="shared" si="0"/>
        <v>2039</v>
      </c>
      <c r="Z2" s="251">
        <f t="shared" si="0"/>
        <v>2040</v>
      </c>
      <c r="AA2" s="251">
        <f t="shared" si="0"/>
        <v>2041</v>
      </c>
      <c r="AB2" s="251">
        <f t="shared" si="0"/>
        <v>2042</v>
      </c>
      <c r="AC2" s="251">
        <f t="shared" si="0"/>
        <v>2043</v>
      </c>
      <c r="AD2" s="251">
        <f t="shared" si="0"/>
        <v>2044</v>
      </c>
      <c r="AE2" s="251">
        <f t="shared" si="0"/>
        <v>2045</v>
      </c>
      <c r="AF2" s="251">
        <f t="shared" si="0"/>
        <v>2046</v>
      </c>
      <c r="AG2" s="251">
        <f t="shared" si="0"/>
        <v>2047</v>
      </c>
      <c r="AH2" s="251">
        <f t="shared" si="0"/>
        <v>2048</v>
      </c>
      <c r="AI2" s="251">
        <f t="shared" si="0"/>
        <v>2049</v>
      </c>
      <c r="AJ2" s="251">
        <f t="shared" si="0"/>
        <v>2050</v>
      </c>
      <c r="AK2" s="251">
        <f t="shared" si="0"/>
        <v>2051</v>
      </c>
      <c r="AL2" s="251">
        <f t="shared" si="0"/>
        <v>2052</v>
      </c>
      <c r="AM2" s="251">
        <f t="shared" si="0"/>
        <v>2053</v>
      </c>
      <c r="AN2" s="251">
        <f t="shared" si="0"/>
        <v>2054</v>
      </c>
      <c r="AO2" s="251">
        <f t="shared" si="0"/>
        <v>2055</v>
      </c>
      <c r="AP2" s="251">
        <f t="shared" si="0"/>
        <v>2056</v>
      </c>
      <c r="AQ2" s="251">
        <f t="shared" si="0"/>
        <v>2057</v>
      </c>
      <c r="AR2" s="251">
        <f t="shared" si="0"/>
        <v>2058</v>
      </c>
      <c r="AS2" s="251">
        <f t="shared" si="0"/>
        <v>2059</v>
      </c>
      <c r="AT2" s="251">
        <f t="shared" si="0"/>
        <v>2060</v>
      </c>
      <c r="AU2" s="251">
        <f t="shared" si="0"/>
        <v>2061</v>
      </c>
      <c r="AV2" s="251">
        <f t="shared" si="0"/>
        <v>2062</v>
      </c>
      <c r="AW2" s="251">
        <f t="shared" si="0"/>
        <v>2063</v>
      </c>
      <c r="AX2" s="251">
        <f t="shared" si="0"/>
        <v>2064</v>
      </c>
      <c r="AY2" s="251">
        <f t="shared" si="0"/>
        <v>2065</v>
      </c>
      <c r="AZ2" s="251">
        <f t="shared" si="0"/>
        <v>2066</v>
      </c>
      <c r="BA2" s="251">
        <f t="shared" si="0"/>
        <v>2067</v>
      </c>
      <c r="BB2" s="251">
        <f t="shared" si="0"/>
        <v>2068</v>
      </c>
      <c r="BC2" s="251">
        <f t="shared" si="0"/>
        <v>2069</v>
      </c>
      <c r="BD2" s="251">
        <f t="shared" si="0"/>
        <v>2070</v>
      </c>
      <c r="BE2" s="251">
        <f t="shared" si="0"/>
        <v>2071</v>
      </c>
      <c r="BF2" s="251">
        <f t="shared" si="0"/>
        <v>2072</v>
      </c>
      <c r="BG2" s="251">
        <f t="shared" si="0"/>
        <v>2073</v>
      </c>
      <c r="BH2" s="251">
        <f t="shared" si="0"/>
        <v>2074</v>
      </c>
      <c r="BI2" s="251">
        <f t="shared" si="0"/>
        <v>2075</v>
      </c>
      <c r="BJ2" s="251">
        <f t="shared" si="0"/>
        <v>2076</v>
      </c>
      <c r="BK2" s="251">
        <f t="shared" si="0"/>
        <v>2077</v>
      </c>
      <c r="BL2" s="251">
        <f t="shared" si="0"/>
        <v>2078</v>
      </c>
      <c r="BM2" s="251">
        <f t="shared" si="0"/>
        <v>2079</v>
      </c>
      <c r="BN2" s="251">
        <f t="shared" si="0"/>
        <v>2080</v>
      </c>
      <c r="BO2" s="251">
        <f t="shared" si="0"/>
        <v>2081</v>
      </c>
      <c r="BP2" s="251">
        <f t="shared" si="0"/>
        <v>2082</v>
      </c>
      <c r="BQ2" s="251">
        <f t="shared" si="0"/>
        <v>2083</v>
      </c>
      <c r="BR2" s="251">
        <f t="shared" si="0"/>
        <v>2084</v>
      </c>
      <c r="BS2" s="251">
        <f t="shared" si="0"/>
        <v>2085</v>
      </c>
      <c r="BT2" s="251">
        <f t="shared" si="0"/>
        <v>2086</v>
      </c>
      <c r="BU2" s="251">
        <f t="shared" si="0"/>
        <v>2087</v>
      </c>
      <c r="BV2" s="251">
        <f t="shared" si="0"/>
        <v>2088</v>
      </c>
      <c r="BW2" s="251">
        <f t="shared" si="0"/>
        <v>2089</v>
      </c>
      <c r="BX2" s="251">
        <f t="shared" si="0"/>
        <v>2090</v>
      </c>
      <c r="BY2" s="251">
        <f t="shared" si="0"/>
        <v>2091</v>
      </c>
      <c r="BZ2" s="251">
        <f t="shared" si="0"/>
        <v>2092</v>
      </c>
      <c r="CA2" s="251">
        <f t="shared" si="0"/>
        <v>2093</v>
      </c>
      <c r="CB2" s="251">
        <f t="shared" si="0"/>
        <v>2094</v>
      </c>
      <c r="CC2" s="251">
        <f t="shared" si="0"/>
        <v>2095</v>
      </c>
      <c r="CD2" s="251">
        <f t="shared" si="0"/>
        <v>2096</v>
      </c>
      <c r="CE2" s="251">
        <f t="shared" si="0"/>
        <v>2097</v>
      </c>
      <c r="CF2" s="251">
        <f t="shared" si="0"/>
        <v>2098</v>
      </c>
      <c r="CG2" s="251">
        <f t="shared" si="0"/>
        <v>2099</v>
      </c>
      <c r="CH2" s="251">
        <f t="shared" si="0"/>
        <v>2100</v>
      </c>
      <c r="CI2" s="251">
        <f t="shared" si="0"/>
        <v>2101</v>
      </c>
      <c r="CJ2" s="251">
        <f t="shared" si="0"/>
        <v>2102</v>
      </c>
      <c r="CK2" s="251">
        <f t="shared" si="0"/>
        <v>2103</v>
      </c>
      <c r="CL2" s="251">
        <f t="shared" si="0"/>
        <v>2104</v>
      </c>
      <c r="CM2" s="251">
        <f t="shared" si="0"/>
        <v>2105</v>
      </c>
      <c r="CN2" s="251">
        <f t="shared" si="0"/>
        <v>2106</v>
      </c>
      <c r="CO2" s="251">
        <f t="shared" si="0"/>
        <v>2107</v>
      </c>
      <c r="CP2" s="251">
        <f t="shared" si="0"/>
        <v>2108</v>
      </c>
      <c r="CQ2" s="251">
        <f t="shared" si="0"/>
        <v>2109</v>
      </c>
      <c r="CR2" s="251">
        <f t="shared" si="0"/>
        <v>2110</v>
      </c>
      <c r="CS2" s="251">
        <f t="shared" si="0"/>
        <v>2111</v>
      </c>
      <c r="CT2" s="251">
        <f t="shared" si="0"/>
        <v>2112</v>
      </c>
      <c r="CU2" s="251">
        <f t="shared" si="0"/>
        <v>2113</v>
      </c>
      <c r="CV2" s="251">
        <f t="shared" si="0"/>
        <v>2114</v>
      </c>
      <c r="CW2" s="251">
        <f t="shared" si="0"/>
        <v>2115</v>
      </c>
      <c r="CX2" s="251">
        <f t="shared" si="0"/>
        <v>2116</v>
      </c>
      <c r="CY2" s="251">
        <f t="shared" si="0"/>
        <v>2117</v>
      </c>
      <c r="CZ2" s="251">
        <f t="shared" si="0"/>
        <v>2118</v>
      </c>
      <c r="DA2" s="251">
        <f t="shared" si="0"/>
        <v>2119</v>
      </c>
      <c r="DB2" s="251">
        <f t="shared" si="0"/>
        <v>2120</v>
      </c>
      <c r="DC2" s="251">
        <f t="shared" si="0"/>
        <v>2121</v>
      </c>
      <c r="DD2" s="251">
        <f t="shared" si="0"/>
        <v>2122</v>
      </c>
      <c r="DE2" s="251">
        <f t="shared" si="0"/>
        <v>2123</v>
      </c>
      <c r="DF2" s="251"/>
      <c r="DG2" s="251"/>
      <c r="DH2" s="251"/>
      <c r="DI2" s="251"/>
      <c r="DJ2" s="251"/>
      <c r="DK2" s="251"/>
      <c r="DL2" s="251"/>
    </row>
    <row r="3" spans="1:116" ht="24" customHeight="1" x14ac:dyDescent="0.25">
      <c r="A3" s="567" t="s">
        <v>413</v>
      </c>
      <c r="B3" s="565"/>
      <c r="C3" s="246"/>
      <c r="D3" s="568"/>
      <c r="E3" s="252"/>
      <c r="F3" s="246"/>
      <c r="G3" s="246"/>
      <c r="H3" s="569" t="s">
        <v>109</v>
      </c>
      <c r="I3" s="251">
        <v>0</v>
      </c>
      <c r="J3" s="251">
        <f t="shared" ref="J3:DE3" si="1">I3+1</f>
        <v>1</v>
      </c>
      <c r="K3" s="251">
        <f t="shared" si="1"/>
        <v>2</v>
      </c>
      <c r="L3" s="251">
        <f t="shared" si="1"/>
        <v>3</v>
      </c>
      <c r="M3" s="251">
        <f t="shared" si="1"/>
        <v>4</v>
      </c>
      <c r="N3" s="251">
        <f t="shared" si="1"/>
        <v>5</v>
      </c>
      <c r="O3" s="251">
        <f t="shared" si="1"/>
        <v>6</v>
      </c>
      <c r="P3" s="251">
        <f t="shared" si="1"/>
        <v>7</v>
      </c>
      <c r="Q3" s="251">
        <f t="shared" si="1"/>
        <v>8</v>
      </c>
      <c r="R3" s="251">
        <f t="shared" si="1"/>
        <v>9</v>
      </c>
      <c r="S3" s="251">
        <f t="shared" si="1"/>
        <v>10</v>
      </c>
      <c r="T3" s="251">
        <f t="shared" si="1"/>
        <v>11</v>
      </c>
      <c r="U3" s="251">
        <f t="shared" si="1"/>
        <v>12</v>
      </c>
      <c r="V3" s="251">
        <f t="shared" si="1"/>
        <v>13</v>
      </c>
      <c r="W3" s="251">
        <f t="shared" si="1"/>
        <v>14</v>
      </c>
      <c r="X3" s="251">
        <f t="shared" si="1"/>
        <v>15</v>
      </c>
      <c r="Y3" s="251">
        <f t="shared" si="1"/>
        <v>16</v>
      </c>
      <c r="Z3" s="251">
        <f t="shared" si="1"/>
        <v>17</v>
      </c>
      <c r="AA3" s="251">
        <f t="shared" si="1"/>
        <v>18</v>
      </c>
      <c r="AB3" s="251">
        <f t="shared" si="1"/>
        <v>19</v>
      </c>
      <c r="AC3" s="251">
        <f t="shared" si="1"/>
        <v>20</v>
      </c>
      <c r="AD3" s="251">
        <f t="shared" si="1"/>
        <v>21</v>
      </c>
      <c r="AE3" s="251">
        <f t="shared" si="1"/>
        <v>22</v>
      </c>
      <c r="AF3" s="251">
        <f t="shared" si="1"/>
        <v>23</v>
      </c>
      <c r="AG3" s="251">
        <f t="shared" si="1"/>
        <v>24</v>
      </c>
      <c r="AH3" s="251">
        <f t="shared" si="1"/>
        <v>25</v>
      </c>
      <c r="AI3" s="251">
        <f t="shared" si="1"/>
        <v>26</v>
      </c>
      <c r="AJ3" s="251">
        <f t="shared" si="1"/>
        <v>27</v>
      </c>
      <c r="AK3" s="251">
        <f t="shared" si="1"/>
        <v>28</v>
      </c>
      <c r="AL3" s="251">
        <f t="shared" si="1"/>
        <v>29</v>
      </c>
      <c r="AM3" s="251">
        <f t="shared" si="1"/>
        <v>30</v>
      </c>
      <c r="AN3" s="251">
        <f t="shared" si="1"/>
        <v>31</v>
      </c>
      <c r="AO3" s="251">
        <f t="shared" si="1"/>
        <v>32</v>
      </c>
      <c r="AP3" s="251">
        <f t="shared" si="1"/>
        <v>33</v>
      </c>
      <c r="AQ3" s="251">
        <f t="shared" si="1"/>
        <v>34</v>
      </c>
      <c r="AR3" s="251">
        <f t="shared" si="1"/>
        <v>35</v>
      </c>
      <c r="AS3" s="251">
        <f t="shared" si="1"/>
        <v>36</v>
      </c>
      <c r="AT3" s="251">
        <f t="shared" si="1"/>
        <v>37</v>
      </c>
      <c r="AU3" s="251">
        <f t="shared" si="1"/>
        <v>38</v>
      </c>
      <c r="AV3" s="251">
        <f t="shared" si="1"/>
        <v>39</v>
      </c>
      <c r="AW3" s="251">
        <f t="shared" si="1"/>
        <v>40</v>
      </c>
      <c r="AX3" s="251">
        <f t="shared" si="1"/>
        <v>41</v>
      </c>
      <c r="AY3" s="251">
        <f t="shared" si="1"/>
        <v>42</v>
      </c>
      <c r="AZ3" s="251">
        <f t="shared" si="1"/>
        <v>43</v>
      </c>
      <c r="BA3" s="251">
        <f t="shared" si="1"/>
        <v>44</v>
      </c>
      <c r="BB3" s="251">
        <f t="shared" si="1"/>
        <v>45</v>
      </c>
      <c r="BC3" s="251">
        <f t="shared" si="1"/>
        <v>46</v>
      </c>
      <c r="BD3" s="251">
        <f t="shared" si="1"/>
        <v>47</v>
      </c>
      <c r="BE3" s="251">
        <f t="shared" si="1"/>
        <v>48</v>
      </c>
      <c r="BF3" s="251">
        <f t="shared" si="1"/>
        <v>49</v>
      </c>
      <c r="BG3" s="251">
        <f t="shared" si="1"/>
        <v>50</v>
      </c>
      <c r="BH3" s="251">
        <f t="shared" si="1"/>
        <v>51</v>
      </c>
      <c r="BI3" s="251">
        <f t="shared" si="1"/>
        <v>52</v>
      </c>
      <c r="BJ3" s="251">
        <f t="shared" si="1"/>
        <v>53</v>
      </c>
      <c r="BK3" s="251">
        <f t="shared" si="1"/>
        <v>54</v>
      </c>
      <c r="BL3" s="251">
        <f t="shared" si="1"/>
        <v>55</v>
      </c>
      <c r="BM3" s="251">
        <f t="shared" si="1"/>
        <v>56</v>
      </c>
      <c r="BN3" s="251">
        <f t="shared" si="1"/>
        <v>57</v>
      </c>
      <c r="BO3" s="251">
        <f t="shared" si="1"/>
        <v>58</v>
      </c>
      <c r="BP3" s="251">
        <f t="shared" si="1"/>
        <v>59</v>
      </c>
      <c r="BQ3" s="251">
        <f t="shared" si="1"/>
        <v>60</v>
      </c>
      <c r="BR3" s="251">
        <f t="shared" si="1"/>
        <v>61</v>
      </c>
      <c r="BS3" s="251">
        <f t="shared" si="1"/>
        <v>62</v>
      </c>
      <c r="BT3" s="251">
        <f t="shared" si="1"/>
        <v>63</v>
      </c>
      <c r="BU3" s="251">
        <f t="shared" si="1"/>
        <v>64</v>
      </c>
      <c r="BV3" s="251">
        <f t="shared" si="1"/>
        <v>65</v>
      </c>
      <c r="BW3" s="251">
        <f t="shared" si="1"/>
        <v>66</v>
      </c>
      <c r="BX3" s="251">
        <f t="shared" si="1"/>
        <v>67</v>
      </c>
      <c r="BY3" s="251">
        <f t="shared" si="1"/>
        <v>68</v>
      </c>
      <c r="BZ3" s="251">
        <f t="shared" si="1"/>
        <v>69</v>
      </c>
      <c r="CA3" s="251">
        <f t="shared" si="1"/>
        <v>70</v>
      </c>
      <c r="CB3" s="251">
        <f t="shared" si="1"/>
        <v>71</v>
      </c>
      <c r="CC3" s="251">
        <f t="shared" si="1"/>
        <v>72</v>
      </c>
      <c r="CD3" s="251">
        <f t="shared" si="1"/>
        <v>73</v>
      </c>
      <c r="CE3" s="251">
        <f t="shared" si="1"/>
        <v>74</v>
      </c>
      <c r="CF3" s="251">
        <f t="shared" si="1"/>
        <v>75</v>
      </c>
      <c r="CG3" s="251">
        <f t="shared" si="1"/>
        <v>76</v>
      </c>
      <c r="CH3" s="251">
        <f t="shared" si="1"/>
        <v>77</v>
      </c>
      <c r="CI3" s="251">
        <f t="shared" si="1"/>
        <v>78</v>
      </c>
      <c r="CJ3" s="251">
        <f t="shared" si="1"/>
        <v>79</v>
      </c>
      <c r="CK3" s="251">
        <f t="shared" si="1"/>
        <v>80</v>
      </c>
      <c r="CL3" s="251">
        <f t="shared" si="1"/>
        <v>81</v>
      </c>
      <c r="CM3" s="251">
        <f t="shared" si="1"/>
        <v>82</v>
      </c>
      <c r="CN3" s="251">
        <f t="shared" si="1"/>
        <v>83</v>
      </c>
      <c r="CO3" s="251">
        <f t="shared" si="1"/>
        <v>84</v>
      </c>
      <c r="CP3" s="251">
        <f t="shared" si="1"/>
        <v>85</v>
      </c>
      <c r="CQ3" s="251">
        <f t="shared" si="1"/>
        <v>86</v>
      </c>
      <c r="CR3" s="251">
        <f t="shared" si="1"/>
        <v>87</v>
      </c>
      <c r="CS3" s="251">
        <f t="shared" si="1"/>
        <v>88</v>
      </c>
      <c r="CT3" s="251">
        <f t="shared" si="1"/>
        <v>89</v>
      </c>
      <c r="CU3" s="251">
        <f t="shared" si="1"/>
        <v>90</v>
      </c>
      <c r="CV3" s="251">
        <f t="shared" si="1"/>
        <v>91</v>
      </c>
      <c r="CW3" s="251">
        <f t="shared" si="1"/>
        <v>92</v>
      </c>
      <c r="CX3" s="251">
        <f t="shared" si="1"/>
        <v>93</v>
      </c>
      <c r="CY3" s="251">
        <f t="shared" si="1"/>
        <v>94</v>
      </c>
      <c r="CZ3" s="251">
        <f t="shared" si="1"/>
        <v>95</v>
      </c>
      <c r="DA3" s="251">
        <f t="shared" si="1"/>
        <v>96</v>
      </c>
      <c r="DB3" s="251">
        <f t="shared" si="1"/>
        <v>97</v>
      </c>
      <c r="DC3" s="251">
        <f t="shared" si="1"/>
        <v>98</v>
      </c>
      <c r="DD3" s="251">
        <f t="shared" si="1"/>
        <v>99</v>
      </c>
      <c r="DE3" s="251">
        <f t="shared" si="1"/>
        <v>100</v>
      </c>
      <c r="DF3" s="251"/>
      <c r="DG3" s="251"/>
      <c r="DH3" s="251"/>
      <c r="DI3" s="251"/>
      <c r="DJ3" s="251"/>
      <c r="DK3" s="251"/>
      <c r="DL3" s="251"/>
    </row>
    <row r="4" spans="1:116" ht="15.75" customHeight="1" outlineLevel="1" x14ac:dyDescent="0.2">
      <c r="A4" s="570" t="s">
        <v>22</v>
      </c>
      <c r="B4" s="571">
        <f>C43*B46*F15</f>
        <v>13588020.309027757</v>
      </c>
      <c r="C4" s="572"/>
      <c r="D4" s="573" t="s">
        <v>239</v>
      </c>
      <c r="E4" s="574"/>
      <c r="F4" s="572"/>
      <c r="G4" s="572"/>
      <c r="H4" s="575"/>
      <c r="I4" s="576">
        <v>0</v>
      </c>
      <c r="J4" s="577">
        <f t="shared" ref="J4:J8" si="2">B4*(1 + $F$13)</f>
        <v>13859780.715208312</v>
      </c>
      <c r="K4" s="578">
        <f t="shared" ref="K4:DE4" si="3">0</f>
        <v>0</v>
      </c>
      <c r="L4" s="578">
        <f t="shared" si="3"/>
        <v>0</v>
      </c>
      <c r="M4" s="578">
        <f t="shared" si="3"/>
        <v>0</v>
      </c>
      <c r="N4" s="578">
        <f t="shared" si="3"/>
        <v>0</v>
      </c>
      <c r="O4" s="578">
        <f t="shared" si="3"/>
        <v>0</v>
      </c>
      <c r="P4" s="578">
        <f t="shared" si="3"/>
        <v>0</v>
      </c>
      <c r="Q4" s="578">
        <f t="shared" si="3"/>
        <v>0</v>
      </c>
      <c r="R4" s="578">
        <f t="shared" si="3"/>
        <v>0</v>
      </c>
      <c r="S4" s="578">
        <f t="shared" si="3"/>
        <v>0</v>
      </c>
      <c r="T4" s="578">
        <f t="shared" si="3"/>
        <v>0</v>
      </c>
      <c r="U4" s="578">
        <f t="shared" si="3"/>
        <v>0</v>
      </c>
      <c r="V4" s="578">
        <f t="shared" si="3"/>
        <v>0</v>
      </c>
      <c r="W4" s="578">
        <f t="shared" si="3"/>
        <v>0</v>
      </c>
      <c r="X4" s="578">
        <f t="shared" si="3"/>
        <v>0</v>
      </c>
      <c r="Y4" s="578">
        <f t="shared" si="3"/>
        <v>0</v>
      </c>
      <c r="Z4" s="578">
        <f t="shared" si="3"/>
        <v>0</v>
      </c>
      <c r="AA4" s="578">
        <f t="shared" si="3"/>
        <v>0</v>
      </c>
      <c r="AB4" s="578">
        <f t="shared" si="3"/>
        <v>0</v>
      </c>
      <c r="AC4" s="578">
        <f t="shared" si="3"/>
        <v>0</v>
      </c>
      <c r="AD4" s="578">
        <f t="shared" si="3"/>
        <v>0</v>
      </c>
      <c r="AE4" s="578">
        <f t="shared" si="3"/>
        <v>0</v>
      </c>
      <c r="AF4" s="578">
        <f t="shared" si="3"/>
        <v>0</v>
      </c>
      <c r="AG4" s="578">
        <f t="shared" si="3"/>
        <v>0</v>
      </c>
      <c r="AH4" s="578">
        <f t="shared" si="3"/>
        <v>0</v>
      </c>
      <c r="AI4" s="578">
        <f t="shared" si="3"/>
        <v>0</v>
      </c>
      <c r="AJ4" s="578">
        <f t="shared" si="3"/>
        <v>0</v>
      </c>
      <c r="AK4" s="578">
        <f t="shared" si="3"/>
        <v>0</v>
      </c>
      <c r="AL4" s="578">
        <f t="shared" si="3"/>
        <v>0</v>
      </c>
      <c r="AM4" s="578">
        <f t="shared" si="3"/>
        <v>0</v>
      </c>
      <c r="AN4" s="578">
        <f t="shared" si="3"/>
        <v>0</v>
      </c>
      <c r="AO4" s="578">
        <f t="shared" si="3"/>
        <v>0</v>
      </c>
      <c r="AP4" s="578">
        <f t="shared" si="3"/>
        <v>0</v>
      </c>
      <c r="AQ4" s="578">
        <f t="shared" si="3"/>
        <v>0</v>
      </c>
      <c r="AR4" s="578">
        <f t="shared" si="3"/>
        <v>0</v>
      </c>
      <c r="AS4" s="578">
        <f t="shared" si="3"/>
        <v>0</v>
      </c>
      <c r="AT4" s="578">
        <f t="shared" si="3"/>
        <v>0</v>
      </c>
      <c r="AU4" s="578">
        <f t="shared" si="3"/>
        <v>0</v>
      </c>
      <c r="AV4" s="578">
        <f t="shared" si="3"/>
        <v>0</v>
      </c>
      <c r="AW4" s="578">
        <f t="shared" si="3"/>
        <v>0</v>
      </c>
      <c r="AX4" s="578">
        <f t="shared" si="3"/>
        <v>0</v>
      </c>
      <c r="AY4" s="578">
        <f t="shared" si="3"/>
        <v>0</v>
      </c>
      <c r="AZ4" s="578">
        <f t="shared" si="3"/>
        <v>0</v>
      </c>
      <c r="BA4" s="578">
        <f t="shared" si="3"/>
        <v>0</v>
      </c>
      <c r="BB4" s="578">
        <f t="shared" si="3"/>
        <v>0</v>
      </c>
      <c r="BC4" s="578">
        <f t="shared" si="3"/>
        <v>0</v>
      </c>
      <c r="BD4" s="578">
        <f t="shared" si="3"/>
        <v>0</v>
      </c>
      <c r="BE4" s="578">
        <f t="shared" si="3"/>
        <v>0</v>
      </c>
      <c r="BF4" s="578">
        <f t="shared" si="3"/>
        <v>0</v>
      </c>
      <c r="BG4" s="578">
        <f t="shared" si="3"/>
        <v>0</v>
      </c>
      <c r="BH4" s="578">
        <f t="shared" si="3"/>
        <v>0</v>
      </c>
      <c r="BI4" s="578">
        <f t="shared" si="3"/>
        <v>0</v>
      </c>
      <c r="BJ4" s="578">
        <f t="shared" si="3"/>
        <v>0</v>
      </c>
      <c r="BK4" s="578">
        <f t="shared" si="3"/>
        <v>0</v>
      </c>
      <c r="BL4" s="578">
        <f t="shared" si="3"/>
        <v>0</v>
      </c>
      <c r="BM4" s="578">
        <f t="shared" si="3"/>
        <v>0</v>
      </c>
      <c r="BN4" s="578">
        <f t="shared" si="3"/>
        <v>0</v>
      </c>
      <c r="BO4" s="578">
        <f t="shared" si="3"/>
        <v>0</v>
      </c>
      <c r="BP4" s="578">
        <f t="shared" si="3"/>
        <v>0</v>
      </c>
      <c r="BQ4" s="578">
        <f t="shared" si="3"/>
        <v>0</v>
      </c>
      <c r="BR4" s="578">
        <f t="shared" si="3"/>
        <v>0</v>
      </c>
      <c r="BS4" s="578">
        <f t="shared" si="3"/>
        <v>0</v>
      </c>
      <c r="BT4" s="578">
        <f t="shared" si="3"/>
        <v>0</v>
      </c>
      <c r="BU4" s="578">
        <f t="shared" si="3"/>
        <v>0</v>
      </c>
      <c r="BV4" s="578">
        <f t="shared" si="3"/>
        <v>0</v>
      </c>
      <c r="BW4" s="578">
        <f t="shared" si="3"/>
        <v>0</v>
      </c>
      <c r="BX4" s="578">
        <f t="shared" si="3"/>
        <v>0</v>
      </c>
      <c r="BY4" s="578">
        <f t="shared" si="3"/>
        <v>0</v>
      </c>
      <c r="BZ4" s="578">
        <f t="shared" si="3"/>
        <v>0</v>
      </c>
      <c r="CA4" s="578">
        <f t="shared" si="3"/>
        <v>0</v>
      </c>
      <c r="CB4" s="578">
        <f t="shared" si="3"/>
        <v>0</v>
      </c>
      <c r="CC4" s="578">
        <f t="shared" si="3"/>
        <v>0</v>
      </c>
      <c r="CD4" s="578">
        <f t="shared" si="3"/>
        <v>0</v>
      </c>
      <c r="CE4" s="578">
        <f t="shared" si="3"/>
        <v>0</v>
      </c>
      <c r="CF4" s="578">
        <f t="shared" si="3"/>
        <v>0</v>
      </c>
      <c r="CG4" s="578">
        <f t="shared" si="3"/>
        <v>0</v>
      </c>
      <c r="CH4" s="578">
        <f t="shared" si="3"/>
        <v>0</v>
      </c>
      <c r="CI4" s="578">
        <f t="shared" si="3"/>
        <v>0</v>
      </c>
      <c r="CJ4" s="578">
        <f t="shared" si="3"/>
        <v>0</v>
      </c>
      <c r="CK4" s="578">
        <f t="shared" si="3"/>
        <v>0</v>
      </c>
      <c r="CL4" s="578">
        <f t="shared" si="3"/>
        <v>0</v>
      </c>
      <c r="CM4" s="578">
        <f t="shared" si="3"/>
        <v>0</v>
      </c>
      <c r="CN4" s="578">
        <f t="shared" si="3"/>
        <v>0</v>
      </c>
      <c r="CO4" s="578">
        <f t="shared" si="3"/>
        <v>0</v>
      </c>
      <c r="CP4" s="578">
        <f t="shared" si="3"/>
        <v>0</v>
      </c>
      <c r="CQ4" s="578">
        <f t="shared" si="3"/>
        <v>0</v>
      </c>
      <c r="CR4" s="578">
        <f t="shared" si="3"/>
        <v>0</v>
      </c>
      <c r="CS4" s="578">
        <f t="shared" si="3"/>
        <v>0</v>
      </c>
      <c r="CT4" s="578">
        <f t="shared" si="3"/>
        <v>0</v>
      </c>
      <c r="CU4" s="578">
        <f t="shared" si="3"/>
        <v>0</v>
      </c>
      <c r="CV4" s="578">
        <f t="shared" si="3"/>
        <v>0</v>
      </c>
      <c r="CW4" s="578">
        <f t="shared" si="3"/>
        <v>0</v>
      </c>
      <c r="CX4" s="578">
        <f t="shared" si="3"/>
        <v>0</v>
      </c>
      <c r="CY4" s="578">
        <f t="shared" si="3"/>
        <v>0</v>
      </c>
      <c r="CZ4" s="578">
        <f t="shared" si="3"/>
        <v>0</v>
      </c>
      <c r="DA4" s="578">
        <f t="shared" si="3"/>
        <v>0</v>
      </c>
      <c r="DB4" s="578">
        <f t="shared" si="3"/>
        <v>0</v>
      </c>
      <c r="DC4" s="578">
        <f t="shared" si="3"/>
        <v>0</v>
      </c>
      <c r="DD4" s="578">
        <f t="shared" si="3"/>
        <v>0</v>
      </c>
      <c r="DE4" s="578">
        <f t="shared" si="3"/>
        <v>0</v>
      </c>
      <c r="DF4" s="579"/>
      <c r="DG4" s="579"/>
      <c r="DH4" s="579"/>
      <c r="DI4" s="579"/>
      <c r="DJ4" s="579"/>
      <c r="DK4" s="579"/>
      <c r="DL4" s="579"/>
    </row>
    <row r="5" spans="1:116" ht="19.5" customHeight="1" outlineLevel="1" x14ac:dyDescent="0.2">
      <c r="A5" s="570" t="s">
        <v>23</v>
      </c>
      <c r="B5" s="571">
        <v>0</v>
      </c>
      <c r="C5" s="580" t="s">
        <v>414</v>
      </c>
      <c r="D5" s="573" t="s">
        <v>239</v>
      </c>
      <c r="E5" s="581"/>
      <c r="F5" s="581"/>
      <c r="G5" s="581"/>
      <c r="H5" s="581"/>
      <c r="I5" s="576">
        <v>0</v>
      </c>
      <c r="J5" s="577">
        <f t="shared" si="2"/>
        <v>0</v>
      </c>
      <c r="K5" s="578">
        <f t="shared" ref="K5:DE5" si="4">0</f>
        <v>0</v>
      </c>
      <c r="L5" s="578">
        <f t="shared" si="4"/>
        <v>0</v>
      </c>
      <c r="M5" s="578">
        <f t="shared" si="4"/>
        <v>0</v>
      </c>
      <c r="N5" s="578">
        <f t="shared" si="4"/>
        <v>0</v>
      </c>
      <c r="O5" s="578">
        <f t="shared" si="4"/>
        <v>0</v>
      </c>
      <c r="P5" s="578">
        <f t="shared" si="4"/>
        <v>0</v>
      </c>
      <c r="Q5" s="578">
        <f t="shared" si="4"/>
        <v>0</v>
      </c>
      <c r="R5" s="578">
        <f t="shared" si="4"/>
        <v>0</v>
      </c>
      <c r="S5" s="578">
        <f t="shared" si="4"/>
        <v>0</v>
      </c>
      <c r="T5" s="578">
        <f t="shared" si="4"/>
        <v>0</v>
      </c>
      <c r="U5" s="578">
        <f t="shared" si="4"/>
        <v>0</v>
      </c>
      <c r="V5" s="578">
        <f t="shared" si="4"/>
        <v>0</v>
      </c>
      <c r="W5" s="578">
        <f t="shared" si="4"/>
        <v>0</v>
      </c>
      <c r="X5" s="578">
        <f t="shared" si="4"/>
        <v>0</v>
      </c>
      <c r="Y5" s="578">
        <f t="shared" si="4"/>
        <v>0</v>
      </c>
      <c r="Z5" s="578">
        <f t="shared" si="4"/>
        <v>0</v>
      </c>
      <c r="AA5" s="578">
        <f t="shared" si="4"/>
        <v>0</v>
      </c>
      <c r="AB5" s="578">
        <f t="shared" si="4"/>
        <v>0</v>
      </c>
      <c r="AC5" s="578">
        <f t="shared" si="4"/>
        <v>0</v>
      </c>
      <c r="AD5" s="578">
        <f t="shared" si="4"/>
        <v>0</v>
      </c>
      <c r="AE5" s="578">
        <f t="shared" si="4"/>
        <v>0</v>
      </c>
      <c r="AF5" s="578">
        <f t="shared" si="4"/>
        <v>0</v>
      </c>
      <c r="AG5" s="578">
        <f t="shared" si="4"/>
        <v>0</v>
      </c>
      <c r="AH5" s="578">
        <f t="shared" si="4"/>
        <v>0</v>
      </c>
      <c r="AI5" s="578">
        <f t="shared" si="4"/>
        <v>0</v>
      </c>
      <c r="AJ5" s="578">
        <f t="shared" si="4"/>
        <v>0</v>
      </c>
      <c r="AK5" s="578">
        <f t="shared" si="4"/>
        <v>0</v>
      </c>
      <c r="AL5" s="578">
        <f t="shared" si="4"/>
        <v>0</v>
      </c>
      <c r="AM5" s="578">
        <f t="shared" si="4"/>
        <v>0</v>
      </c>
      <c r="AN5" s="578">
        <f t="shared" si="4"/>
        <v>0</v>
      </c>
      <c r="AO5" s="578">
        <f t="shared" si="4"/>
        <v>0</v>
      </c>
      <c r="AP5" s="578">
        <f t="shared" si="4"/>
        <v>0</v>
      </c>
      <c r="AQ5" s="578">
        <f t="shared" si="4"/>
        <v>0</v>
      </c>
      <c r="AR5" s="578">
        <f t="shared" si="4"/>
        <v>0</v>
      </c>
      <c r="AS5" s="578">
        <f t="shared" si="4"/>
        <v>0</v>
      </c>
      <c r="AT5" s="578">
        <f t="shared" si="4"/>
        <v>0</v>
      </c>
      <c r="AU5" s="578">
        <f t="shared" si="4"/>
        <v>0</v>
      </c>
      <c r="AV5" s="578">
        <f t="shared" si="4"/>
        <v>0</v>
      </c>
      <c r="AW5" s="578">
        <f t="shared" si="4"/>
        <v>0</v>
      </c>
      <c r="AX5" s="578">
        <f t="shared" si="4"/>
        <v>0</v>
      </c>
      <c r="AY5" s="578">
        <f t="shared" si="4"/>
        <v>0</v>
      </c>
      <c r="AZ5" s="578">
        <f t="shared" si="4"/>
        <v>0</v>
      </c>
      <c r="BA5" s="578">
        <f t="shared" si="4"/>
        <v>0</v>
      </c>
      <c r="BB5" s="578">
        <f t="shared" si="4"/>
        <v>0</v>
      </c>
      <c r="BC5" s="578">
        <f t="shared" si="4"/>
        <v>0</v>
      </c>
      <c r="BD5" s="578">
        <f t="shared" si="4"/>
        <v>0</v>
      </c>
      <c r="BE5" s="578">
        <f t="shared" si="4"/>
        <v>0</v>
      </c>
      <c r="BF5" s="578">
        <f t="shared" si="4"/>
        <v>0</v>
      </c>
      <c r="BG5" s="578">
        <f t="shared" si="4"/>
        <v>0</v>
      </c>
      <c r="BH5" s="578">
        <f t="shared" si="4"/>
        <v>0</v>
      </c>
      <c r="BI5" s="578">
        <f t="shared" si="4"/>
        <v>0</v>
      </c>
      <c r="BJ5" s="578">
        <f t="shared" si="4"/>
        <v>0</v>
      </c>
      <c r="BK5" s="578">
        <f t="shared" si="4"/>
        <v>0</v>
      </c>
      <c r="BL5" s="578">
        <f t="shared" si="4"/>
        <v>0</v>
      </c>
      <c r="BM5" s="578">
        <f t="shared" si="4"/>
        <v>0</v>
      </c>
      <c r="BN5" s="578">
        <f t="shared" si="4"/>
        <v>0</v>
      </c>
      <c r="BO5" s="578">
        <f t="shared" si="4"/>
        <v>0</v>
      </c>
      <c r="BP5" s="578">
        <f t="shared" si="4"/>
        <v>0</v>
      </c>
      <c r="BQ5" s="578">
        <f t="shared" si="4"/>
        <v>0</v>
      </c>
      <c r="BR5" s="578">
        <f t="shared" si="4"/>
        <v>0</v>
      </c>
      <c r="BS5" s="578">
        <f t="shared" si="4"/>
        <v>0</v>
      </c>
      <c r="BT5" s="578">
        <f t="shared" si="4"/>
        <v>0</v>
      </c>
      <c r="BU5" s="578">
        <f t="shared" si="4"/>
        <v>0</v>
      </c>
      <c r="BV5" s="578">
        <f t="shared" si="4"/>
        <v>0</v>
      </c>
      <c r="BW5" s="578">
        <f t="shared" si="4"/>
        <v>0</v>
      </c>
      <c r="BX5" s="578">
        <f t="shared" si="4"/>
        <v>0</v>
      </c>
      <c r="BY5" s="578">
        <f t="shared" si="4"/>
        <v>0</v>
      </c>
      <c r="BZ5" s="578">
        <f t="shared" si="4"/>
        <v>0</v>
      </c>
      <c r="CA5" s="578">
        <f t="shared" si="4"/>
        <v>0</v>
      </c>
      <c r="CB5" s="578">
        <f t="shared" si="4"/>
        <v>0</v>
      </c>
      <c r="CC5" s="578">
        <f t="shared" si="4"/>
        <v>0</v>
      </c>
      <c r="CD5" s="578">
        <f t="shared" si="4"/>
        <v>0</v>
      </c>
      <c r="CE5" s="578">
        <f t="shared" si="4"/>
        <v>0</v>
      </c>
      <c r="CF5" s="578">
        <f t="shared" si="4"/>
        <v>0</v>
      </c>
      <c r="CG5" s="578">
        <f t="shared" si="4"/>
        <v>0</v>
      </c>
      <c r="CH5" s="578">
        <f t="shared" si="4"/>
        <v>0</v>
      </c>
      <c r="CI5" s="578">
        <f t="shared" si="4"/>
        <v>0</v>
      </c>
      <c r="CJ5" s="578">
        <f t="shared" si="4"/>
        <v>0</v>
      </c>
      <c r="CK5" s="578">
        <f t="shared" si="4"/>
        <v>0</v>
      </c>
      <c r="CL5" s="578">
        <f t="shared" si="4"/>
        <v>0</v>
      </c>
      <c r="CM5" s="578">
        <f t="shared" si="4"/>
        <v>0</v>
      </c>
      <c r="CN5" s="578">
        <f t="shared" si="4"/>
        <v>0</v>
      </c>
      <c r="CO5" s="578">
        <f t="shared" si="4"/>
        <v>0</v>
      </c>
      <c r="CP5" s="578">
        <f t="shared" si="4"/>
        <v>0</v>
      </c>
      <c r="CQ5" s="578">
        <f t="shared" si="4"/>
        <v>0</v>
      </c>
      <c r="CR5" s="578">
        <f t="shared" si="4"/>
        <v>0</v>
      </c>
      <c r="CS5" s="578">
        <f t="shared" si="4"/>
        <v>0</v>
      </c>
      <c r="CT5" s="578">
        <f t="shared" si="4"/>
        <v>0</v>
      </c>
      <c r="CU5" s="578">
        <f t="shared" si="4"/>
        <v>0</v>
      </c>
      <c r="CV5" s="578">
        <f t="shared" si="4"/>
        <v>0</v>
      </c>
      <c r="CW5" s="578">
        <f t="shared" si="4"/>
        <v>0</v>
      </c>
      <c r="CX5" s="578">
        <f t="shared" si="4"/>
        <v>0</v>
      </c>
      <c r="CY5" s="578">
        <f t="shared" si="4"/>
        <v>0</v>
      </c>
      <c r="CZ5" s="578">
        <f t="shared" si="4"/>
        <v>0</v>
      </c>
      <c r="DA5" s="578">
        <f t="shared" si="4"/>
        <v>0</v>
      </c>
      <c r="DB5" s="578">
        <f t="shared" si="4"/>
        <v>0</v>
      </c>
      <c r="DC5" s="578">
        <f t="shared" si="4"/>
        <v>0</v>
      </c>
      <c r="DD5" s="578">
        <f t="shared" si="4"/>
        <v>0</v>
      </c>
      <c r="DE5" s="578">
        <f t="shared" si="4"/>
        <v>0</v>
      </c>
      <c r="DF5" s="581"/>
      <c r="DG5" s="581"/>
      <c r="DH5" s="581"/>
      <c r="DI5" s="581"/>
      <c r="DJ5" s="581"/>
      <c r="DK5" s="581"/>
      <c r="DL5" s="581"/>
    </row>
    <row r="6" spans="1:116" ht="19.5" customHeight="1" outlineLevel="1" x14ac:dyDescent="0.2">
      <c r="A6" s="570" t="s">
        <v>415</v>
      </c>
      <c r="B6" s="571">
        <f>C43*B47*F15</f>
        <v>29893644.679861061</v>
      </c>
      <c r="C6" s="580" t="s">
        <v>416</v>
      </c>
      <c r="D6" s="573"/>
      <c r="E6" s="581"/>
      <c r="F6" s="581"/>
      <c r="G6" s="581"/>
      <c r="H6" s="581"/>
      <c r="I6" s="576">
        <v>0</v>
      </c>
      <c r="J6" s="577">
        <f t="shared" si="2"/>
        <v>30491517.573458284</v>
      </c>
      <c r="K6" s="578">
        <f t="shared" ref="K6:DE6" si="5">0</f>
        <v>0</v>
      </c>
      <c r="L6" s="578">
        <f t="shared" si="5"/>
        <v>0</v>
      </c>
      <c r="M6" s="578">
        <f t="shared" si="5"/>
        <v>0</v>
      </c>
      <c r="N6" s="578">
        <f t="shared" si="5"/>
        <v>0</v>
      </c>
      <c r="O6" s="578">
        <f t="shared" si="5"/>
        <v>0</v>
      </c>
      <c r="P6" s="578">
        <f t="shared" si="5"/>
        <v>0</v>
      </c>
      <c r="Q6" s="578">
        <f t="shared" si="5"/>
        <v>0</v>
      </c>
      <c r="R6" s="578">
        <f t="shared" si="5"/>
        <v>0</v>
      </c>
      <c r="S6" s="578">
        <f t="shared" si="5"/>
        <v>0</v>
      </c>
      <c r="T6" s="578">
        <f t="shared" si="5"/>
        <v>0</v>
      </c>
      <c r="U6" s="578">
        <f t="shared" si="5"/>
        <v>0</v>
      </c>
      <c r="V6" s="578">
        <f t="shared" si="5"/>
        <v>0</v>
      </c>
      <c r="W6" s="578">
        <f t="shared" si="5"/>
        <v>0</v>
      </c>
      <c r="X6" s="578">
        <f t="shared" si="5"/>
        <v>0</v>
      </c>
      <c r="Y6" s="578">
        <f t="shared" si="5"/>
        <v>0</v>
      </c>
      <c r="Z6" s="578">
        <f t="shared" si="5"/>
        <v>0</v>
      </c>
      <c r="AA6" s="578">
        <f t="shared" si="5"/>
        <v>0</v>
      </c>
      <c r="AB6" s="578">
        <f t="shared" si="5"/>
        <v>0</v>
      </c>
      <c r="AC6" s="578">
        <f t="shared" si="5"/>
        <v>0</v>
      </c>
      <c r="AD6" s="578">
        <f t="shared" si="5"/>
        <v>0</v>
      </c>
      <c r="AE6" s="578">
        <f t="shared" si="5"/>
        <v>0</v>
      </c>
      <c r="AF6" s="578">
        <f t="shared" si="5"/>
        <v>0</v>
      </c>
      <c r="AG6" s="578">
        <f t="shared" si="5"/>
        <v>0</v>
      </c>
      <c r="AH6" s="578">
        <f t="shared" si="5"/>
        <v>0</v>
      </c>
      <c r="AI6" s="578">
        <f t="shared" si="5"/>
        <v>0</v>
      </c>
      <c r="AJ6" s="578">
        <f t="shared" si="5"/>
        <v>0</v>
      </c>
      <c r="AK6" s="578">
        <f t="shared" si="5"/>
        <v>0</v>
      </c>
      <c r="AL6" s="578">
        <f t="shared" si="5"/>
        <v>0</v>
      </c>
      <c r="AM6" s="578">
        <f t="shared" si="5"/>
        <v>0</v>
      </c>
      <c r="AN6" s="578">
        <f t="shared" si="5"/>
        <v>0</v>
      </c>
      <c r="AO6" s="578">
        <f t="shared" si="5"/>
        <v>0</v>
      </c>
      <c r="AP6" s="578">
        <f t="shared" si="5"/>
        <v>0</v>
      </c>
      <c r="AQ6" s="578">
        <f t="shared" si="5"/>
        <v>0</v>
      </c>
      <c r="AR6" s="578">
        <f t="shared" si="5"/>
        <v>0</v>
      </c>
      <c r="AS6" s="578">
        <f t="shared" si="5"/>
        <v>0</v>
      </c>
      <c r="AT6" s="578">
        <f t="shared" si="5"/>
        <v>0</v>
      </c>
      <c r="AU6" s="578">
        <f t="shared" si="5"/>
        <v>0</v>
      </c>
      <c r="AV6" s="578">
        <f t="shared" si="5"/>
        <v>0</v>
      </c>
      <c r="AW6" s="578">
        <f t="shared" si="5"/>
        <v>0</v>
      </c>
      <c r="AX6" s="578">
        <f t="shared" si="5"/>
        <v>0</v>
      </c>
      <c r="AY6" s="578">
        <f t="shared" si="5"/>
        <v>0</v>
      </c>
      <c r="AZ6" s="578">
        <f t="shared" si="5"/>
        <v>0</v>
      </c>
      <c r="BA6" s="578">
        <f t="shared" si="5"/>
        <v>0</v>
      </c>
      <c r="BB6" s="578">
        <f t="shared" si="5"/>
        <v>0</v>
      </c>
      <c r="BC6" s="578">
        <f t="shared" si="5"/>
        <v>0</v>
      </c>
      <c r="BD6" s="578">
        <f t="shared" si="5"/>
        <v>0</v>
      </c>
      <c r="BE6" s="578">
        <f t="shared" si="5"/>
        <v>0</v>
      </c>
      <c r="BF6" s="578">
        <f t="shared" si="5"/>
        <v>0</v>
      </c>
      <c r="BG6" s="578">
        <f t="shared" si="5"/>
        <v>0</v>
      </c>
      <c r="BH6" s="578">
        <f t="shared" si="5"/>
        <v>0</v>
      </c>
      <c r="BI6" s="578">
        <f t="shared" si="5"/>
        <v>0</v>
      </c>
      <c r="BJ6" s="578">
        <f t="shared" si="5"/>
        <v>0</v>
      </c>
      <c r="BK6" s="578">
        <f t="shared" si="5"/>
        <v>0</v>
      </c>
      <c r="BL6" s="578">
        <f t="shared" si="5"/>
        <v>0</v>
      </c>
      <c r="BM6" s="578">
        <f t="shared" si="5"/>
        <v>0</v>
      </c>
      <c r="BN6" s="578">
        <f t="shared" si="5"/>
        <v>0</v>
      </c>
      <c r="BO6" s="578">
        <f t="shared" si="5"/>
        <v>0</v>
      </c>
      <c r="BP6" s="578">
        <f t="shared" si="5"/>
        <v>0</v>
      </c>
      <c r="BQ6" s="578">
        <f t="shared" si="5"/>
        <v>0</v>
      </c>
      <c r="BR6" s="578">
        <f t="shared" si="5"/>
        <v>0</v>
      </c>
      <c r="BS6" s="578">
        <f t="shared" si="5"/>
        <v>0</v>
      </c>
      <c r="BT6" s="578">
        <f t="shared" si="5"/>
        <v>0</v>
      </c>
      <c r="BU6" s="578">
        <f t="shared" si="5"/>
        <v>0</v>
      </c>
      <c r="BV6" s="578">
        <f t="shared" si="5"/>
        <v>0</v>
      </c>
      <c r="BW6" s="578">
        <f t="shared" si="5"/>
        <v>0</v>
      </c>
      <c r="BX6" s="578">
        <f t="shared" si="5"/>
        <v>0</v>
      </c>
      <c r="BY6" s="578">
        <f t="shared" si="5"/>
        <v>0</v>
      </c>
      <c r="BZ6" s="578">
        <f t="shared" si="5"/>
        <v>0</v>
      </c>
      <c r="CA6" s="578">
        <f t="shared" si="5"/>
        <v>0</v>
      </c>
      <c r="CB6" s="578">
        <f t="shared" si="5"/>
        <v>0</v>
      </c>
      <c r="CC6" s="578">
        <f t="shared" si="5"/>
        <v>0</v>
      </c>
      <c r="CD6" s="578">
        <f t="shared" si="5"/>
        <v>0</v>
      </c>
      <c r="CE6" s="578">
        <f t="shared" si="5"/>
        <v>0</v>
      </c>
      <c r="CF6" s="578">
        <f t="shared" si="5"/>
        <v>0</v>
      </c>
      <c r="CG6" s="578">
        <f t="shared" si="5"/>
        <v>0</v>
      </c>
      <c r="CH6" s="578">
        <f t="shared" si="5"/>
        <v>0</v>
      </c>
      <c r="CI6" s="578">
        <f t="shared" si="5"/>
        <v>0</v>
      </c>
      <c r="CJ6" s="578">
        <f t="shared" si="5"/>
        <v>0</v>
      </c>
      <c r="CK6" s="578">
        <f t="shared" si="5"/>
        <v>0</v>
      </c>
      <c r="CL6" s="578">
        <f t="shared" si="5"/>
        <v>0</v>
      </c>
      <c r="CM6" s="578">
        <f t="shared" si="5"/>
        <v>0</v>
      </c>
      <c r="CN6" s="578">
        <f t="shared" si="5"/>
        <v>0</v>
      </c>
      <c r="CO6" s="578">
        <f t="shared" si="5"/>
        <v>0</v>
      </c>
      <c r="CP6" s="578">
        <f t="shared" si="5"/>
        <v>0</v>
      </c>
      <c r="CQ6" s="578">
        <f t="shared" si="5"/>
        <v>0</v>
      </c>
      <c r="CR6" s="578">
        <f t="shared" si="5"/>
        <v>0</v>
      </c>
      <c r="CS6" s="578">
        <f t="shared" si="5"/>
        <v>0</v>
      </c>
      <c r="CT6" s="578">
        <f t="shared" si="5"/>
        <v>0</v>
      </c>
      <c r="CU6" s="578">
        <f t="shared" si="5"/>
        <v>0</v>
      </c>
      <c r="CV6" s="578">
        <f t="shared" si="5"/>
        <v>0</v>
      </c>
      <c r="CW6" s="578">
        <f t="shared" si="5"/>
        <v>0</v>
      </c>
      <c r="CX6" s="578">
        <f t="shared" si="5"/>
        <v>0</v>
      </c>
      <c r="CY6" s="578">
        <f t="shared" si="5"/>
        <v>0</v>
      </c>
      <c r="CZ6" s="578">
        <f t="shared" si="5"/>
        <v>0</v>
      </c>
      <c r="DA6" s="578">
        <f t="shared" si="5"/>
        <v>0</v>
      </c>
      <c r="DB6" s="578">
        <f t="shared" si="5"/>
        <v>0</v>
      </c>
      <c r="DC6" s="578">
        <f t="shared" si="5"/>
        <v>0</v>
      </c>
      <c r="DD6" s="578">
        <f t="shared" si="5"/>
        <v>0</v>
      </c>
      <c r="DE6" s="578">
        <f t="shared" si="5"/>
        <v>0</v>
      </c>
      <c r="DF6" s="581"/>
      <c r="DG6" s="581"/>
      <c r="DH6" s="581"/>
      <c r="DI6" s="581"/>
      <c r="DJ6" s="581"/>
      <c r="DK6" s="581"/>
      <c r="DL6" s="581"/>
    </row>
    <row r="7" spans="1:116" ht="19.5" customHeight="1" outlineLevel="1" x14ac:dyDescent="0.2">
      <c r="A7" s="570" t="s">
        <v>25</v>
      </c>
      <c r="B7" s="571">
        <v>0</v>
      </c>
      <c r="C7" s="580" t="s">
        <v>417</v>
      </c>
      <c r="D7" s="573" t="s">
        <v>239</v>
      </c>
      <c r="E7" s="581"/>
      <c r="F7" s="581"/>
      <c r="G7" s="581"/>
      <c r="H7" s="581"/>
      <c r="I7" s="576">
        <v>0</v>
      </c>
      <c r="J7" s="577">
        <f t="shared" si="2"/>
        <v>0</v>
      </c>
      <c r="K7" s="578">
        <f t="shared" ref="K7:DE7" si="6">0</f>
        <v>0</v>
      </c>
      <c r="L7" s="578">
        <f t="shared" si="6"/>
        <v>0</v>
      </c>
      <c r="M7" s="578">
        <f t="shared" si="6"/>
        <v>0</v>
      </c>
      <c r="N7" s="578">
        <f t="shared" si="6"/>
        <v>0</v>
      </c>
      <c r="O7" s="578">
        <f t="shared" si="6"/>
        <v>0</v>
      </c>
      <c r="P7" s="578">
        <f t="shared" si="6"/>
        <v>0</v>
      </c>
      <c r="Q7" s="578">
        <f t="shared" si="6"/>
        <v>0</v>
      </c>
      <c r="R7" s="578">
        <f t="shared" si="6"/>
        <v>0</v>
      </c>
      <c r="S7" s="578">
        <f t="shared" si="6"/>
        <v>0</v>
      </c>
      <c r="T7" s="578">
        <f t="shared" si="6"/>
        <v>0</v>
      </c>
      <c r="U7" s="578">
        <f t="shared" si="6"/>
        <v>0</v>
      </c>
      <c r="V7" s="578">
        <f t="shared" si="6"/>
        <v>0</v>
      </c>
      <c r="W7" s="578">
        <f t="shared" si="6"/>
        <v>0</v>
      </c>
      <c r="X7" s="578">
        <f t="shared" si="6"/>
        <v>0</v>
      </c>
      <c r="Y7" s="578">
        <f t="shared" si="6"/>
        <v>0</v>
      </c>
      <c r="Z7" s="578">
        <f t="shared" si="6"/>
        <v>0</v>
      </c>
      <c r="AA7" s="578">
        <f t="shared" si="6"/>
        <v>0</v>
      </c>
      <c r="AB7" s="578">
        <f t="shared" si="6"/>
        <v>0</v>
      </c>
      <c r="AC7" s="578">
        <f t="shared" si="6"/>
        <v>0</v>
      </c>
      <c r="AD7" s="578">
        <f t="shared" si="6"/>
        <v>0</v>
      </c>
      <c r="AE7" s="578">
        <f t="shared" si="6"/>
        <v>0</v>
      </c>
      <c r="AF7" s="578">
        <f t="shared" si="6"/>
        <v>0</v>
      </c>
      <c r="AG7" s="578">
        <f t="shared" si="6"/>
        <v>0</v>
      </c>
      <c r="AH7" s="578">
        <f t="shared" si="6"/>
        <v>0</v>
      </c>
      <c r="AI7" s="578">
        <f t="shared" si="6"/>
        <v>0</v>
      </c>
      <c r="AJ7" s="578">
        <f t="shared" si="6"/>
        <v>0</v>
      </c>
      <c r="AK7" s="578">
        <f t="shared" si="6"/>
        <v>0</v>
      </c>
      <c r="AL7" s="578">
        <f t="shared" si="6"/>
        <v>0</v>
      </c>
      <c r="AM7" s="578">
        <f t="shared" si="6"/>
        <v>0</v>
      </c>
      <c r="AN7" s="578">
        <f t="shared" si="6"/>
        <v>0</v>
      </c>
      <c r="AO7" s="578">
        <f t="shared" si="6"/>
        <v>0</v>
      </c>
      <c r="AP7" s="578">
        <f t="shared" si="6"/>
        <v>0</v>
      </c>
      <c r="AQ7" s="578">
        <f t="shared" si="6"/>
        <v>0</v>
      </c>
      <c r="AR7" s="578">
        <f t="shared" si="6"/>
        <v>0</v>
      </c>
      <c r="AS7" s="578">
        <f t="shared" si="6"/>
        <v>0</v>
      </c>
      <c r="AT7" s="578">
        <f t="shared" si="6"/>
        <v>0</v>
      </c>
      <c r="AU7" s="578">
        <f t="shared" si="6"/>
        <v>0</v>
      </c>
      <c r="AV7" s="578">
        <f t="shared" si="6"/>
        <v>0</v>
      </c>
      <c r="AW7" s="578">
        <f t="shared" si="6"/>
        <v>0</v>
      </c>
      <c r="AX7" s="578">
        <f t="shared" si="6"/>
        <v>0</v>
      </c>
      <c r="AY7" s="578">
        <f t="shared" si="6"/>
        <v>0</v>
      </c>
      <c r="AZ7" s="578">
        <f t="shared" si="6"/>
        <v>0</v>
      </c>
      <c r="BA7" s="578">
        <f t="shared" si="6"/>
        <v>0</v>
      </c>
      <c r="BB7" s="578">
        <f t="shared" si="6"/>
        <v>0</v>
      </c>
      <c r="BC7" s="578">
        <f t="shared" si="6"/>
        <v>0</v>
      </c>
      <c r="BD7" s="578">
        <f t="shared" si="6"/>
        <v>0</v>
      </c>
      <c r="BE7" s="578">
        <f t="shared" si="6"/>
        <v>0</v>
      </c>
      <c r="BF7" s="578">
        <f t="shared" si="6"/>
        <v>0</v>
      </c>
      <c r="BG7" s="578">
        <f t="shared" si="6"/>
        <v>0</v>
      </c>
      <c r="BH7" s="578">
        <f t="shared" si="6"/>
        <v>0</v>
      </c>
      <c r="BI7" s="578">
        <f t="shared" si="6"/>
        <v>0</v>
      </c>
      <c r="BJ7" s="578">
        <f t="shared" si="6"/>
        <v>0</v>
      </c>
      <c r="BK7" s="578">
        <f t="shared" si="6"/>
        <v>0</v>
      </c>
      <c r="BL7" s="578">
        <f t="shared" si="6"/>
        <v>0</v>
      </c>
      <c r="BM7" s="578">
        <f t="shared" si="6"/>
        <v>0</v>
      </c>
      <c r="BN7" s="578">
        <f t="shared" si="6"/>
        <v>0</v>
      </c>
      <c r="BO7" s="578">
        <f t="shared" si="6"/>
        <v>0</v>
      </c>
      <c r="BP7" s="578">
        <f t="shared" si="6"/>
        <v>0</v>
      </c>
      <c r="BQ7" s="578">
        <f t="shared" si="6"/>
        <v>0</v>
      </c>
      <c r="BR7" s="578">
        <f t="shared" si="6"/>
        <v>0</v>
      </c>
      <c r="BS7" s="578">
        <f t="shared" si="6"/>
        <v>0</v>
      </c>
      <c r="BT7" s="578">
        <f t="shared" si="6"/>
        <v>0</v>
      </c>
      <c r="BU7" s="578">
        <f t="shared" si="6"/>
        <v>0</v>
      </c>
      <c r="BV7" s="578">
        <f t="shared" si="6"/>
        <v>0</v>
      </c>
      <c r="BW7" s="578">
        <f t="shared" si="6"/>
        <v>0</v>
      </c>
      <c r="BX7" s="578">
        <f t="shared" si="6"/>
        <v>0</v>
      </c>
      <c r="BY7" s="578">
        <f t="shared" si="6"/>
        <v>0</v>
      </c>
      <c r="BZ7" s="578">
        <f t="shared" si="6"/>
        <v>0</v>
      </c>
      <c r="CA7" s="578">
        <f t="shared" si="6"/>
        <v>0</v>
      </c>
      <c r="CB7" s="578">
        <f t="shared" si="6"/>
        <v>0</v>
      </c>
      <c r="CC7" s="578">
        <f t="shared" si="6"/>
        <v>0</v>
      </c>
      <c r="CD7" s="578">
        <f t="shared" si="6"/>
        <v>0</v>
      </c>
      <c r="CE7" s="578">
        <f t="shared" si="6"/>
        <v>0</v>
      </c>
      <c r="CF7" s="578">
        <f t="shared" si="6"/>
        <v>0</v>
      </c>
      <c r="CG7" s="578">
        <f t="shared" si="6"/>
        <v>0</v>
      </c>
      <c r="CH7" s="578">
        <f t="shared" si="6"/>
        <v>0</v>
      </c>
      <c r="CI7" s="578">
        <f t="shared" si="6"/>
        <v>0</v>
      </c>
      <c r="CJ7" s="578">
        <f t="shared" si="6"/>
        <v>0</v>
      </c>
      <c r="CK7" s="578">
        <f t="shared" si="6"/>
        <v>0</v>
      </c>
      <c r="CL7" s="578">
        <f t="shared" si="6"/>
        <v>0</v>
      </c>
      <c r="CM7" s="578">
        <f t="shared" si="6"/>
        <v>0</v>
      </c>
      <c r="CN7" s="578">
        <f t="shared" si="6"/>
        <v>0</v>
      </c>
      <c r="CO7" s="578">
        <f t="shared" si="6"/>
        <v>0</v>
      </c>
      <c r="CP7" s="578">
        <f t="shared" si="6"/>
        <v>0</v>
      </c>
      <c r="CQ7" s="578">
        <f t="shared" si="6"/>
        <v>0</v>
      </c>
      <c r="CR7" s="578">
        <f t="shared" si="6"/>
        <v>0</v>
      </c>
      <c r="CS7" s="578">
        <f t="shared" si="6"/>
        <v>0</v>
      </c>
      <c r="CT7" s="578">
        <f t="shared" si="6"/>
        <v>0</v>
      </c>
      <c r="CU7" s="578">
        <f t="shared" si="6"/>
        <v>0</v>
      </c>
      <c r="CV7" s="578">
        <f t="shared" si="6"/>
        <v>0</v>
      </c>
      <c r="CW7" s="578">
        <f t="shared" si="6"/>
        <v>0</v>
      </c>
      <c r="CX7" s="578">
        <f t="shared" si="6"/>
        <v>0</v>
      </c>
      <c r="CY7" s="578">
        <f t="shared" si="6"/>
        <v>0</v>
      </c>
      <c r="CZ7" s="578">
        <f t="shared" si="6"/>
        <v>0</v>
      </c>
      <c r="DA7" s="578">
        <f t="shared" si="6"/>
        <v>0</v>
      </c>
      <c r="DB7" s="578">
        <f t="shared" si="6"/>
        <v>0</v>
      </c>
      <c r="DC7" s="578">
        <f t="shared" si="6"/>
        <v>0</v>
      </c>
      <c r="DD7" s="578">
        <f t="shared" si="6"/>
        <v>0</v>
      </c>
      <c r="DE7" s="578">
        <f t="shared" si="6"/>
        <v>0</v>
      </c>
      <c r="DF7" s="581"/>
      <c r="DG7" s="581"/>
      <c r="DH7" s="581"/>
      <c r="DI7" s="581"/>
      <c r="DJ7" s="581"/>
      <c r="DK7" s="581"/>
      <c r="DL7" s="581"/>
    </row>
    <row r="8" spans="1:116" ht="19.5" customHeight="1" outlineLevel="1" x14ac:dyDescent="0.2">
      <c r="A8" s="570" t="s">
        <v>418</v>
      </c>
      <c r="B8" s="571">
        <f>C43*B48*F15</f>
        <v>38046456.865277715</v>
      </c>
      <c r="C8" s="580" t="s">
        <v>419</v>
      </c>
      <c r="D8" s="573" t="s">
        <v>239</v>
      </c>
      <c r="E8" s="581"/>
      <c r="F8" s="581"/>
      <c r="G8" s="581"/>
      <c r="H8" s="581"/>
      <c r="I8" s="576">
        <v>0</v>
      </c>
      <c r="J8" s="577">
        <f t="shared" si="2"/>
        <v>38807386.002583273</v>
      </c>
      <c r="K8" s="578">
        <f t="shared" ref="K8:DE8" si="7">0</f>
        <v>0</v>
      </c>
      <c r="L8" s="578">
        <f t="shared" si="7"/>
        <v>0</v>
      </c>
      <c r="M8" s="578">
        <f t="shared" si="7"/>
        <v>0</v>
      </c>
      <c r="N8" s="578">
        <f t="shared" si="7"/>
        <v>0</v>
      </c>
      <c r="O8" s="578">
        <f t="shared" si="7"/>
        <v>0</v>
      </c>
      <c r="P8" s="578">
        <f t="shared" si="7"/>
        <v>0</v>
      </c>
      <c r="Q8" s="578">
        <f t="shared" si="7"/>
        <v>0</v>
      </c>
      <c r="R8" s="578">
        <f t="shared" si="7"/>
        <v>0</v>
      </c>
      <c r="S8" s="578">
        <f t="shared" si="7"/>
        <v>0</v>
      </c>
      <c r="T8" s="578">
        <f t="shared" si="7"/>
        <v>0</v>
      </c>
      <c r="U8" s="578">
        <f t="shared" si="7"/>
        <v>0</v>
      </c>
      <c r="V8" s="578">
        <f t="shared" si="7"/>
        <v>0</v>
      </c>
      <c r="W8" s="578">
        <f t="shared" si="7"/>
        <v>0</v>
      </c>
      <c r="X8" s="578">
        <f t="shared" si="7"/>
        <v>0</v>
      </c>
      <c r="Y8" s="578">
        <f t="shared" si="7"/>
        <v>0</v>
      </c>
      <c r="Z8" s="578">
        <f t="shared" si="7"/>
        <v>0</v>
      </c>
      <c r="AA8" s="578">
        <f t="shared" si="7"/>
        <v>0</v>
      </c>
      <c r="AB8" s="578">
        <f t="shared" si="7"/>
        <v>0</v>
      </c>
      <c r="AC8" s="578">
        <f t="shared" si="7"/>
        <v>0</v>
      </c>
      <c r="AD8" s="578">
        <f t="shared" si="7"/>
        <v>0</v>
      </c>
      <c r="AE8" s="578">
        <f t="shared" si="7"/>
        <v>0</v>
      </c>
      <c r="AF8" s="578">
        <f t="shared" si="7"/>
        <v>0</v>
      </c>
      <c r="AG8" s="578">
        <f t="shared" si="7"/>
        <v>0</v>
      </c>
      <c r="AH8" s="578">
        <f t="shared" si="7"/>
        <v>0</v>
      </c>
      <c r="AI8" s="578">
        <f t="shared" si="7"/>
        <v>0</v>
      </c>
      <c r="AJ8" s="578">
        <f t="shared" si="7"/>
        <v>0</v>
      </c>
      <c r="AK8" s="578">
        <f t="shared" si="7"/>
        <v>0</v>
      </c>
      <c r="AL8" s="578">
        <f t="shared" si="7"/>
        <v>0</v>
      </c>
      <c r="AM8" s="578">
        <f t="shared" si="7"/>
        <v>0</v>
      </c>
      <c r="AN8" s="578">
        <f t="shared" si="7"/>
        <v>0</v>
      </c>
      <c r="AO8" s="578">
        <f t="shared" si="7"/>
        <v>0</v>
      </c>
      <c r="AP8" s="578">
        <f t="shared" si="7"/>
        <v>0</v>
      </c>
      <c r="AQ8" s="578">
        <f t="shared" si="7"/>
        <v>0</v>
      </c>
      <c r="AR8" s="578">
        <f t="shared" si="7"/>
        <v>0</v>
      </c>
      <c r="AS8" s="578">
        <f t="shared" si="7"/>
        <v>0</v>
      </c>
      <c r="AT8" s="578">
        <f t="shared" si="7"/>
        <v>0</v>
      </c>
      <c r="AU8" s="578">
        <f t="shared" si="7"/>
        <v>0</v>
      </c>
      <c r="AV8" s="578">
        <f t="shared" si="7"/>
        <v>0</v>
      </c>
      <c r="AW8" s="578">
        <f t="shared" si="7"/>
        <v>0</v>
      </c>
      <c r="AX8" s="578">
        <f t="shared" si="7"/>
        <v>0</v>
      </c>
      <c r="AY8" s="578">
        <f t="shared" si="7"/>
        <v>0</v>
      </c>
      <c r="AZ8" s="578">
        <f t="shared" si="7"/>
        <v>0</v>
      </c>
      <c r="BA8" s="578">
        <f t="shared" si="7"/>
        <v>0</v>
      </c>
      <c r="BB8" s="578">
        <f t="shared" si="7"/>
        <v>0</v>
      </c>
      <c r="BC8" s="578">
        <f t="shared" si="7"/>
        <v>0</v>
      </c>
      <c r="BD8" s="578">
        <f t="shared" si="7"/>
        <v>0</v>
      </c>
      <c r="BE8" s="578">
        <f t="shared" si="7"/>
        <v>0</v>
      </c>
      <c r="BF8" s="578">
        <f t="shared" si="7"/>
        <v>0</v>
      </c>
      <c r="BG8" s="578">
        <f t="shared" si="7"/>
        <v>0</v>
      </c>
      <c r="BH8" s="578">
        <f t="shared" si="7"/>
        <v>0</v>
      </c>
      <c r="BI8" s="578">
        <f t="shared" si="7"/>
        <v>0</v>
      </c>
      <c r="BJ8" s="578">
        <f t="shared" si="7"/>
        <v>0</v>
      </c>
      <c r="BK8" s="578">
        <f t="shared" si="7"/>
        <v>0</v>
      </c>
      <c r="BL8" s="578">
        <f t="shared" si="7"/>
        <v>0</v>
      </c>
      <c r="BM8" s="578">
        <f t="shared" si="7"/>
        <v>0</v>
      </c>
      <c r="BN8" s="578">
        <f t="shared" si="7"/>
        <v>0</v>
      </c>
      <c r="BO8" s="578">
        <f t="shared" si="7"/>
        <v>0</v>
      </c>
      <c r="BP8" s="578">
        <f t="shared" si="7"/>
        <v>0</v>
      </c>
      <c r="BQ8" s="578">
        <f t="shared" si="7"/>
        <v>0</v>
      </c>
      <c r="BR8" s="578">
        <f t="shared" si="7"/>
        <v>0</v>
      </c>
      <c r="BS8" s="578">
        <f t="shared" si="7"/>
        <v>0</v>
      </c>
      <c r="BT8" s="578">
        <f t="shared" si="7"/>
        <v>0</v>
      </c>
      <c r="BU8" s="578">
        <f t="shared" si="7"/>
        <v>0</v>
      </c>
      <c r="BV8" s="578">
        <f t="shared" si="7"/>
        <v>0</v>
      </c>
      <c r="BW8" s="578">
        <f t="shared" si="7"/>
        <v>0</v>
      </c>
      <c r="BX8" s="578">
        <f t="shared" si="7"/>
        <v>0</v>
      </c>
      <c r="BY8" s="578">
        <f t="shared" si="7"/>
        <v>0</v>
      </c>
      <c r="BZ8" s="578">
        <f t="shared" si="7"/>
        <v>0</v>
      </c>
      <c r="CA8" s="578">
        <f t="shared" si="7"/>
        <v>0</v>
      </c>
      <c r="CB8" s="578">
        <f t="shared" si="7"/>
        <v>0</v>
      </c>
      <c r="CC8" s="578">
        <f t="shared" si="7"/>
        <v>0</v>
      </c>
      <c r="CD8" s="578">
        <f t="shared" si="7"/>
        <v>0</v>
      </c>
      <c r="CE8" s="578">
        <f t="shared" si="7"/>
        <v>0</v>
      </c>
      <c r="CF8" s="578">
        <f t="shared" si="7"/>
        <v>0</v>
      </c>
      <c r="CG8" s="578">
        <f t="shared" si="7"/>
        <v>0</v>
      </c>
      <c r="CH8" s="578">
        <f t="shared" si="7"/>
        <v>0</v>
      </c>
      <c r="CI8" s="578">
        <f t="shared" si="7"/>
        <v>0</v>
      </c>
      <c r="CJ8" s="578">
        <f t="shared" si="7"/>
        <v>0</v>
      </c>
      <c r="CK8" s="578">
        <f t="shared" si="7"/>
        <v>0</v>
      </c>
      <c r="CL8" s="578">
        <f t="shared" si="7"/>
        <v>0</v>
      </c>
      <c r="CM8" s="578">
        <f t="shared" si="7"/>
        <v>0</v>
      </c>
      <c r="CN8" s="578">
        <f t="shared" si="7"/>
        <v>0</v>
      </c>
      <c r="CO8" s="578">
        <f t="shared" si="7"/>
        <v>0</v>
      </c>
      <c r="CP8" s="578">
        <f t="shared" si="7"/>
        <v>0</v>
      </c>
      <c r="CQ8" s="578">
        <f t="shared" si="7"/>
        <v>0</v>
      </c>
      <c r="CR8" s="578">
        <f t="shared" si="7"/>
        <v>0</v>
      </c>
      <c r="CS8" s="578">
        <f t="shared" si="7"/>
        <v>0</v>
      </c>
      <c r="CT8" s="578">
        <f t="shared" si="7"/>
        <v>0</v>
      </c>
      <c r="CU8" s="578">
        <f t="shared" si="7"/>
        <v>0</v>
      </c>
      <c r="CV8" s="578">
        <f t="shared" si="7"/>
        <v>0</v>
      </c>
      <c r="CW8" s="578">
        <f t="shared" si="7"/>
        <v>0</v>
      </c>
      <c r="CX8" s="578">
        <f t="shared" si="7"/>
        <v>0</v>
      </c>
      <c r="CY8" s="578">
        <f t="shared" si="7"/>
        <v>0</v>
      </c>
      <c r="CZ8" s="578">
        <f t="shared" si="7"/>
        <v>0</v>
      </c>
      <c r="DA8" s="578">
        <f t="shared" si="7"/>
        <v>0</v>
      </c>
      <c r="DB8" s="578">
        <f t="shared" si="7"/>
        <v>0</v>
      </c>
      <c r="DC8" s="578">
        <f t="shared" si="7"/>
        <v>0</v>
      </c>
      <c r="DD8" s="578">
        <f t="shared" si="7"/>
        <v>0</v>
      </c>
      <c r="DE8" s="578">
        <f t="shared" si="7"/>
        <v>0</v>
      </c>
      <c r="DF8" s="581"/>
      <c r="DG8" s="581"/>
      <c r="DH8" s="581"/>
      <c r="DI8" s="581"/>
      <c r="DJ8" s="581"/>
      <c r="DK8" s="581"/>
      <c r="DL8" s="581"/>
    </row>
    <row r="9" spans="1:116" ht="19.5" customHeight="1" outlineLevel="1" x14ac:dyDescent="0.2">
      <c r="A9" s="570" t="s">
        <v>27</v>
      </c>
      <c r="B9" s="571">
        <f t="array" ref="B9">NPV('Unit Costs and Indicators'!$B$26,J9:DE9)+I9</f>
        <v>116051401.53024556</v>
      </c>
      <c r="C9" s="576" t="s">
        <v>420</v>
      </c>
      <c r="D9" s="573"/>
      <c r="E9" s="581"/>
      <c r="F9" s="581"/>
      <c r="G9" s="581"/>
      <c r="I9" s="576">
        <v>0</v>
      </c>
      <c r="J9" s="580">
        <v>0</v>
      </c>
      <c r="K9" s="582">
        <f t="shared" ref="K9:DE9" si="8">($J$4)*$F$14*(1 + $F$13)^(K2-$J$2)</f>
        <v>2827395.2659024964</v>
      </c>
      <c r="L9" s="582">
        <f t="shared" si="8"/>
        <v>2883943.1712205461</v>
      </c>
      <c r="M9" s="582">
        <f t="shared" si="8"/>
        <v>2941622.0346449567</v>
      </c>
      <c r="N9" s="582">
        <f t="shared" si="8"/>
        <v>3000454.475337856</v>
      </c>
      <c r="O9" s="582">
        <f t="shared" si="8"/>
        <v>3060463.5648446134</v>
      </c>
      <c r="P9" s="582">
        <f t="shared" si="8"/>
        <v>3121672.8361415057</v>
      </c>
      <c r="Q9" s="582">
        <f t="shared" si="8"/>
        <v>3184106.2928643352</v>
      </c>
      <c r="R9" s="582">
        <f t="shared" si="8"/>
        <v>3247788.4187216223</v>
      </c>
      <c r="S9" s="582">
        <f t="shared" si="8"/>
        <v>3312744.1870960547</v>
      </c>
      <c r="T9" s="582">
        <f t="shared" si="8"/>
        <v>3378999.0708379759</v>
      </c>
      <c r="U9" s="582">
        <f t="shared" si="8"/>
        <v>3446579.0522547346</v>
      </c>
      <c r="V9" s="582">
        <f t="shared" si="8"/>
        <v>3515510.6332998299</v>
      </c>
      <c r="W9" s="582">
        <f t="shared" si="8"/>
        <v>3585820.8459658264</v>
      </c>
      <c r="X9" s="582">
        <f t="shared" si="8"/>
        <v>3657537.262885143</v>
      </c>
      <c r="Y9" s="582">
        <f t="shared" si="8"/>
        <v>3730688.0081428452</v>
      </c>
      <c r="Z9" s="582">
        <f t="shared" si="8"/>
        <v>3805301.7683057026</v>
      </c>
      <c r="AA9" s="582">
        <f t="shared" si="8"/>
        <v>3881407.8036718168</v>
      </c>
      <c r="AB9" s="582">
        <f t="shared" si="8"/>
        <v>3959035.959745253</v>
      </c>
      <c r="AC9" s="582">
        <f t="shared" si="8"/>
        <v>4038216.6789401579</v>
      </c>
      <c r="AD9" s="582">
        <f t="shared" si="8"/>
        <v>4118981.0125189614</v>
      </c>
      <c r="AE9" s="582">
        <f t="shared" si="8"/>
        <v>4201360.6327693406</v>
      </c>
      <c r="AF9" s="582">
        <f t="shared" si="8"/>
        <v>4285387.8454247275</v>
      </c>
      <c r="AG9" s="582">
        <f t="shared" si="8"/>
        <v>4371095.6023332207</v>
      </c>
      <c r="AH9" s="582">
        <f t="shared" si="8"/>
        <v>4458517.514379886</v>
      </c>
      <c r="AI9" s="582">
        <f t="shared" si="8"/>
        <v>4547687.8646674836</v>
      </c>
      <c r="AJ9" s="582">
        <f t="shared" si="8"/>
        <v>4638641.6219608337</v>
      </c>
      <c r="AK9" s="582">
        <f t="shared" si="8"/>
        <v>4731414.4544000495</v>
      </c>
      <c r="AL9" s="582">
        <f t="shared" si="8"/>
        <v>4826042.743488051</v>
      </c>
      <c r="AM9" s="582">
        <f t="shared" si="8"/>
        <v>4922563.5983578116</v>
      </c>
      <c r="AN9" s="582">
        <f t="shared" si="8"/>
        <v>5021014.8703249684</v>
      </c>
      <c r="AO9" s="582">
        <f t="shared" si="8"/>
        <v>5121435.1677314667</v>
      </c>
      <c r="AP9" s="582">
        <f t="shared" si="8"/>
        <v>5223863.8710860973</v>
      </c>
      <c r="AQ9" s="582">
        <f t="shared" si="8"/>
        <v>5328341.1485078195</v>
      </c>
      <c r="AR9" s="582">
        <f t="shared" si="8"/>
        <v>5434907.9714779751</v>
      </c>
      <c r="AS9" s="582">
        <f t="shared" si="8"/>
        <v>5543606.1309075346</v>
      </c>
      <c r="AT9" s="582">
        <f t="shared" si="8"/>
        <v>5654478.2535256846</v>
      </c>
      <c r="AU9" s="582">
        <f t="shared" si="8"/>
        <v>5767567.8185961992</v>
      </c>
      <c r="AV9" s="582">
        <f t="shared" si="8"/>
        <v>5882919.1749681244</v>
      </c>
      <c r="AW9" s="582">
        <f t="shared" si="8"/>
        <v>6000577.5584674841</v>
      </c>
      <c r="AX9" s="582">
        <f t="shared" si="8"/>
        <v>6120589.1096368358</v>
      </c>
      <c r="AY9" s="582">
        <f t="shared" si="8"/>
        <v>6243000.8918295717</v>
      </c>
      <c r="AZ9" s="582">
        <f t="shared" si="8"/>
        <v>6367860.9096661629</v>
      </c>
      <c r="BA9" s="582">
        <f t="shared" si="8"/>
        <v>6495218.1278594853</v>
      </c>
      <c r="BB9" s="582">
        <f t="shared" si="8"/>
        <v>6625122.4904166767</v>
      </c>
      <c r="BC9" s="582">
        <f t="shared" si="8"/>
        <v>6757624.9402250098</v>
      </c>
      <c r="BD9" s="582">
        <f t="shared" si="8"/>
        <v>6892777.4390295111</v>
      </c>
      <c r="BE9" s="582">
        <f t="shared" si="8"/>
        <v>7030632.9878100986</v>
      </c>
      <c r="BF9" s="582">
        <f t="shared" si="8"/>
        <v>7171245.6475663017</v>
      </c>
      <c r="BG9" s="582">
        <f t="shared" si="8"/>
        <v>7314670.5605176277</v>
      </c>
      <c r="BH9" s="582">
        <f t="shared" si="8"/>
        <v>7460963.9717279803</v>
      </c>
      <c r="BI9" s="582">
        <f t="shared" si="8"/>
        <v>7610183.2511625392</v>
      </c>
      <c r="BJ9" s="582">
        <f t="shared" si="8"/>
        <v>7762386.9161857916</v>
      </c>
      <c r="BK9" s="582">
        <f t="shared" si="8"/>
        <v>7917634.6545095062</v>
      </c>
      <c r="BL9" s="582">
        <f t="shared" si="8"/>
        <v>8075987.3475996973</v>
      </c>
      <c r="BM9" s="582">
        <f t="shared" si="8"/>
        <v>8237507.094551689</v>
      </c>
      <c r="BN9" s="582">
        <f t="shared" si="8"/>
        <v>8402257.2364427224</v>
      </c>
      <c r="BO9" s="582">
        <f t="shared" si="8"/>
        <v>8570302.3811715767</v>
      </c>
      <c r="BP9" s="582">
        <f t="shared" si="8"/>
        <v>8741708.4287950099</v>
      </c>
      <c r="BQ9" s="582">
        <f t="shared" si="8"/>
        <v>8916542.5973709095</v>
      </c>
      <c r="BR9" s="582">
        <f t="shared" si="8"/>
        <v>9094873.4493183289</v>
      </c>
      <c r="BS9" s="582">
        <f t="shared" si="8"/>
        <v>9276770.9183046948</v>
      </c>
      <c r="BT9" s="582">
        <f t="shared" si="8"/>
        <v>9462306.336670788</v>
      </c>
      <c r="BU9" s="582">
        <f t="shared" si="8"/>
        <v>9651552.4634042028</v>
      </c>
      <c r="BV9" s="582">
        <f t="shared" si="8"/>
        <v>9844583.5126722883</v>
      </c>
      <c r="BW9" s="582">
        <f t="shared" si="8"/>
        <v>10041475.182925735</v>
      </c>
      <c r="BX9" s="582">
        <f t="shared" si="8"/>
        <v>10242304.686584249</v>
      </c>
      <c r="BY9" s="582">
        <f t="shared" si="8"/>
        <v>10447150.780315934</v>
      </c>
      <c r="BZ9" s="582">
        <f t="shared" si="8"/>
        <v>10656093.795922251</v>
      </c>
      <c r="CA9" s="582">
        <f t="shared" si="8"/>
        <v>10869215.671840698</v>
      </c>
      <c r="CB9" s="582">
        <f t="shared" si="8"/>
        <v>11086599.985277513</v>
      </c>
      <c r="CC9" s="582">
        <f t="shared" si="8"/>
        <v>11308331.984983061</v>
      </c>
      <c r="CD9" s="582">
        <f t="shared" si="8"/>
        <v>11534498.624682723</v>
      </c>
      <c r="CE9" s="582">
        <f t="shared" si="8"/>
        <v>11765188.597176377</v>
      </c>
      <c r="CF9" s="582">
        <f t="shared" si="8"/>
        <v>12000492.369119905</v>
      </c>
      <c r="CG9" s="582">
        <f t="shared" si="8"/>
        <v>12240502.2165023</v>
      </c>
      <c r="CH9" s="582">
        <f t="shared" si="8"/>
        <v>12485312.260832349</v>
      </c>
      <c r="CI9" s="582">
        <f t="shared" si="8"/>
        <v>12735018.506048996</v>
      </c>
      <c r="CJ9" s="582">
        <f t="shared" si="8"/>
        <v>12989718.876169976</v>
      </c>
      <c r="CK9" s="582">
        <f t="shared" si="8"/>
        <v>13249513.253693372</v>
      </c>
      <c r="CL9" s="582">
        <f t="shared" si="8"/>
        <v>13514503.518767241</v>
      </c>
      <c r="CM9" s="582">
        <f t="shared" si="8"/>
        <v>13784793.589142587</v>
      </c>
      <c r="CN9" s="582">
        <f t="shared" si="8"/>
        <v>14060489.460925438</v>
      </c>
      <c r="CO9" s="582">
        <f t="shared" si="8"/>
        <v>14341699.250143945</v>
      </c>
      <c r="CP9" s="582">
        <f t="shared" si="8"/>
        <v>14628533.235146826</v>
      </c>
      <c r="CQ9" s="582">
        <f t="shared" si="8"/>
        <v>14921103.899849763</v>
      </c>
      <c r="CR9" s="582">
        <f t="shared" si="8"/>
        <v>15219525.977846758</v>
      </c>
      <c r="CS9" s="582">
        <f t="shared" si="8"/>
        <v>15523916.497403689</v>
      </c>
      <c r="CT9" s="582">
        <f t="shared" si="8"/>
        <v>15834394.827351764</v>
      </c>
      <c r="CU9" s="582">
        <f t="shared" si="8"/>
        <v>16151082.723898802</v>
      </c>
      <c r="CV9" s="582">
        <f t="shared" si="8"/>
        <v>16474104.378376778</v>
      </c>
      <c r="CW9" s="582">
        <f t="shared" si="8"/>
        <v>16803586.465944309</v>
      </c>
      <c r="CX9" s="582">
        <f t="shared" si="8"/>
        <v>17139658.1952632</v>
      </c>
      <c r="CY9" s="582">
        <f t="shared" si="8"/>
        <v>17482451.359168462</v>
      </c>
      <c r="CZ9" s="582">
        <f t="shared" si="8"/>
        <v>17832100.386351831</v>
      </c>
      <c r="DA9" s="582">
        <f t="shared" si="8"/>
        <v>18188742.394078866</v>
      </c>
      <c r="DB9" s="582">
        <f t="shared" si="8"/>
        <v>18552517.241960444</v>
      </c>
      <c r="DC9" s="582">
        <f t="shared" si="8"/>
        <v>18923567.586799655</v>
      </c>
      <c r="DD9" s="582">
        <f t="shared" si="8"/>
        <v>19302038.938535646</v>
      </c>
      <c r="DE9" s="582">
        <f t="shared" si="8"/>
        <v>19688079.717306361</v>
      </c>
      <c r="DF9" s="580"/>
      <c r="DG9" s="581"/>
      <c r="DH9" s="581"/>
      <c r="DI9" s="581"/>
      <c r="DJ9" s="581"/>
      <c r="DK9" s="581"/>
      <c r="DL9" s="581"/>
    </row>
    <row r="10" spans="1:116" ht="19.5" customHeight="1" outlineLevel="1" x14ac:dyDescent="0.2">
      <c r="A10" s="583"/>
      <c r="B10" s="571">
        <f>SUM(I10:DE10)</f>
        <v>269042802.11874926</v>
      </c>
      <c r="C10" s="576" t="s">
        <v>421</v>
      </c>
      <c r="D10" s="573"/>
      <c r="E10" s="581"/>
      <c r="F10" s="581"/>
      <c r="G10" s="581"/>
      <c r="I10" s="576">
        <v>0</v>
      </c>
      <c r="J10" s="580">
        <v>0</v>
      </c>
      <c r="K10" s="584">
        <f t="shared" ref="K10:DE10" si="9">K9/(1 + $F$13)^(K2-$I$2)</f>
        <v>2717604.0618055523</v>
      </c>
      <c r="L10" s="584">
        <f t="shared" si="9"/>
        <v>2717604.0618055519</v>
      </c>
      <c r="M10" s="584">
        <f t="shared" si="9"/>
        <v>2717604.0618055519</v>
      </c>
      <c r="N10" s="584">
        <f t="shared" si="9"/>
        <v>2717604.0618055519</v>
      </c>
      <c r="O10" s="584">
        <f t="shared" si="9"/>
        <v>2717604.0618055519</v>
      </c>
      <c r="P10" s="584">
        <f t="shared" si="9"/>
        <v>2717604.0618055523</v>
      </c>
      <c r="Q10" s="584">
        <f t="shared" si="9"/>
        <v>2717604.0618055519</v>
      </c>
      <c r="R10" s="584">
        <f t="shared" si="9"/>
        <v>2717604.0618055519</v>
      </c>
      <c r="S10" s="584">
        <f t="shared" si="9"/>
        <v>2717604.0618055519</v>
      </c>
      <c r="T10" s="584">
        <f t="shared" si="9"/>
        <v>2717604.0618055523</v>
      </c>
      <c r="U10" s="584">
        <f t="shared" si="9"/>
        <v>2717604.0618055514</v>
      </c>
      <c r="V10" s="584">
        <f t="shared" si="9"/>
        <v>2717604.0618055519</v>
      </c>
      <c r="W10" s="584">
        <f t="shared" si="9"/>
        <v>2717604.0618055514</v>
      </c>
      <c r="X10" s="584">
        <f t="shared" si="9"/>
        <v>2717604.0618055523</v>
      </c>
      <c r="Y10" s="584">
        <f t="shared" si="9"/>
        <v>2717604.0618055514</v>
      </c>
      <c r="Z10" s="584">
        <f t="shared" si="9"/>
        <v>2717604.0618055514</v>
      </c>
      <c r="AA10" s="584">
        <f t="shared" si="9"/>
        <v>2717604.0618055519</v>
      </c>
      <c r="AB10" s="584">
        <f t="shared" si="9"/>
        <v>2717604.0618055519</v>
      </c>
      <c r="AC10" s="584">
        <f t="shared" si="9"/>
        <v>2717604.0618055514</v>
      </c>
      <c r="AD10" s="584">
        <f t="shared" si="9"/>
        <v>2717604.0618055519</v>
      </c>
      <c r="AE10" s="584">
        <f t="shared" si="9"/>
        <v>2717604.0618055519</v>
      </c>
      <c r="AF10" s="584">
        <f t="shared" si="9"/>
        <v>2717604.0618055523</v>
      </c>
      <c r="AG10" s="584">
        <f t="shared" si="9"/>
        <v>2717604.0618055514</v>
      </c>
      <c r="AH10" s="584">
        <f t="shared" si="9"/>
        <v>2717604.0618055519</v>
      </c>
      <c r="AI10" s="584">
        <f t="shared" si="9"/>
        <v>2717604.0618055519</v>
      </c>
      <c r="AJ10" s="584">
        <f t="shared" si="9"/>
        <v>2717604.0618055523</v>
      </c>
      <c r="AK10" s="584">
        <f t="shared" si="9"/>
        <v>2717604.0618055514</v>
      </c>
      <c r="AL10" s="584">
        <f t="shared" si="9"/>
        <v>2717604.0618055519</v>
      </c>
      <c r="AM10" s="584">
        <f t="shared" si="9"/>
        <v>2717604.0618055514</v>
      </c>
      <c r="AN10" s="584">
        <f t="shared" si="9"/>
        <v>2717604.0618055523</v>
      </c>
      <c r="AO10" s="584">
        <f t="shared" si="9"/>
        <v>2717604.0618055514</v>
      </c>
      <c r="AP10" s="584">
        <f t="shared" si="9"/>
        <v>2717604.0618055519</v>
      </c>
      <c r="AQ10" s="584">
        <f t="shared" si="9"/>
        <v>2717604.0618055523</v>
      </c>
      <c r="AR10" s="584">
        <f t="shared" si="9"/>
        <v>2717604.0618055519</v>
      </c>
      <c r="AS10" s="584">
        <f t="shared" si="9"/>
        <v>2717604.0618055519</v>
      </c>
      <c r="AT10" s="584">
        <f t="shared" si="9"/>
        <v>2717604.0618055514</v>
      </c>
      <c r="AU10" s="584">
        <f t="shared" si="9"/>
        <v>2717604.0618055514</v>
      </c>
      <c r="AV10" s="584">
        <f t="shared" si="9"/>
        <v>2717604.0618055533</v>
      </c>
      <c r="AW10" s="584">
        <f t="shared" si="9"/>
        <v>2717604.0618055509</v>
      </c>
      <c r="AX10" s="584">
        <f t="shared" si="9"/>
        <v>2717604.0618055523</v>
      </c>
      <c r="AY10" s="584">
        <f t="shared" si="9"/>
        <v>2717604.0618055519</v>
      </c>
      <c r="AZ10" s="584">
        <f t="shared" si="9"/>
        <v>2717604.0618055519</v>
      </c>
      <c r="BA10" s="584">
        <f t="shared" si="9"/>
        <v>2717604.0618055514</v>
      </c>
      <c r="BB10" s="584">
        <f t="shared" si="9"/>
        <v>2717604.0618055523</v>
      </c>
      <c r="BC10" s="584">
        <f t="shared" si="9"/>
        <v>2717604.0618055514</v>
      </c>
      <c r="BD10" s="584">
        <f t="shared" si="9"/>
        <v>2717604.0618055528</v>
      </c>
      <c r="BE10" s="584">
        <f t="shared" si="9"/>
        <v>2717604.0618055514</v>
      </c>
      <c r="BF10" s="584">
        <f t="shared" si="9"/>
        <v>2717604.0618055519</v>
      </c>
      <c r="BG10" s="584">
        <f t="shared" si="9"/>
        <v>2717604.0618055519</v>
      </c>
      <c r="BH10" s="584">
        <f t="shared" si="9"/>
        <v>2717604.0618055519</v>
      </c>
      <c r="BI10" s="584">
        <f t="shared" si="9"/>
        <v>2717604.0618055514</v>
      </c>
      <c r="BJ10" s="584">
        <f t="shared" si="9"/>
        <v>2717604.0618055523</v>
      </c>
      <c r="BK10" s="584">
        <f t="shared" si="9"/>
        <v>2717604.0618055514</v>
      </c>
      <c r="BL10" s="584">
        <f t="shared" si="9"/>
        <v>2717604.0618055528</v>
      </c>
      <c r="BM10" s="584">
        <f t="shared" si="9"/>
        <v>2717604.0618055519</v>
      </c>
      <c r="BN10" s="584">
        <f t="shared" si="9"/>
        <v>2717604.0618055519</v>
      </c>
      <c r="BO10" s="584">
        <f t="shared" si="9"/>
        <v>2717604.0618055514</v>
      </c>
      <c r="BP10" s="584">
        <f t="shared" si="9"/>
        <v>2717604.0618055523</v>
      </c>
      <c r="BQ10" s="584">
        <f t="shared" si="9"/>
        <v>2717604.0618055514</v>
      </c>
      <c r="BR10" s="584">
        <f t="shared" si="9"/>
        <v>2717604.0618055523</v>
      </c>
      <c r="BS10" s="584">
        <f t="shared" si="9"/>
        <v>2717604.0618055519</v>
      </c>
      <c r="BT10" s="584">
        <f t="shared" si="9"/>
        <v>2717604.0618055523</v>
      </c>
      <c r="BU10" s="584">
        <f t="shared" si="9"/>
        <v>2717604.0618055514</v>
      </c>
      <c r="BV10" s="584">
        <f t="shared" si="9"/>
        <v>2717604.0618055519</v>
      </c>
      <c r="BW10" s="584">
        <f t="shared" si="9"/>
        <v>2717604.0618055519</v>
      </c>
      <c r="BX10" s="584">
        <f t="shared" si="9"/>
        <v>2717604.0618055519</v>
      </c>
      <c r="BY10" s="584">
        <f t="shared" si="9"/>
        <v>2717604.0618055519</v>
      </c>
      <c r="BZ10" s="584">
        <f t="shared" si="9"/>
        <v>2717604.0618055514</v>
      </c>
      <c r="CA10" s="584">
        <f t="shared" si="9"/>
        <v>2717604.0618055514</v>
      </c>
      <c r="CB10" s="584">
        <f t="shared" si="9"/>
        <v>2717604.0618055523</v>
      </c>
      <c r="CC10" s="584">
        <f t="shared" si="9"/>
        <v>2717604.0618055514</v>
      </c>
      <c r="CD10" s="584">
        <f t="shared" si="9"/>
        <v>2717604.0618055519</v>
      </c>
      <c r="CE10" s="584">
        <f t="shared" si="9"/>
        <v>2717604.0618055514</v>
      </c>
      <c r="CF10" s="584">
        <f t="shared" si="9"/>
        <v>2717604.0618055523</v>
      </c>
      <c r="CG10" s="584">
        <f t="shared" si="9"/>
        <v>2717604.0618055509</v>
      </c>
      <c r="CH10" s="584">
        <f t="shared" si="9"/>
        <v>2717604.0618055519</v>
      </c>
      <c r="CI10" s="584">
        <f t="shared" si="9"/>
        <v>2717604.0618055519</v>
      </c>
      <c r="CJ10" s="584">
        <f t="shared" si="9"/>
        <v>2717604.0618055523</v>
      </c>
      <c r="CK10" s="584">
        <f t="shared" si="9"/>
        <v>2717604.0618055514</v>
      </c>
      <c r="CL10" s="584">
        <f t="shared" si="9"/>
        <v>2717604.0618055519</v>
      </c>
      <c r="CM10" s="584">
        <f t="shared" si="9"/>
        <v>2717604.0618055523</v>
      </c>
      <c r="CN10" s="584">
        <f t="shared" si="9"/>
        <v>2717604.0618055519</v>
      </c>
      <c r="CO10" s="584">
        <f t="shared" si="9"/>
        <v>2717604.0618055514</v>
      </c>
      <c r="CP10" s="584">
        <f t="shared" si="9"/>
        <v>2717604.0618055519</v>
      </c>
      <c r="CQ10" s="584">
        <f t="shared" si="9"/>
        <v>2717604.0618055519</v>
      </c>
      <c r="CR10" s="584">
        <f t="shared" si="9"/>
        <v>2717604.0618055523</v>
      </c>
      <c r="CS10" s="584">
        <f t="shared" si="9"/>
        <v>2717604.0618055514</v>
      </c>
      <c r="CT10" s="584">
        <f t="shared" si="9"/>
        <v>2717604.0618055514</v>
      </c>
      <c r="CU10" s="584">
        <f t="shared" si="9"/>
        <v>2717604.0618055519</v>
      </c>
      <c r="CV10" s="584">
        <f t="shared" si="9"/>
        <v>2717604.0618055523</v>
      </c>
      <c r="CW10" s="584">
        <f t="shared" si="9"/>
        <v>2717604.0618055509</v>
      </c>
      <c r="CX10" s="584">
        <f t="shared" si="9"/>
        <v>2717604.0618055519</v>
      </c>
      <c r="CY10" s="584">
        <f t="shared" si="9"/>
        <v>2717604.0618055519</v>
      </c>
      <c r="CZ10" s="584">
        <f t="shared" si="9"/>
        <v>2717604.0618055523</v>
      </c>
      <c r="DA10" s="584">
        <f t="shared" si="9"/>
        <v>2717604.0618055514</v>
      </c>
      <c r="DB10" s="584">
        <f t="shared" si="9"/>
        <v>2717604.0618055514</v>
      </c>
      <c r="DC10" s="584">
        <f t="shared" si="9"/>
        <v>2717604.0618055519</v>
      </c>
      <c r="DD10" s="584">
        <f t="shared" si="9"/>
        <v>2717604.0618055514</v>
      </c>
      <c r="DE10" s="584">
        <f t="shared" si="9"/>
        <v>2717604.0618055519</v>
      </c>
      <c r="DF10" s="581"/>
      <c r="DG10" s="581"/>
      <c r="DH10" s="581"/>
      <c r="DI10" s="581"/>
      <c r="DJ10" s="581"/>
      <c r="DK10" s="581"/>
      <c r="DL10" s="581"/>
    </row>
    <row r="11" spans="1:116" ht="19.5" customHeight="1" outlineLevel="1" x14ac:dyDescent="0.2">
      <c r="A11" s="585" t="s">
        <v>422</v>
      </c>
      <c r="B11" s="571">
        <f t="array" ref="B11">NPV('Unit Costs and Indicators'!$B$26,J11:DE11)+I11</f>
        <v>131180952.18196909</v>
      </c>
      <c r="C11" s="576" t="s">
        <v>423</v>
      </c>
      <c r="D11" s="573"/>
      <c r="E11" s="581"/>
      <c r="F11" s="581"/>
      <c r="G11" s="581"/>
      <c r="H11" s="581"/>
      <c r="I11" s="576">
        <v>0</v>
      </c>
      <c r="J11" s="580">
        <v>0</v>
      </c>
      <c r="K11" s="584">
        <f>'Financial Modeling'!C16</f>
        <v>6000000</v>
      </c>
      <c r="L11" s="584">
        <f>'Financial Modeling'!D16</f>
        <v>6000000</v>
      </c>
      <c r="M11" s="584">
        <f>'Financial Modeling'!E16</f>
        <v>6000000</v>
      </c>
      <c r="N11" s="584">
        <f>'Financial Modeling'!F16</f>
        <v>6000000</v>
      </c>
      <c r="O11" s="584">
        <f>'Financial Modeling'!G16</f>
        <v>6000000</v>
      </c>
      <c r="P11" s="586">
        <f>'Financial Modeling'!J16</f>
        <v>6750000</v>
      </c>
      <c r="Q11" s="582">
        <f>'Financial Modeling'!K16</f>
        <v>6750000</v>
      </c>
      <c r="R11" s="582">
        <f>'Financial Modeling'!L16</f>
        <v>6750000</v>
      </c>
      <c r="S11" s="582">
        <f>'Financial Modeling'!M16</f>
        <v>6750000</v>
      </c>
      <c r="T11" s="582">
        <f>'Financial Modeling'!N16</f>
        <v>6750000</v>
      </c>
      <c r="U11" s="582">
        <f>'Financial Modeling'!O16</f>
        <v>6750000</v>
      </c>
      <c r="V11" s="582">
        <f>'Financial Modeling'!P16</f>
        <v>6750000</v>
      </c>
      <c r="W11" s="582">
        <f>'Financial Modeling'!Q16</f>
        <v>6750000</v>
      </c>
      <c r="X11" s="582">
        <f>'Financial Modeling'!R16</f>
        <v>6750000</v>
      </c>
      <c r="Y11" s="582">
        <f>'Financial Modeling'!S16</f>
        <v>6750000</v>
      </c>
      <c r="Z11" s="582">
        <f>'Financial Modeling'!T16</f>
        <v>6750000</v>
      </c>
      <c r="AA11" s="582">
        <f>'Financial Modeling'!U16</f>
        <v>6750000</v>
      </c>
      <c r="AB11" s="582">
        <f>'Financial Modeling'!V16</f>
        <v>6750000</v>
      </c>
      <c r="AC11" s="582">
        <f>'Financial Modeling'!W16</f>
        <v>6750000</v>
      </c>
      <c r="AD11" s="582">
        <f>'Financial Modeling'!X16</f>
        <v>6750000</v>
      </c>
      <c r="AE11" s="582">
        <f>'Financial Modeling'!Y16</f>
        <v>6750000</v>
      </c>
      <c r="AF11" s="582">
        <f>'Financial Modeling'!Z16</f>
        <v>6750000</v>
      </c>
      <c r="AG11" s="582">
        <f>'Financial Modeling'!AA16</f>
        <v>6750000</v>
      </c>
      <c r="AH11" s="582">
        <f>'Financial Modeling'!AB16</f>
        <v>6750000</v>
      </c>
      <c r="AI11" s="582">
        <f>'Financial Modeling'!AC16</f>
        <v>6750000</v>
      </c>
      <c r="AJ11" s="582">
        <f>'Financial Modeling'!AD16</f>
        <v>6750000</v>
      </c>
      <c r="AK11" s="582">
        <f>'Financial Modeling'!AE16</f>
        <v>6750000</v>
      </c>
      <c r="AL11" s="582">
        <f>'Financial Modeling'!AF16</f>
        <v>6750000</v>
      </c>
      <c r="AM11" s="582">
        <f>'Financial Modeling'!AG16</f>
        <v>6750000</v>
      </c>
      <c r="AN11" s="582">
        <f>'Financial Modeling'!AH16</f>
        <v>6750000</v>
      </c>
      <c r="AO11" s="582">
        <f>'Financial Modeling'!AI16</f>
        <v>5500000</v>
      </c>
      <c r="AP11" s="582">
        <f>'Financial Modeling'!AJ16</f>
        <v>5500000</v>
      </c>
      <c r="AQ11" s="582">
        <f>'Financial Modeling'!AK16</f>
        <v>5500000</v>
      </c>
      <c r="AR11" s="582">
        <f>'Financial Modeling'!AL16</f>
        <v>5500000</v>
      </c>
      <c r="AS11" s="582">
        <f>'Financial Modeling'!AM16</f>
        <v>5500000</v>
      </c>
      <c r="AT11" s="582">
        <f>'Financial Modeling'!AN16</f>
        <v>5500000</v>
      </c>
      <c r="AU11" s="582">
        <f>'Financial Modeling'!AO16</f>
        <v>5500000</v>
      </c>
      <c r="AV11" s="582">
        <f>'Financial Modeling'!AP16</f>
        <v>5500000</v>
      </c>
      <c r="AW11" s="582">
        <f>'Financial Modeling'!AQ16</f>
        <v>5500000</v>
      </c>
      <c r="AX11" s="582">
        <f>'Financial Modeling'!AR16</f>
        <v>5500000</v>
      </c>
      <c r="AY11" s="582">
        <f>'Financial Modeling'!AS16</f>
        <v>5500000</v>
      </c>
      <c r="AZ11" s="582">
        <f>'Financial Modeling'!AT16</f>
        <v>5500000</v>
      </c>
      <c r="BA11" s="582">
        <f>'Financial Modeling'!AU16</f>
        <v>5500000</v>
      </c>
      <c r="BB11" s="582">
        <f>'Financial Modeling'!AV16</f>
        <v>5500000</v>
      </c>
      <c r="BC11" s="582">
        <f>'Financial Modeling'!AW16</f>
        <v>5500000</v>
      </c>
      <c r="BD11" s="582">
        <f>'Financial Modeling'!AX16</f>
        <v>5500000</v>
      </c>
      <c r="BE11" s="582">
        <f>'Financial Modeling'!AY16</f>
        <v>5500000</v>
      </c>
      <c r="BF11" s="582">
        <f>'Financial Modeling'!AZ16</f>
        <v>5500000</v>
      </c>
      <c r="BG11" s="582">
        <f>'Financial Modeling'!BA16</f>
        <v>5500000</v>
      </c>
      <c r="BH11" s="582">
        <f>'Financial Modeling'!BB16</f>
        <v>5500000</v>
      </c>
      <c r="BI11" s="582">
        <f>'Financial Modeling'!BC16</f>
        <v>0</v>
      </c>
      <c r="BJ11" s="582">
        <f>'Financial Modeling'!BD16</f>
        <v>0</v>
      </c>
      <c r="BK11" s="582">
        <f>'Financial Modeling'!BE16</f>
        <v>0</v>
      </c>
      <c r="BL11" s="582">
        <f>'Financial Modeling'!BF16</f>
        <v>0</v>
      </c>
      <c r="BM11" s="582">
        <f>'Financial Modeling'!BG16</f>
        <v>0</v>
      </c>
      <c r="BN11" s="582">
        <f>'Financial Modeling'!BH16</f>
        <v>0</v>
      </c>
      <c r="BO11" s="582">
        <f>'Financial Modeling'!BI16</f>
        <v>0</v>
      </c>
      <c r="BP11" s="582">
        <f>'Financial Modeling'!BJ16</f>
        <v>0</v>
      </c>
      <c r="BQ11" s="582">
        <f>'Financial Modeling'!BK16</f>
        <v>0</v>
      </c>
      <c r="BR11" s="582">
        <f>'Financial Modeling'!BL16</f>
        <v>0</v>
      </c>
      <c r="BS11" s="582">
        <f>'Financial Modeling'!BM16</f>
        <v>0</v>
      </c>
      <c r="BT11" s="582">
        <f>'Financial Modeling'!BN16</f>
        <v>0</v>
      </c>
      <c r="BU11" s="582">
        <f>'Financial Modeling'!BO16</f>
        <v>0</v>
      </c>
      <c r="BV11" s="582">
        <f>'Financial Modeling'!BP16</f>
        <v>0</v>
      </c>
      <c r="BW11" s="582">
        <f>'Financial Modeling'!BQ16</f>
        <v>0</v>
      </c>
      <c r="BX11" s="582">
        <f>'Financial Modeling'!BR16</f>
        <v>0</v>
      </c>
      <c r="BY11" s="582">
        <f>'Financial Modeling'!BS16</f>
        <v>0</v>
      </c>
      <c r="BZ11" s="582">
        <f>'Financial Modeling'!BT16</f>
        <v>0</v>
      </c>
      <c r="CA11" s="582">
        <f>'Financial Modeling'!BU16</f>
        <v>0</v>
      </c>
      <c r="CB11" s="582">
        <f>'Financial Modeling'!BV16</f>
        <v>0</v>
      </c>
      <c r="CC11" s="582">
        <f>'Financial Modeling'!BW16</f>
        <v>0</v>
      </c>
      <c r="CD11" s="582">
        <f>'Financial Modeling'!BX16</f>
        <v>0</v>
      </c>
      <c r="CE11" s="582">
        <f>'Financial Modeling'!BY16</f>
        <v>0</v>
      </c>
      <c r="CF11" s="582">
        <f>'Financial Modeling'!BZ16</f>
        <v>0</v>
      </c>
      <c r="CG11" s="582">
        <f>'Financial Modeling'!CA16</f>
        <v>0</v>
      </c>
      <c r="CH11" s="582">
        <f>'Financial Modeling'!CB16</f>
        <v>0</v>
      </c>
      <c r="CI11" s="582">
        <f>'Financial Modeling'!CC16</f>
        <v>0</v>
      </c>
      <c r="CJ11" s="582">
        <f>'Financial Modeling'!CD16</f>
        <v>0</v>
      </c>
      <c r="CK11" s="582">
        <f>'Financial Modeling'!CE16</f>
        <v>0</v>
      </c>
      <c r="CL11" s="582">
        <f>'Financial Modeling'!CF16</f>
        <v>0</v>
      </c>
      <c r="CM11" s="582">
        <f>'Financial Modeling'!CG16</f>
        <v>0</v>
      </c>
      <c r="CN11" s="582">
        <f>'Financial Modeling'!CH16</f>
        <v>0</v>
      </c>
      <c r="CO11" s="582">
        <f>'Financial Modeling'!CI16</f>
        <v>0</v>
      </c>
      <c r="CP11" s="582">
        <f>'Financial Modeling'!CJ16</f>
        <v>0</v>
      </c>
      <c r="CQ11" s="582">
        <f>'Financial Modeling'!CK16</f>
        <v>0</v>
      </c>
      <c r="CR11" s="582">
        <f>'Financial Modeling'!CL16</f>
        <v>0</v>
      </c>
      <c r="CS11" s="582">
        <f>'Financial Modeling'!CM16</f>
        <v>0</v>
      </c>
      <c r="CT11" s="582">
        <f>'Financial Modeling'!CN16</f>
        <v>0</v>
      </c>
      <c r="CU11" s="582">
        <f>'Financial Modeling'!CO16</f>
        <v>0</v>
      </c>
      <c r="CV11" s="582">
        <f>'Financial Modeling'!CP16</f>
        <v>0</v>
      </c>
      <c r="CW11" s="582">
        <f>'Financial Modeling'!CQ16</f>
        <v>0</v>
      </c>
      <c r="CX11" s="582">
        <f>'Financial Modeling'!CR16</f>
        <v>0</v>
      </c>
      <c r="CY11" s="582">
        <f>'Financial Modeling'!CS16</f>
        <v>0</v>
      </c>
      <c r="CZ11" s="582">
        <f>'Financial Modeling'!CT16</f>
        <v>0</v>
      </c>
      <c r="DA11" s="582">
        <f>'Financial Modeling'!CU16</f>
        <v>0</v>
      </c>
      <c r="DB11" s="582">
        <f>'Financial Modeling'!CV16</f>
        <v>0</v>
      </c>
      <c r="DC11" s="582">
        <f>'Financial Modeling'!CW16</f>
        <v>0</v>
      </c>
      <c r="DD11" s="582">
        <f>'Financial Modeling'!CX16</f>
        <v>0</v>
      </c>
      <c r="DE11" s="582">
        <f>'Financial Modeling'!CY16</f>
        <v>0</v>
      </c>
      <c r="DF11" s="581"/>
      <c r="DG11" s="581"/>
      <c r="DH11" s="581"/>
      <c r="DI11" s="581"/>
      <c r="DJ11" s="581"/>
      <c r="DK11" s="581"/>
      <c r="DL11" s="581"/>
    </row>
    <row r="12" spans="1:116" ht="19.5" customHeight="1" outlineLevel="1" x14ac:dyDescent="0.2">
      <c r="A12" s="587" t="s">
        <v>424</v>
      </c>
      <c r="B12" s="588">
        <f>SUM(B4:B11)</f>
        <v>597803277.68513048</v>
      </c>
      <c r="C12" s="589"/>
      <c r="D12" s="590"/>
      <c r="E12" s="589"/>
      <c r="F12" s="589"/>
      <c r="G12" s="589"/>
      <c r="H12" s="589"/>
      <c r="I12" s="589"/>
      <c r="J12" s="589"/>
      <c r="K12" s="589"/>
      <c r="L12" s="591"/>
      <c r="M12" s="589"/>
      <c r="N12" s="589"/>
      <c r="O12" s="589"/>
      <c r="P12" s="589"/>
      <c r="Q12" s="589"/>
      <c r="R12" s="589"/>
      <c r="S12" s="589"/>
      <c r="T12" s="589"/>
      <c r="U12" s="589"/>
      <c r="V12" s="589"/>
      <c r="W12" s="589"/>
      <c r="X12" s="589"/>
      <c r="Y12" s="589"/>
      <c r="Z12" s="589"/>
      <c r="AA12" s="589"/>
      <c r="AB12" s="589"/>
      <c r="AC12" s="589"/>
      <c r="AD12" s="589"/>
      <c r="AE12" s="589"/>
      <c r="AF12" s="589"/>
      <c r="AG12" s="589"/>
      <c r="AH12" s="589"/>
      <c r="AI12" s="589"/>
      <c r="AJ12" s="589"/>
      <c r="AK12" s="589"/>
      <c r="AL12" s="589"/>
      <c r="AM12" s="589"/>
      <c r="AN12" s="589"/>
      <c r="AO12" s="589"/>
      <c r="AP12" s="589"/>
      <c r="AQ12" s="589"/>
      <c r="AR12" s="589"/>
      <c r="AS12" s="589"/>
      <c r="AT12" s="589"/>
      <c r="AU12" s="589"/>
      <c r="AV12" s="589"/>
      <c r="AW12" s="589"/>
      <c r="AX12" s="589"/>
      <c r="AY12" s="589"/>
      <c r="AZ12" s="589"/>
      <c r="BA12" s="589"/>
      <c r="BB12" s="589"/>
      <c r="BC12" s="589"/>
      <c r="BD12" s="589"/>
      <c r="BE12" s="589"/>
      <c r="BF12" s="589"/>
      <c r="BG12" s="589"/>
      <c r="BH12" s="589"/>
      <c r="BI12" s="589"/>
      <c r="BJ12" s="589"/>
      <c r="BK12" s="589"/>
      <c r="BL12" s="589"/>
      <c r="BM12" s="589"/>
      <c r="BN12" s="589"/>
      <c r="BO12" s="589"/>
      <c r="BP12" s="589"/>
      <c r="BQ12" s="589"/>
      <c r="BR12" s="589"/>
      <c r="BS12" s="589"/>
      <c r="BT12" s="589"/>
      <c r="BU12" s="589"/>
      <c r="BV12" s="589"/>
      <c r="BW12" s="589"/>
      <c r="BX12" s="589"/>
      <c r="BY12" s="589"/>
      <c r="BZ12" s="589"/>
      <c r="CA12" s="589"/>
      <c r="CB12" s="589"/>
      <c r="CC12" s="589"/>
      <c r="CD12" s="589"/>
      <c r="CE12" s="589"/>
      <c r="CF12" s="589"/>
      <c r="CG12" s="589"/>
      <c r="CH12" s="589"/>
      <c r="CI12" s="589"/>
      <c r="CJ12" s="589"/>
      <c r="CK12" s="589"/>
      <c r="CL12" s="589"/>
      <c r="CM12" s="589"/>
      <c r="CN12" s="589"/>
      <c r="CO12" s="589"/>
      <c r="CP12" s="589"/>
      <c r="CQ12" s="589"/>
      <c r="CR12" s="589"/>
      <c r="CS12" s="589"/>
      <c r="CT12" s="589"/>
      <c r="CU12" s="589"/>
      <c r="CV12" s="589"/>
      <c r="CW12" s="589"/>
      <c r="CX12" s="589"/>
      <c r="CY12" s="589"/>
      <c r="CZ12" s="589"/>
      <c r="DA12" s="589"/>
      <c r="DB12" s="589"/>
      <c r="DC12" s="589"/>
      <c r="DD12" s="589"/>
      <c r="DE12" s="589"/>
      <c r="DF12" s="589"/>
      <c r="DG12" s="589"/>
      <c r="DH12" s="589"/>
      <c r="DI12" s="589"/>
      <c r="DJ12" s="589"/>
      <c r="DK12" s="589"/>
      <c r="DL12" s="589"/>
    </row>
    <row r="13" spans="1:116" ht="19.5" customHeight="1" outlineLevel="1" x14ac:dyDescent="0.2">
      <c r="A13" s="583"/>
      <c r="B13" s="571"/>
      <c r="C13" s="581"/>
      <c r="D13" s="573"/>
      <c r="E13" s="463" t="s">
        <v>425</v>
      </c>
      <c r="F13" s="592">
        <f>'Summary of CBA'!D6</f>
        <v>0.02</v>
      </c>
      <c r="G13" s="592"/>
      <c r="H13" s="581"/>
      <c r="I13" s="593"/>
      <c r="J13" s="593"/>
      <c r="K13" s="593"/>
      <c r="L13" s="593"/>
      <c r="M13" s="593"/>
      <c r="N13" s="593"/>
      <c r="O13" s="593"/>
      <c r="P13" s="593"/>
      <c r="Q13" s="593"/>
      <c r="R13" s="593"/>
      <c r="S13" s="593"/>
      <c r="T13" s="593"/>
      <c r="U13" s="593"/>
      <c r="V13" s="593"/>
      <c r="W13" s="593"/>
      <c r="X13" s="593"/>
      <c r="Y13" s="593"/>
      <c r="Z13" s="593"/>
      <c r="AA13" s="593"/>
      <c r="AB13" s="593"/>
      <c r="AC13" s="593"/>
      <c r="AD13" s="593"/>
      <c r="AE13" s="593"/>
      <c r="AF13" s="593"/>
      <c r="AG13" s="593"/>
      <c r="AH13" s="593"/>
      <c r="AI13" s="593"/>
      <c r="AJ13" s="593"/>
      <c r="AK13" s="593"/>
      <c r="AL13" s="593"/>
      <c r="AM13" s="593"/>
      <c r="AN13" s="593"/>
      <c r="AO13" s="593"/>
      <c r="AP13" s="593"/>
      <c r="AQ13" s="593"/>
      <c r="AR13" s="593"/>
      <c r="AS13" s="593"/>
      <c r="AT13" s="593"/>
      <c r="AU13" s="593"/>
      <c r="AV13" s="593"/>
      <c r="AW13" s="593"/>
      <c r="AX13" s="593"/>
      <c r="AY13" s="593"/>
      <c r="AZ13" s="593"/>
      <c r="BA13" s="593"/>
      <c r="BB13" s="593"/>
      <c r="BC13" s="593"/>
      <c r="BD13" s="593"/>
      <c r="BE13" s="593"/>
      <c r="BF13" s="593"/>
      <c r="BG13" s="593"/>
      <c r="BH13" s="593"/>
      <c r="BI13" s="593"/>
      <c r="BJ13" s="593"/>
      <c r="BK13" s="593"/>
      <c r="BL13" s="593"/>
      <c r="BM13" s="593"/>
      <c r="BN13" s="593"/>
      <c r="BO13" s="593"/>
      <c r="BP13" s="593"/>
      <c r="BQ13" s="593"/>
      <c r="BR13" s="593"/>
      <c r="BS13" s="593"/>
      <c r="BT13" s="593"/>
      <c r="BU13" s="593"/>
      <c r="BV13" s="593"/>
      <c r="BW13" s="593"/>
      <c r="BX13" s="593"/>
      <c r="BY13" s="593"/>
      <c r="BZ13" s="593"/>
      <c r="CA13" s="593"/>
      <c r="CB13" s="593"/>
      <c r="CC13" s="593"/>
      <c r="CD13" s="593"/>
      <c r="CE13" s="593"/>
      <c r="CF13" s="593"/>
      <c r="CG13" s="593"/>
      <c r="CH13" s="593"/>
      <c r="CI13" s="593"/>
      <c r="CJ13" s="593"/>
      <c r="CK13" s="593"/>
      <c r="CL13" s="593"/>
      <c r="CM13" s="593"/>
      <c r="CN13" s="593"/>
      <c r="CO13" s="593"/>
      <c r="CP13" s="593"/>
      <c r="CQ13" s="593"/>
      <c r="CR13" s="593"/>
      <c r="CS13" s="593"/>
      <c r="CT13" s="593"/>
      <c r="CU13" s="593"/>
      <c r="CV13" s="593"/>
      <c r="CW13" s="593"/>
      <c r="CX13" s="593"/>
      <c r="CY13" s="593"/>
      <c r="CZ13" s="593"/>
      <c r="DA13" s="593"/>
      <c r="DB13" s="593"/>
      <c r="DC13" s="593"/>
      <c r="DD13" s="593"/>
      <c r="DE13" s="593"/>
      <c r="DF13" s="581"/>
      <c r="DG13" s="581"/>
      <c r="DH13" s="581"/>
      <c r="DI13" s="581"/>
      <c r="DJ13" s="581"/>
      <c r="DK13" s="581"/>
      <c r="DL13" s="581"/>
    </row>
    <row r="14" spans="1:116" ht="19.5" customHeight="1" outlineLevel="1" x14ac:dyDescent="0.2">
      <c r="A14" s="585"/>
      <c r="B14" s="594"/>
      <c r="C14" s="581"/>
      <c r="D14" s="573"/>
      <c r="E14" s="595" t="s">
        <v>426</v>
      </c>
      <c r="F14" s="592">
        <f>'Summary of CBA'!$D$5</f>
        <v>0.2</v>
      </c>
      <c r="G14" s="592"/>
      <c r="H14" s="581"/>
      <c r="I14" s="593"/>
      <c r="J14" s="593"/>
      <c r="K14" s="593"/>
      <c r="L14" s="593"/>
      <c r="M14" s="593"/>
      <c r="N14" s="593"/>
      <c r="O14" s="593"/>
      <c r="P14" s="593"/>
      <c r="Q14" s="593"/>
      <c r="R14" s="593"/>
      <c r="S14" s="593"/>
      <c r="T14" s="593"/>
      <c r="U14" s="593"/>
      <c r="V14" s="593"/>
      <c r="W14" s="593"/>
      <c r="X14" s="593"/>
      <c r="Y14" s="593"/>
      <c r="Z14" s="593"/>
      <c r="AA14" s="593"/>
      <c r="AB14" s="593"/>
      <c r="AC14" s="593"/>
      <c r="AD14" s="593"/>
      <c r="AE14" s="593"/>
      <c r="AF14" s="593"/>
      <c r="AG14" s="593"/>
      <c r="AH14" s="593"/>
      <c r="AI14" s="593"/>
      <c r="AJ14" s="593"/>
      <c r="AK14" s="593"/>
      <c r="AL14" s="593"/>
      <c r="AM14" s="593"/>
      <c r="AN14" s="593"/>
      <c r="AO14" s="593"/>
      <c r="AP14" s="593"/>
      <c r="AQ14" s="593"/>
      <c r="AR14" s="593"/>
      <c r="AS14" s="593"/>
      <c r="AT14" s="593"/>
      <c r="AU14" s="593"/>
      <c r="AV14" s="593"/>
      <c r="AW14" s="593"/>
      <c r="AX14" s="593"/>
      <c r="AY14" s="593"/>
      <c r="AZ14" s="593"/>
      <c r="BA14" s="593"/>
      <c r="BB14" s="593"/>
      <c r="BC14" s="593"/>
      <c r="BD14" s="593"/>
      <c r="BE14" s="593"/>
      <c r="BF14" s="593"/>
      <c r="BG14" s="593"/>
      <c r="BH14" s="593"/>
      <c r="BI14" s="593"/>
      <c r="BJ14" s="593"/>
      <c r="BK14" s="593"/>
      <c r="BL14" s="593"/>
      <c r="BM14" s="593"/>
      <c r="BN14" s="593"/>
      <c r="BO14" s="593"/>
      <c r="BP14" s="593"/>
      <c r="BQ14" s="593"/>
      <c r="BR14" s="593"/>
      <c r="BS14" s="593"/>
      <c r="BT14" s="593"/>
      <c r="BU14" s="593"/>
      <c r="BV14" s="593"/>
      <c r="BW14" s="593"/>
      <c r="BX14" s="593"/>
      <c r="BY14" s="593"/>
      <c r="BZ14" s="593"/>
      <c r="CA14" s="593"/>
      <c r="CB14" s="593"/>
      <c r="CC14" s="593"/>
      <c r="CD14" s="593"/>
      <c r="CE14" s="593"/>
      <c r="CF14" s="593"/>
      <c r="CG14" s="593"/>
      <c r="CH14" s="593"/>
      <c r="CI14" s="593"/>
      <c r="CJ14" s="593"/>
      <c r="CK14" s="593"/>
      <c r="CL14" s="593"/>
      <c r="CM14" s="593"/>
      <c r="CN14" s="593"/>
      <c r="CO14" s="593"/>
      <c r="CP14" s="593"/>
      <c r="CQ14" s="593"/>
      <c r="CR14" s="593"/>
      <c r="CS14" s="593"/>
      <c r="CT14" s="593"/>
      <c r="CU14" s="593"/>
      <c r="CV14" s="593"/>
      <c r="CW14" s="593"/>
      <c r="CX14" s="593"/>
      <c r="CY14" s="593"/>
      <c r="CZ14" s="593"/>
      <c r="DA14" s="593"/>
      <c r="DB14" s="593"/>
      <c r="DC14" s="593"/>
      <c r="DD14" s="593"/>
      <c r="DE14" s="593"/>
      <c r="DF14" s="581"/>
      <c r="DG14" s="581"/>
      <c r="DH14" s="581"/>
      <c r="DI14" s="581"/>
      <c r="DJ14" s="581"/>
      <c r="DK14" s="581"/>
      <c r="DL14" s="581"/>
    </row>
    <row r="15" spans="1:116" ht="19.5" customHeight="1" outlineLevel="1" x14ac:dyDescent="0.2">
      <c r="A15" s="585"/>
      <c r="B15" s="594"/>
      <c r="C15" s="581"/>
      <c r="D15" s="573"/>
      <c r="E15" s="463" t="s">
        <v>3</v>
      </c>
      <c r="F15" s="592">
        <f>'Summary of CBA'!$D$4</f>
        <v>1</v>
      </c>
      <c r="G15" s="592"/>
      <c r="H15" s="581"/>
      <c r="I15" s="593"/>
      <c r="J15" s="593"/>
      <c r="K15" s="593"/>
      <c r="L15" s="593"/>
      <c r="M15" s="593"/>
      <c r="N15" s="593"/>
      <c r="O15" s="593"/>
      <c r="P15" s="593"/>
      <c r="Q15" s="593"/>
      <c r="R15" s="593"/>
      <c r="S15" s="593"/>
      <c r="T15" s="593"/>
      <c r="U15" s="593"/>
      <c r="V15" s="593"/>
      <c r="W15" s="593"/>
      <c r="X15" s="593"/>
      <c r="Y15" s="593"/>
      <c r="Z15" s="593"/>
      <c r="AA15" s="593"/>
      <c r="AB15" s="593"/>
      <c r="AC15" s="593"/>
      <c r="AD15" s="593"/>
      <c r="AE15" s="593"/>
      <c r="AF15" s="593"/>
      <c r="AG15" s="593"/>
      <c r="AH15" s="593"/>
      <c r="AI15" s="593"/>
      <c r="AJ15" s="593"/>
      <c r="AK15" s="593"/>
      <c r="AL15" s="593"/>
      <c r="AM15" s="593"/>
      <c r="AN15" s="593"/>
      <c r="AO15" s="593"/>
      <c r="AP15" s="593"/>
      <c r="AQ15" s="593"/>
      <c r="AR15" s="593"/>
      <c r="AS15" s="593"/>
      <c r="AT15" s="593"/>
      <c r="AU15" s="593"/>
      <c r="AV15" s="593"/>
      <c r="AW15" s="593"/>
      <c r="AX15" s="593"/>
      <c r="AY15" s="593"/>
      <c r="AZ15" s="593"/>
      <c r="BA15" s="593"/>
      <c r="BB15" s="593"/>
      <c r="BC15" s="593"/>
      <c r="BD15" s="593"/>
      <c r="BE15" s="593"/>
      <c r="BF15" s="593"/>
      <c r="BG15" s="593"/>
      <c r="BH15" s="593"/>
      <c r="BI15" s="593"/>
      <c r="BJ15" s="593"/>
      <c r="BK15" s="593"/>
      <c r="BL15" s="593"/>
      <c r="BM15" s="593"/>
      <c r="BN15" s="593"/>
      <c r="BO15" s="593"/>
      <c r="BP15" s="593"/>
      <c r="BQ15" s="593"/>
      <c r="BR15" s="593"/>
      <c r="BS15" s="593"/>
      <c r="BT15" s="593"/>
      <c r="BU15" s="593"/>
      <c r="BV15" s="593"/>
      <c r="BW15" s="593"/>
      <c r="BX15" s="593"/>
      <c r="BY15" s="593"/>
      <c r="BZ15" s="593"/>
      <c r="CA15" s="593"/>
      <c r="CB15" s="593"/>
      <c r="CC15" s="593"/>
      <c r="CD15" s="593"/>
      <c r="CE15" s="593"/>
      <c r="CF15" s="593"/>
      <c r="CG15" s="593"/>
      <c r="CH15" s="593"/>
      <c r="CI15" s="593"/>
      <c r="CJ15" s="593"/>
      <c r="CK15" s="593"/>
      <c r="CL15" s="593"/>
      <c r="CM15" s="593"/>
      <c r="CN15" s="593"/>
      <c r="CO15" s="593"/>
      <c r="CP15" s="593"/>
      <c r="CQ15" s="593"/>
      <c r="CR15" s="593"/>
      <c r="CS15" s="593"/>
      <c r="CT15" s="593"/>
      <c r="CU15" s="593"/>
      <c r="CV15" s="593"/>
      <c r="CW15" s="593"/>
      <c r="CX15" s="593"/>
      <c r="CY15" s="593"/>
      <c r="CZ15" s="593"/>
      <c r="DA15" s="593"/>
      <c r="DB15" s="593"/>
      <c r="DC15" s="593"/>
      <c r="DD15" s="593"/>
      <c r="DE15" s="593"/>
      <c r="DF15" s="581"/>
      <c r="DG15" s="581"/>
      <c r="DH15" s="581"/>
      <c r="DI15" s="581"/>
      <c r="DJ15" s="581"/>
      <c r="DK15" s="581"/>
      <c r="DL15" s="581"/>
    </row>
    <row r="16" spans="1:116" ht="19.5" customHeight="1" outlineLevel="1" x14ac:dyDescent="0.2">
      <c r="A16" s="583"/>
      <c r="B16" s="571"/>
      <c r="C16" s="581"/>
      <c r="D16" s="573"/>
      <c r="E16" s="463"/>
      <c r="F16" s="592"/>
      <c r="G16" s="592"/>
      <c r="H16" s="581"/>
      <c r="I16" s="593"/>
      <c r="J16" s="593"/>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3"/>
      <c r="AI16" s="593"/>
      <c r="AJ16" s="593"/>
      <c r="AK16" s="593"/>
      <c r="AL16" s="593"/>
      <c r="AM16" s="593"/>
      <c r="AN16" s="593"/>
      <c r="AO16" s="593"/>
      <c r="AP16" s="593"/>
      <c r="AQ16" s="593"/>
      <c r="AR16" s="593"/>
      <c r="AS16" s="593"/>
      <c r="AT16" s="593"/>
      <c r="AU16" s="593"/>
      <c r="AV16" s="593"/>
      <c r="AW16" s="593"/>
      <c r="AX16" s="593"/>
      <c r="AY16" s="593"/>
      <c r="AZ16" s="593"/>
      <c r="BA16" s="593"/>
      <c r="BB16" s="593"/>
      <c r="BC16" s="593"/>
      <c r="BD16" s="593"/>
      <c r="BE16" s="593"/>
      <c r="BF16" s="593"/>
      <c r="BG16" s="593"/>
      <c r="BH16" s="593"/>
      <c r="BI16" s="593"/>
      <c r="BJ16" s="593"/>
      <c r="BK16" s="593"/>
      <c r="BL16" s="593"/>
      <c r="BM16" s="593"/>
      <c r="BN16" s="593"/>
      <c r="BO16" s="593"/>
      <c r="BP16" s="593"/>
      <c r="BQ16" s="593"/>
      <c r="BR16" s="593"/>
      <c r="BS16" s="593"/>
      <c r="BT16" s="593"/>
      <c r="BU16" s="593"/>
      <c r="BV16" s="593"/>
      <c r="BW16" s="593"/>
      <c r="BX16" s="593"/>
      <c r="BY16" s="593"/>
      <c r="BZ16" s="593"/>
      <c r="CA16" s="593"/>
      <c r="CB16" s="593"/>
      <c r="CC16" s="593"/>
      <c r="CD16" s="593"/>
      <c r="CE16" s="593"/>
      <c r="CF16" s="593"/>
      <c r="CG16" s="593"/>
      <c r="CH16" s="593"/>
      <c r="CI16" s="593"/>
      <c r="CJ16" s="593"/>
      <c r="CK16" s="593"/>
      <c r="CL16" s="593"/>
      <c r="CM16" s="593"/>
      <c r="CN16" s="593"/>
      <c r="CO16" s="593"/>
      <c r="CP16" s="593"/>
      <c r="CQ16" s="593"/>
      <c r="CR16" s="593"/>
      <c r="CS16" s="593"/>
      <c r="CT16" s="593"/>
      <c r="CU16" s="593"/>
      <c r="CV16" s="593"/>
      <c r="CW16" s="593"/>
      <c r="CX16" s="593"/>
      <c r="CY16" s="593"/>
      <c r="CZ16" s="593"/>
      <c r="DA16" s="593"/>
      <c r="DB16" s="593"/>
      <c r="DC16" s="593"/>
      <c r="DD16" s="593"/>
      <c r="DE16" s="593"/>
      <c r="DF16" s="581"/>
      <c r="DG16" s="581"/>
      <c r="DH16" s="581"/>
      <c r="DI16" s="581"/>
      <c r="DJ16" s="581"/>
      <c r="DK16" s="581"/>
      <c r="DL16" s="581"/>
    </row>
    <row r="17" spans="1:116" ht="19.5" customHeight="1" outlineLevel="1" x14ac:dyDescent="0.2">
      <c r="A17" s="596" t="s">
        <v>427</v>
      </c>
      <c r="B17" s="581"/>
      <c r="C17" s="581"/>
      <c r="D17" s="573"/>
      <c r="DF17" s="581"/>
      <c r="DG17" s="581"/>
      <c r="DH17" s="581"/>
      <c r="DI17" s="581"/>
      <c r="DJ17" s="581"/>
      <c r="DK17" s="581"/>
      <c r="DL17" s="581"/>
    </row>
    <row r="18" spans="1:116" ht="19.5" customHeight="1" outlineLevel="1" x14ac:dyDescent="0.2">
      <c r="A18" s="597" t="s">
        <v>428</v>
      </c>
      <c r="B18" s="772" t="s">
        <v>429</v>
      </c>
      <c r="C18" s="751"/>
      <c r="D18" s="751"/>
      <c r="E18" s="581"/>
      <c r="F18" s="581"/>
      <c r="G18" s="581"/>
      <c r="H18" s="581"/>
      <c r="I18" s="581"/>
      <c r="J18" s="581"/>
      <c r="K18" s="581"/>
      <c r="L18" s="581"/>
      <c r="M18" s="581"/>
      <c r="N18" s="581"/>
      <c r="O18" s="581"/>
      <c r="P18" s="581"/>
      <c r="Q18" s="581"/>
      <c r="R18" s="581"/>
      <c r="S18" s="581"/>
      <c r="T18" s="581"/>
      <c r="U18" s="581"/>
      <c r="V18" s="581"/>
      <c r="W18" s="581"/>
      <c r="X18" s="581"/>
      <c r="Y18" s="581"/>
      <c r="Z18" s="581"/>
      <c r="AA18" s="581"/>
      <c r="AB18" s="581"/>
      <c r="AC18" s="581"/>
      <c r="AD18" s="581"/>
      <c r="AE18" s="581"/>
      <c r="AF18" s="581"/>
      <c r="AG18" s="581"/>
      <c r="AH18" s="581"/>
      <c r="AI18" s="581"/>
      <c r="AJ18" s="581"/>
      <c r="AK18" s="581"/>
      <c r="AL18" s="581"/>
      <c r="AM18" s="581"/>
      <c r="AN18" s="581"/>
      <c r="AO18" s="581"/>
      <c r="AP18" s="581"/>
      <c r="AQ18" s="581"/>
      <c r="AR18" s="581"/>
      <c r="AS18" s="581"/>
      <c r="AT18" s="581"/>
      <c r="AU18" s="581"/>
      <c r="AV18" s="581"/>
      <c r="AW18" s="581"/>
      <c r="AX18" s="581"/>
      <c r="AY18" s="581"/>
      <c r="AZ18" s="581"/>
      <c r="BA18" s="581"/>
      <c r="BB18" s="581"/>
      <c r="BC18" s="581"/>
      <c r="BD18" s="581"/>
      <c r="BE18" s="581"/>
      <c r="BF18" s="581"/>
      <c r="BG18" s="581"/>
      <c r="BH18" s="581"/>
      <c r="BI18" s="581"/>
      <c r="BJ18" s="581"/>
      <c r="BK18" s="581"/>
      <c r="BL18" s="581"/>
      <c r="BM18" s="581"/>
      <c r="BN18" s="581"/>
      <c r="BO18" s="581"/>
      <c r="BP18" s="581"/>
      <c r="BQ18" s="581"/>
      <c r="BR18" s="581"/>
      <c r="BS18" s="581"/>
      <c r="BT18" s="581"/>
      <c r="BU18" s="581"/>
      <c r="BV18" s="581"/>
      <c r="BW18" s="581"/>
      <c r="BX18" s="581"/>
      <c r="BY18" s="581"/>
      <c r="BZ18" s="581"/>
      <c r="CA18" s="581"/>
      <c r="CB18" s="581"/>
      <c r="CC18" s="581"/>
      <c r="CD18" s="581"/>
      <c r="CE18" s="581"/>
      <c r="CF18" s="581"/>
      <c r="CG18" s="581"/>
      <c r="CH18" s="581"/>
      <c r="CI18" s="581"/>
      <c r="CJ18" s="581"/>
      <c r="CK18" s="581"/>
      <c r="CL18" s="581"/>
      <c r="CM18" s="581"/>
      <c r="CN18" s="581"/>
      <c r="CO18" s="581"/>
      <c r="CP18" s="581"/>
      <c r="CQ18" s="581"/>
      <c r="CR18" s="581"/>
      <c r="CS18" s="581"/>
      <c r="CT18" s="581"/>
      <c r="CU18" s="581"/>
      <c r="CV18" s="581"/>
      <c r="CW18" s="581"/>
      <c r="CX18" s="581"/>
      <c r="CY18" s="581"/>
      <c r="CZ18" s="581"/>
      <c r="DA18" s="581"/>
      <c r="DB18" s="581"/>
      <c r="DC18" s="581"/>
      <c r="DD18" s="581"/>
      <c r="DE18" s="581"/>
      <c r="DF18" s="581"/>
      <c r="DG18" s="581"/>
      <c r="DH18" s="581"/>
      <c r="DI18" s="581"/>
      <c r="DJ18" s="581"/>
      <c r="DK18" s="581"/>
      <c r="DL18" s="581"/>
    </row>
    <row r="19" spans="1:116" ht="19.5" customHeight="1" outlineLevel="1" x14ac:dyDescent="0.2">
      <c r="A19" s="597"/>
      <c r="B19" s="598"/>
      <c r="C19" s="221"/>
      <c r="D19" s="221"/>
      <c r="E19" s="581"/>
      <c r="F19" s="581"/>
      <c r="G19" s="581"/>
      <c r="H19" s="581"/>
      <c r="I19" s="581"/>
      <c r="J19" s="581"/>
      <c r="K19" s="581"/>
      <c r="L19" s="581"/>
      <c r="M19" s="581"/>
      <c r="N19" s="581"/>
      <c r="O19" s="581"/>
      <c r="P19" s="581"/>
      <c r="Q19" s="581"/>
      <c r="R19" s="581"/>
      <c r="S19" s="581"/>
      <c r="T19" s="581"/>
      <c r="U19" s="581"/>
      <c r="V19" s="581"/>
      <c r="W19" s="581"/>
      <c r="X19" s="581"/>
      <c r="Y19" s="581"/>
      <c r="Z19" s="581"/>
      <c r="AA19" s="581"/>
      <c r="AB19" s="581"/>
      <c r="AC19" s="581"/>
      <c r="AD19" s="581"/>
      <c r="AE19" s="581"/>
      <c r="AF19" s="581"/>
      <c r="AG19" s="581"/>
      <c r="AH19" s="581"/>
      <c r="AI19" s="581"/>
      <c r="AJ19" s="581"/>
      <c r="AK19" s="581"/>
      <c r="AL19" s="581"/>
      <c r="AM19" s="581"/>
      <c r="AN19" s="581"/>
      <c r="AO19" s="581"/>
      <c r="AP19" s="581"/>
      <c r="AQ19" s="581"/>
      <c r="AR19" s="581"/>
      <c r="AS19" s="581"/>
      <c r="AT19" s="581"/>
      <c r="AU19" s="581"/>
      <c r="AV19" s="581"/>
      <c r="AW19" s="581"/>
      <c r="AX19" s="581"/>
      <c r="AY19" s="581"/>
      <c r="AZ19" s="581"/>
      <c r="BA19" s="581"/>
      <c r="BB19" s="581"/>
      <c r="BC19" s="581"/>
      <c r="BD19" s="581"/>
      <c r="BE19" s="581"/>
      <c r="BF19" s="581"/>
      <c r="BG19" s="581"/>
      <c r="BH19" s="581"/>
      <c r="BI19" s="581"/>
      <c r="BJ19" s="581"/>
      <c r="BK19" s="581"/>
      <c r="BL19" s="581"/>
      <c r="BM19" s="581"/>
      <c r="BN19" s="581"/>
      <c r="BO19" s="581"/>
      <c r="BP19" s="581"/>
      <c r="BQ19" s="581"/>
      <c r="BR19" s="581"/>
      <c r="BS19" s="581"/>
      <c r="BT19" s="581"/>
      <c r="BU19" s="581"/>
      <c r="BV19" s="581"/>
      <c r="BW19" s="581"/>
      <c r="BX19" s="581"/>
      <c r="BY19" s="581"/>
      <c r="BZ19" s="581"/>
      <c r="CA19" s="581"/>
      <c r="CB19" s="581"/>
      <c r="CC19" s="581"/>
      <c r="CD19" s="581"/>
      <c r="CE19" s="581"/>
      <c r="CF19" s="581"/>
      <c r="CG19" s="581"/>
      <c r="CH19" s="581"/>
      <c r="CI19" s="581"/>
      <c r="CJ19" s="581"/>
      <c r="CK19" s="581"/>
      <c r="CL19" s="581"/>
      <c r="CM19" s="581"/>
      <c r="CN19" s="581"/>
      <c r="CO19" s="581"/>
      <c r="CP19" s="581"/>
      <c r="CQ19" s="581"/>
      <c r="CR19" s="581"/>
      <c r="CS19" s="581"/>
      <c r="CT19" s="581"/>
      <c r="CU19" s="581"/>
      <c r="CV19" s="581"/>
      <c r="CW19" s="581"/>
      <c r="CX19" s="581"/>
      <c r="CY19" s="581"/>
      <c r="CZ19" s="581"/>
      <c r="DA19" s="581"/>
      <c r="DB19" s="581"/>
      <c r="DC19" s="581"/>
      <c r="DD19" s="581"/>
      <c r="DE19" s="581"/>
      <c r="DF19" s="581"/>
      <c r="DG19" s="581"/>
      <c r="DH19" s="581"/>
      <c r="DI19" s="581"/>
      <c r="DJ19" s="581"/>
      <c r="DK19" s="581"/>
      <c r="DL19" s="581"/>
    </row>
    <row r="20" spans="1:116" ht="19.5" customHeight="1" outlineLevel="1" x14ac:dyDescent="0.25">
      <c r="A20" s="599" t="s">
        <v>430</v>
      </c>
      <c r="B20" s="598"/>
      <c r="C20" s="221"/>
      <c r="D20" s="221"/>
      <c r="E20" s="581"/>
      <c r="F20" s="581"/>
      <c r="G20" s="581"/>
      <c r="H20" s="581"/>
      <c r="I20" s="581"/>
      <c r="J20" s="581"/>
      <c r="K20" s="581"/>
      <c r="L20" s="581"/>
      <c r="M20" s="581"/>
      <c r="N20" s="581"/>
      <c r="O20" s="581"/>
      <c r="P20" s="581"/>
      <c r="Q20" s="581"/>
      <c r="R20" s="581"/>
      <c r="S20" s="581"/>
      <c r="T20" s="581"/>
      <c r="U20" s="581"/>
      <c r="V20" s="581"/>
      <c r="W20" s="581"/>
      <c r="X20" s="581"/>
      <c r="Y20" s="581"/>
      <c r="Z20" s="581"/>
      <c r="AA20" s="581"/>
      <c r="AB20" s="581"/>
      <c r="AC20" s="581"/>
      <c r="AD20" s="581"/>
      <c r="AE20" s="581"/>
      <c r="AF20" s="581"/>
      <c r="AG20" s="581"/>
      <c r="AH20" s="581"/>
      <c r="AI20" s="581"/>
      <c r="AJ20" s="581"/>
      <c r="AK20" s="581"/>
      <c r="AL20" s="581"/>
      <c r="AM20" s="581"/>
      <c r="AN20" s="581"/>
      <c r="AO20" s="581"/>
      <c r="AP20" s="581"/>
      <c r="AQ20" s="581"/>
      <c r="AR20" s="581"/>
      <c r="AS20" s="581"/>
      <c r="AT20" s="581"/>
      <c r="AU20" s="581"/>
      <c r="AV20" s="581"/>
      <c r="AW20" s="581"/>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581"/>
      <c r="CG20" s="581"/>
      <c r="CH20" s="581"/>
      <c r="CI20" s="581"/>
      <c r="CJ20" s="581"/>
      <c r="CK20" s="581"/>
      <c r="CL20" s="581"/>
      <c r="CM20" s="581"/>
      <c r="CN20" s="581"/>
      <c r="CO20" s="581"/>
      <c r="CP20" s="581"/>
      <c r="CQ20" s="581"/>
      <c r="CR20" s="581"/>
      <c r="CS20" s="581"/>
      <c r="CT20" s="581"/>
      <c r="CU20" s="581"/>
      <c r="CV20" s="581"/>
      <c r="CW20" s="581"/>
      <c r="CX20" s="581"/>
      <c r="CY20" s="581"/>
      <c r="CZ20" s="581"/>
      <c r="DA20" s="581"/>
      <c r="DB20" s="581"/>
      <c r="DC20" s="581"/>
      <c r="DD20" s="581"/>
      <c r="DE20" s="581"/>
      <c r="DF20" s="581"/>
      <c r="DG20" s="581"/>
      <c r="DH20" s="581"/>
      <c r="DI20" s="581"/>
      <c r="DJ20" s="581"/>
      <c r="DK20" s="581"/>
      <c r="DL20" s="581"/>
    </row>
    <row r="21" spans="1:116" ht="19.5" customHeight="1" outlineLevel="1" x14ac:dyDescent="0.2">
      <c r="A21" s="600" t="s">
        <v>431</v>
      </c>
      <c r="B21" s="598"/>
      <c r="C21" s="221"/>
      <c r="D21" s="221"/>
      <c r="E21" s="581"/>
      <c r="F21" s="581"/>
      <c r="G21" s="581"/>
      <c r="H21" s="581"/>
      <c r="I21" s="581"/>
      <c r="J21" s="581"/>
      <c r="K21" s="581"/>
      <c r="L21" s="581"/>
      <c r="M21" s="581"/>
      <c r="N21" s="581"/>
      <c r="O21" s="581"/>
      <c r="P21" s="581"/>
      <c r="Q21" s="581"/>
      <c r="R21" s="581"/>
      <c r="S21" s="581"/>
      <c r="T21" s="581"/>
      <c r="U21" s="581"/>
      <c r="V21" s="581"/>
      <c r="W21" s="581"/>
      <c r="X21" s="581"/>
      <c r="Y21" s="581"/>
      <c r="Z21" s="581"/>
      <c r="AA21" s="581"/>
      <c r="AB21" s="581"/>
      <c r="AC21" s="581"/>
      <c r="AD21" s="581"/>
      <c r="AE21" s="581"/>
      <c r="AF21" s="581"/>
      <c r="AG21" s="581"/>
      <c r="AH21" s="581"/>
      <c r="AI21" s="581"/>
      <c r="AJ21" s="581"/>
      <c r="AK21" s="581"/>
      <c r="AL21" s="581"/>
      <c r="AM21" s="581"/>
      <c r="AN21" s="581"/>
      <c r="AO21" s="581"/>
      <c r="AP21" s="581"/>
      <c r="AQ21" s="581"/>
      <c r="AR21" s="581"/>
      <c r="AS21" s="581"/>
      <c r="AT21" s="581"/>
      <c r="AU21" s="581"/>
      <c r="AV21" s="581"/>
      <c r="AW21" s="581"/>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581"/>
      <c r="CG21" s="581"/>
      <c r="CH21" s="581"/>
      <c r="CI21" s="581"/>
      <c r="CJ21" s="581"/>
      <c r="CK21" s="581"/>
      <c r="CL21" s="581"/>
      <c r="CM21" s="581"/>
      <c r="CN21" s="581"/>
      <c r="CO21" s="581"/>
      <c r="CP21" s="581"/>
      <c r="CQ21" s="581"/>
      <c r="CR21" s="581"/>
      <c r="CS21" s="581"/>
      <c r="CT21" s="581"/>
      <c r="CU21" s="581"/>
      <c r="CV21" s="581"/>
      <c r="CW21" s="581"/>
      <c r="CX21" s="581"/>
      <c r="CY21" s="581"/>
      <c r="CZ21" s="581"/>
      <c r="DA21" s="581"/>
      <c r="DB21" s="581"/>
      <c r="DC21" s="581"/>
      <c r="DD21" s="581"/>
      <c r="DE21" s="581"/>
      <c r="DF21" s="581"/>
      <c r="DG21" s="581"/>
      <c r="DH21" s="581"/>
      <c r="DI21" s="581"/>
      <c r="DJ21" s="581"/>
      <c r="DK21" s="581"/>
      <c r="DL21" s="581"/>
    </row>
    <row r="22" spans="1:116" ht="19.5" customHeight="1" outlineLevel="1" x14ac:dyDescent="0.2">
      <c r="A22" s="600" t="s">
        <v>432</v>
      </c>
      <c r="B22" s="598"/>
      <c r="C22" s="221"/>
      <c r="D22" s="221"/>
      <c r="E22" s="581"/>
      <c r="F22" s="581"/>
      <c r="G22" s="581"/>
      <c r="H22" s="581"/>
      <c r="I22" s="581"/>
      <c r="J22" s="581"/>
      <c r="K22" s="581"/>
      <c r="L22" s="581"/>
      <c r="M22" s="581"/>
      <c r="N22" s="581"/>
      <c r="O22" s="581"/>
      <c r="P22" s="581"/>
      <c r="Q22" s="581"/>
      <c r="R22" s="581"/>
      <c r="S22" s="581"/>
      <c r="T22" s="581"/>
      <c r="U22" s="581"/>
      <c r="V22" s="581"/>
      <c r="W22" s="581"/>
      <c r="X22" s="581"/>
      <c r="Y22" s="581"/>
      <c r="Z22" s="581"/>
      <c r="AA22" s="581"/>
      <c r="AB22" s="581"/>
      <c r="AC22" s="581"/>
      <c r="AD22" s="581"/>
      <c r="AE22" s="581"/>
      <c r="AF22" s="581"/>
      <c r="AG22" s="581"/>
      <c r="AH22" s="581"/>
      <c r="AI22" s="581"/>
      <c r="AJ22" s="581"/>
      <c r="AK22" s="581"/>
      <c r="AL22" s="581"/>
      <c r="AM22" s="581"/>
      <c r="AN22" s="581"/>
      <c r="AO22" s="581"/>
      <c r="AP22" s="581"/>
      <c r="AQ22" s="581"/>
      <c r="AR22" s="581"/>
      <c r="AS22" s="581"/>
      <c r="AT22" s="581"/>
      <c r="AU22" s="581"/>
      <c r="AV22" s="581"/>
      <c r="AW22" s="581"/>
      <c r="AX22" s="581"/>
      <c r="AY22" s="581"/>
      <c r="AZ22" s="581"/>
      <c r="BA22" s="581"/>
      <c r="BB22" s="581"/>
      <c r="BC22" s="581"/>
      <c r="BD22" s="581"/>
      <c r="BE22" s="581"/>
      <c r="BF22" s="581"/>
      <c r="BG22" s="581"/>
      <c r="BH22" s="581"/>
      <c r="BI22" s="581"/>
      <c r="BJ22" s="581"/>
      <c r="BK22" s="581"/>
      <c r="BL22" s="581"/>
      <c r="BM22" s="581"/>
      <c r="BN22" s="581"/>
      <c r="BO22" s="581"/>
      <c r="BP22" s="581"/>
      <c r="BQ22" s="581"/>
      <c r="BR22" s="581"/>
      <c r="BS22" s="581"/>
      <c r="BT22" s="581"/>
      <c r="BU22" s="581"/>
      <c r="BV22" s="581"/>
      <c r="BW22" s="581"/>
      <c r="BX22" s="581"/>
      <c r="BY22" s="581"/>
      <c r="BZ22" s="581"/>
      <c r="CA22" s="581"/>
      <c r="CB22" s="581"/>
      <c r="CC22" s="581"/>
      <c r="CD22" s="581"/>
      <c r="CE22" s="581"/>
      <c r="CF22" s="581"/>
      <c r="CG22" s="581"/>
      <c r="CH22" s="581"/>
      <c r="CI22" s="581"/>
      <c r="CJ22" s="581"/>
      <c r="CK22" s="581"/>
      <c r="CL22" s="581"/>
      <c r="CM22" s="581"/>
      <c r="CN22" s="581"/>
      <c r="CO22" s="581"/>
      <c r="CP22" s="581"/>
      <c r="CQ22" s="581"/>
      <c r="CR22" s="581"/>
      <c r="CS22" s="581"/>
      <c r="CT22" s="581"/>
      <c r="CU22" s="581"/>
      <c r="CV22" s="581"/>
      <c r="CW22" s="581"/>
      <c r="CX22" s="581"/>
      <c r="CY22" s="581"/>
      <c r="CZ22" s="581"/>
      <c r="DA22" s="581"/>
      <c r="DB22" s="581"/>
      <c r="DC22" s="581"/>
      <c r="DD22" s="581"/>
      <c r="DE22" s="581"/>
      <c r="DF22" s="581"/>
      <c r="DG22" s="581"/>
      <c r="DH22" s="581"/>
      <c r="DI22" s="581"/>
      <c r="DJ22" s="581"/>
      <c r="DK22" s="581"/>
      <c r="DL22" s="581"/>
    </row>
    <row r="23" spans="1:116" ht="19.5" customHeight="1" outlineLevel="1" x14ac:dyDescent="0.2">
      <c r="A23" s="600" t="s">
        <v>433</v>
      </c>
      <c r="B23" s="598"/>
      <c r="C23" s="221"/>
      <c r="D23" s="221"/>
      <c r="E23" s="581"/>
      <c r="F23" s="581"/>
      <c r="G23" s="581"/>
      <c r="H23" s="581"/>
      <c r="I23" s="581"/>
      <c r="J23" s="581"/>
      <c r="K23" s="581"/>
      <c r="L23" s="581"/>
      <c r="M23" s="581"/>
      <c r="N23" s="581"/>
      <c r="O23" s="581"/>
      <c r="P23" s="581"/>
      <c r="Q23" s="581"/>
      <c r="R23" s="581"/>
      <c r="S23" s="581"/>
      <c r="T23" s="581"/>
      <c r="U23" s="581"/>
      <c r="V23" s="581"/>
      <c r="W23" s="581"/>
      <c r="X23" s="581"/>
      <c r="Y23" s="581"/>
      <c r="Z23" s="581"/>
      <c r="AA23" s="581"/>
      <c r="AB23" s="581"/>
      <c r="AC23" s="581"/>
      <c r="AD23" s="581"/>
      <c r="AE23" s="581"/>
      <c r="AF23" s="581"/>
      <c r="AG23" s="581"/>
      <c r="AH23" s="581"/>
      <c r="AI23" s="581"/>
      <c r="AJ23" s="581"/>
      <c r="AK23" s="581"/>
      <c r="AL23" s="581"/>
      <c r="AM23" s="581"/>
      <c r="AN23" s="581"/>
      <c r="AO23" s="581"/>
      <c r="AP23" s="581"/>
      <c r="AQ23" s="581"/>
      <c r="AR23" s="581"/>
      <c r="AS23" s="581"/>
      <c r="AT23" s="581"/>
      <c r="AU23" s="581"/>
      <c r="AV23" s="581"/>
      <c r="AW23" s="581"/>
      <c r="AX23" s="581"/>
      <c r="AY23" s="581"/>
      <c r="AZ23" s="581"/>
      <c r="BA23" s="581"/>
      <c r="BB23" s="581"/>
      <c r="BC23" s="581"/>
      <c r="BD23" s="581"/>
      <c r="BE23" s="581"/>
      <c r="BF23" s="581"/>
      <c r="BG23" s="581"/>
      <c r="BH23" s="581"/>
      <c r="BI23" s="581"/>
      <c r="BJ23" s="581"/>
      <c r="BK23" s="581"/>
      <c r="BL23" s="581"/>
      <c r="BM23" s="581"/>
      <c r="BN23" s="581"/>
      <c r="BO23" s="581"/>
      <c r="BP23" s="581"/>
      <c r="BQ23" s="581"/>
      <c r="BR23" s="581"/>
      <c r="BS23" s="581"/>
      <c r="BT23" s="581"/>
      <c r="BU23" s="581"/>
      <c r="BV23" s="581"/>
      <c r="BW23" s="581"/>
      <c r="BX23" s="581"/>
      <c r="BY23" s="581"/>
      <c r="BZ23" s="581"/>
      <c r="CA23" s="581"/>
      <c r="CB23" s="581"/>
      <c r="CC23" s="581"/>
      <c r="CD23" s="581"/>
      <c r="CE23" s="581"/>
      <c r="CF23" s="581"/>
      <c r="CG23" s="581"/>
      <c r="CH23" s="581"/>
      <c r="CI23" s="581"/>
      <c r="CJ23" s="581"/>
      <c r="CK23" s="581"/>
      <c r="CL23" s="581"/>
      <c r="CM23" s="581"/>
      <c r="CN23" s="581"/>
      <c r="CO23" s="581"/>
      <c r="CP23" s="581"/>
      <c r="CQ23" s="581"/>
      <c r="CR23" s="581"/>
      <c r="CS23" s="581"/>
      <c r="CT23" s="581"/>
      <c r="CU23" s="581"/>
      <c r="CV23" s="581"/>
      <c r="CW23" s="581"/>
      <c r="CX23" s="581"/>
      <c r="CY23" s="581"/>
      <c r="CZ23" s="581"/>
      <c r="DA23" s="581"/>
      <c r="DB23" s="581"/>
      <c r="DC23" s="581"/>
      <c r="DD23" s="581"/>
      <c r="DE23" s="581"/>
      <c r="DF23" s="581"/>
      <c r="DG23" s="581"/>
      <c r="DH23" s="581"/>
      <c r="DI23" s="581"/>
      <c r="DJ23" s="581"/>
      <c r="DK23" s="581"/>
      <c r="DL23" s="581"/>
    </row>
    <row r="24" spans="1:116" ht="19.5" customHeight="1" x14ac:dyDescent="0.25">
      <c r="A24" s="601"/>
      <c r="B24" s="283"/>
      <c r="C24" s="283"/>
      <c r="D24" s="470"/>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c r="DJ24" s="283"/>
      <c r="DK24" s="283"/>
      <c r="DL24" s="283"/>
    </row>
    <row r="25" spans="1:116" ht="15.75" customHeight="1" x14ac:dyDescent="0.2"/>
    <row r="26" spans="1:116" ht="15.75" customHeight="1" x14ac:dyDescent="0.2"/>
    <row r="27" spans="1:116" ht="19.5" customHeight="1" x14ac:dyDescent="0.25">
      <c r="A27" s="64" t="s">
        <v>434</v>
      </c>
      <c r="B27" s="272"/>
      <c r="C27" s="272"/>
      <c r="D27" s="602"/>
      <c r="E27" s="603"/>
      <c r="F27" s="603"/>
      <c r="G27" s="603"/>
      <c r="H27" s="603"/>
      <c r="I27" s="603"/>
      <c r="J27" s="603"/>
      <c r="K27" s="603"/>
      <c r="L27" s="603"/>
      <c r="M27" s="272"/>
      <c r="N27" s="272"/>
      <c r="O27" s="272"/>
      <c r="P27" s="272"/>
      <c r="Q27" s="272"/>
      <c r="R27" s="272"/>
      <c r="S27" s="272"/>
      <c r="T27" s="272"/>
      <c r="U27" s="272"/>
      <c r="V27" s="272"/>
      <c r="W27" s="272"/>
      <c r="X27" s="272"/>
      <c r="Y27" s="272"/>
      <c r="Z27" s="272"/>
      <c r="AA27" s="272"/>
      <c r="AB27" s="272"/>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Q27" s="272"/>
      <c r="BR27" s="272"/>
      <c r="BS27" s="272"/>
      <c r="BT27" s="272"/>
      <c r="BU27" s="272"/>
      <c r="BV27" s="272"/>
      <c r="BW27" s="272"/>
      <c r="BX27" s="272"/>
      <c r="BY27" s="272"/>
      <c r="BZ27" s="272"/>
      <c r="CA27" s="272"/>
      <c r="CB27" s="272"/>
      <c r="CC27" s="272"/>
      <c r="CD27" s="272"/>
      <c r="CE27" s="272"/>
      <c r="CF27" s="272"/>
      <c r="CG27" s="272"/>
      <c r="CH27" s="272"/>
      <c r="CI27" s="272"/>
      <c r="CJ27" s="272"/>
      <c r="CK27" s="272"/>
      <c r="CL27" s="272"/>
      <c r="CM27" s="272"/>
      <c r="CN27" s="272"/>
      <c r="CO27" s="272"/>
      <c r="CP27" s="272"/>
      <c r="CQ27" s="272"/>
      <c r="CR27" s="272"/>
      <c r="CS27" s="272"/>
      <c r="CT27" s="272"/>
      <c r="CU27" s="272"/>
      <c r="CV27" s="272"/>
      <c r="CW27" s="272"/>
      <c r="CX27" s="272"/>
      <c r="CY27" s="272"/>
      <c r="CZ27" s="272"/>
      <c r="DA27" s="272"/>
      <c r="DB27" s="272"/>
      <c r="DC27" s="272"/>
      <c r="DD27" s="272"/>
      <c r="DE27" s="272"/>
      <c r="DF27" s="272"/>
      <c r="DG27" s="272"/>
      <c r="DH27" s="272"/>
      <c r="DI27" s="272"/>
      <c r="DJ27" s="272"/>
      <c r="DK27" s="272"/>
      <c r="DL27" s="272"/>
    </row>
    <row r="28" spans="1:116" ht="19.5" customHeight="1" outlineLevel="1" x14ac:dyDescent="0.2">
      <c r="A28" s="604" t="s">
        <v>435</v>
      </c>
      <c r="B28" s="605"/>
      <c r="C28" s="605"/>
      <c r="D28" s="606"/>
      <c r="E28" s="606"/>
      <c r="F28" s="606"/>
      <c r="G28" s="606"/>
      <c r="H28" s="606"/>
      <c r="I28" s="606"/>
      <c r="J28" s="606"/>
      <c r="K28" s="606"/>
      <c r="L28" s="606"/>
      <c r="M28" s="605"/>
      <c r="N28" s="605"/>
      <c r="O28" s="605"/>
      <c r="P28" s="605"/>
      <c r="Q28" s="605"/>
      <c r="R28" s="605"/>
      <c r="S28" s="605"/>
      <c r="T28" s="605"/>
      <c r="U28" s="605"/>
      <c r="V28" s="605"/>
      <c r="W28" s="605"/>
      <c r="X28" s="605"/>
      <c r="Y28" s="605"/>
      <c r="Z28" s="605"/>
      <c r="AA28" s="605"/>
      <c r="AB28" s="605"/>
      <c r="AC28" s="605"/>
      <c r="AD28" s="605"/>
      <c r="AE28" s="605"/>
      <c r="AF28" s="605"/>
      <c r="AG28" s="605"/>
      <c r="AH28" s="605"/>
      <c r="AI28" s="605"/>
      <c r="AJ28" s="605"/>
      <c r="AK28" s="605"/>
      <c r="AL28" s="605"/>
      <c r="AM28" s="605"/>
      <c r="AN28" s="605"/>
      <c r="AO28" s="605"/>
      <c r="AP28" s="605"/>
      <c r="AQ28" s="605"/>
      <c r="AR28" s="605"/>
      <c r="AS28" s="605"/>
      <c r="AT28" s="605"/>
      <c r="AU28" s="605"/>
      <c r="AV28" s="605"/>
      <c r="AW28" s="605"/>
      <c r="AX28" s="605"/>
      <c r="AY28" s="605"/>
      <c r="AZ28" s="605"/>
      <c r="BA28" s="605"/>
      <c r="BB28" s="605"/>
      <c r="BC28" s="605"/>
      <c r="BD28" s="605"/>
      <c r="BE28" s="605"/>
      <c r="BF28" s="605"/>
      <c r="BG28" s="605"/>
      <c r="BH28" s="605"/>
      <c r="BI28" s="605"/>
      <c r="BJ28" s="605"/>
      <c r="BK28" s="605"/>
      <c r="BL28" s="605"/>
      <c r="BM28" s="605"/>
      <c r="BN28" s="605"/>
      <c r="BO28" s="605"/>
      <c r="BP28" s="605"/>
      <c r="BQ28" s="605"/>
      <c r="BR28" s="605"/>
      <c r="BS28" s="605"/>
      <c r="BT28" s="605"/>
      <c r="BU28" s="605"/>
      <c r="BV28" s="605"/>
      <c r="BW28" s="605"/>
      <c r="BX28" s="605"/>
      <c r="BY28" s="605"/>
      <c r="BZ28" s="605"/>
      <c r="CA28" s="605"/>
      <c r="CB28" s="605"/>
      <c r="CC28" s="605"/>
      <c r="CD28" s="605"/>
      <c r="CE28" s="605"/>
      <c r="CF28" s="605"/>
      <c r="CG28" s="605"/>
      <c r="CH28" s="605"/>
      <c r="CI28" s="605"/>
      <c r="CJ28" s="605"/>
      <c r="CK28" s="605"/>
      <c r="CL28" s="605"/>
      <c r="CM28" s="605"/>
      <c r="CN28" s="605"/>
      <c r="CO28" s="605"/>
      <c r="CP28" s="605"/>
      <c r="CQ28" s="605"/>
      <c r="CR28" s="605"/>
      <c r="CS28" s="605"/>
      <c r="CT28" s="605"/>
      <c r="CU28" s="605"/>
      <c r="CV28" s="605"/>
      <c r="CW28" s="605"/>
      <c r="CX28" s="605"/>
      <c r="CY28" s="605"/>
      <c r="CZ28" s="605"/>
      <c r="DA28" s="605"/>
      <c r="DB28" s="605"/>
      <c r="DC28" s="605"/>
      <c r="DD28" s="605"/>
      <c r="DE28" s="605"/>
      <c r="DF28" s="605"/>
      <c r="DG28" s="605"/>
      <c r="DH28" s="605"/>
      <c r="DI28" s="605"/>
      <c r="DJ28" s="605"/>
      <c r="DK28" s="605"/>
      <c r="DL28" s="605"/>
    </row>
    <row r="29" spans="1:116" ht="19.5" customHeight="1" outlineLevel="1" x14ac:dyDescent="0.2">
      <c r="A29" s="580" t="s">
        <v>436</v>
      </c>
      <c r="B29" s="592">
        <v>0.02</v>
      </c>
      <c r="C29" s="221"/>
      <c r="D29" s="581"/>
      <c r="E29" s="581"/>
      <c r="F29" s="581"/>
      <c r="G29" s="581"/>
      <c r="H29" s="581"/>
      <c r="I29" s="581"/>
      <c r="J29" s="581"/>
      <c r="K29" s="581"/>
      <c r="L29" s="581"/>
      <c r="M29" s="581"/>
      <c r="N29" s="581"/>
      <c r="O29" s="581"/>
      <c r="P29" s="581"/>
      <c r="Q29" s="581"/>
      <c r="R29" s="581"/>
      <c r="S29" s="581"/>
      <c r="T29" s="581"/>
      <c r="U29" s="581"/>
      <c r="V29" s="581"/>
      <c r="W29" s="581"/>
      <c r="X29" s="581"/>
      <c r="Y29" s="581"/>
      <c r="Z29" s="581"/>
      <c r="AA29" s="581"/>
      <c r="AB29" s="581"/>
      <c r="AC29" s="581"/>
      <c r="AD29" s="581"/>
      <c r="AE29" s="581"/>
      <c r="AF29" s="581"/>
      <c r="AG29" s="581"/>
      <c r="AH29" s="581"/>
      <c r="AI29" s="581"/>
      <c r="AJ29" s="581"/>
      <c r="AK29" s="581"/>
      <c r="AL29" s="581"/>
      <c r="AM29" s="581"/>
      <c r="AN29" s="581"/>
      <c r="AO29" s="581"/>
      <c r="AP29" s="581"/>
      <c r="AQ29" s="581"/>
      <c r="AR29" s="581"/>
      <c r="AS29" s="581"/>
      <c r="AT29" s="581"/>
      <c r="AU29" s="581"/>
      <c r="AV29" s="581"/>
      <c r="AW29" s="581"/>
      <c r="AX29" s="581"/>
      <c r="AY29" s="581"/>
      <c r="AZ29" s="581"/>
      <c r="BA29" s="581"/>
      <c r="BB29" s="581"/>
      <c r="BC29" s="581"/>
      <c r="BD29" s="581"/>
      <c r="BE29" s="581"/>
      <c r="BF29" s="581"/>
      <c r="BG29" s="581"/>
      <c r="BH29" s="581"/>
      <c r="BI29" s="581"/>
      <c r="BJ29" s="581"/>
      <c r="BK29" s="581"/>
      <c r="BL29" s="581"/>
      <c r="BM29" s="581"/>
      <c r="BN29" s="581"/>
      <c r="BO29" s="581"/>
      <c r="BP29" s="581"/>
      <c r="BQ29" s="581"/>
      <c r="BR29" s="581"/>
      <c r="BS29" s="581"/>
      <c r="BT29" s="581"/>
      <c r="BU29" s="581"/>
      <c r="BV29" s="581"/>
      <c r="BW29" s="581"/>
      <c r="BX29" s="581"/>
      <c r="BY29" s="581"/>
      <c r="BZ29" s="581"/>
      <c r="CA29" s="581"/>
      <c r="CB29" s="581"/>
      <c r="CC29" s="581"/>
      <c r="CD29" s="581"/>
      <c r="CE29" s="581"/>
      <c r="CF29" s="581"/>
      <c r="CG29" s="581"/>
      <c r="CH29" s="581"/>
      <c r="CI29" s="581"/>
      <c r="CJ29" s="581"/>
      <c r="CK29" s="581"/>
      <c r="CL29" s="581"/>
      <c r="CM29" s="581"/>
      <c r="CN29" s="581"/>
      <c r="CO29" s="581"/>
      <c r="CP29" s="581"/>
      <c r="CQ29" s="581"/>
      <c r="CR29" s="581"/>
      <c r="CS29" s="581"/>
      <c r="CT29" s="581"/>
      <c r="CU29" s="581"/>
      <c r="CV29" s="581"/>
      <c r="CW29" s="581"/>
      <c r="CX29" s="581"/>
      <c r="CY29" s="581"/>
      <c r="CZ29" s="581"/>
      <c r="DA29" s="581"/>
      <c r="DB29" s="581"/>
      <c r="DC29" s="581"/>
      <c r="DD29" s="581"/>
      <c r="DE29" s="581"/>
      <c r="DF29" s="581"/>
      <c r="DG29" s="581"/>
      <c r="DH29" s="581"/>
      <c r="DI29" s="581"/>
      <c r="DJ29" s="581"/>
      <c r="DK29" s="581"/>
      <c r="DL29" s="581"/>
    </row>
    <row r="30" spans="1:116" ht="19.5" customHeight="1" outlineLevel="1" x14ac:dyDescent="0.2">
      <c r="A30" s="580"/>
      <c r="B30" s="221"/>
      <c r="C30" s="221"/>
      <c r="D30" s="581"/>
      <c r="E30" s="581"/>
      <c r="F30" s="581"/>
      <c r="G30" s="581"/>
      <c r="H30" s="581"/>
      <c r="I30" s="581"/>
      <c r="J30" s="581"/>
      <c r="K30" s="581"/>
      <c r="L30" s="581"/>
      <c r="M30" s="581"/>
      <c r="N30" s="581"/>
      <c r="O30" s="581"/>
      <c r="P30" s="581"/>
      <c r="Q30" s="581"/>
      <c r="R30" s="581"/>
      <c r="S30" s="581"/>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1"/>
      <c r="CV30" s="581"/>
      <c r="CW30" s="581"/>
      <c r="CX30" s="581"/>
      <c r="CY30" s="581"/>
      <c r="CZ30" s="581"/>
      <c r="DA30" s="581"/>
      <c r="DB30" s="581"/>
      <c r="DC30" s="581"/>
      <c r="DD30" s="581"/>
      <c r="DE30" s="581"/>
      <c r="DF30" s="581"/>
      <c r="DG30" s="581"/>
      <c r="DH30" s="581"/>
      <c r="DI30" s="581"/>
      <c r="DJ30" s="581"/>
      <c r="DK30" s="581"/>
      <c r="DL30" s="581"/>
    </row>
    <row r="31" spans="1:116" ht="19.5" customHeight="1" outlineLevel="1" x14ac:dyDescent="0.2">
      <c r="A31" s="580"/>
      <c r="B31" s="580">
        <v>2010</v>
      </c>
      <c r="C31" s="607">
        <v>2022</v>
      </c>
      <c r="D31" s="581"/>
      <c r="E31" s="581"/>
      <c r="F31" s="581"/>
      <c r="G31" s="581"/>
      <c r="H31" s="581"/>
      <c r="I31" s="581"/>
      <c r="J31" s="581"/>
      <c r="K31" s="581"/>
      <c r="L31" s="581"/>
      <c r="M31" s="581"/>
      <c r="N31" s="581"/>
      <c r="O31" s="581"/>
      <c r="P31" s="581"/>
      <c r="Q31" s="581"/>
      <c r="R31" s="581"/>
      <c r="S31" s="581"/>
      <c r="T31" s="581"/>
      <c r="U31" s="581"/>
      <c r="V31" s="581"/>
      <c r="W31" s="581"/>
      <c r="X31" s="581"/>
      <c r="Y31" s="581"/>
      <c r="Z31" s="581"/>
      <c r="AA31" s="581"/>
      <c r="AB31" s="581"/>
      <c r="AC31" s="581"/>
      <c r="AD31" s="581"/>
      <c r="AE31" s="581"/>
      <c r="AF31" s="581"/>
      <c r="AG31" s="581"/>
      <c r="AH31" s="581"/>
      <c r="AI31" s="581"/>
      <c r="AJ31" s="581"/>
      <c r="AK31" s="581"/>
      <c r="AL31" s="581"/>
      <c r="AM31" s="581"/>
      <c r="AN31" s="581"/>
      <c r="AO31" s="581"/>
      <c r="AP31" s="581"/>
      <c r="AQ31" s="581"/>
      <c r="AR31" s="581"/>
      <c r="AS31" s="581"/>
      <c r="AT31" s="581"/>
      <c r="AU31" s="581"/>
      <c r="AV31" s="581"/>
      <c r="AW31" s="581"/>
      <c r="AX31" s="581"/>
      <c r="AY31" s="581"/>
      <c r="AZ31" s="581"/>
      <c r="BA31" s="581"/>
      <c r="BB31" s="581"/>
      <c r="BC31" s="581"/>
      <c r="BD31" s="581"/>
      <c r="BE31" s="581"/>
      <c r="BF31" s="581"/>
      <c r="BG31" s="581"/>
      <c r="BH31" s="581"/>
      <c r="BI31" s="581"/>
      <c r="BJ31" s="581"/>
      <c r="BK31" s="581"/>
      <c r="BL31" s="581"/>
      <c r="BM31" s="581"/>
      <c r="BN31" s="581"/>
      <c r="BO31" s="581"/>
      <c r="BP31" s="581"/>
      <c r="BQ31" s="581"/>
      <c r="BR31" s="581"/>
      <c r="BS31" s="581"/>
      <c r="BT31" s="581"/>
      <c r="BU31" s="581"/>
      <c r="BV31" s="581"/>
      <c r="BW31" s="581"/>
      <c r="BX31" s="581"/>
      <c r="BY31" s="581"/>
      <c r="BZ31" s="581"/>
      <c r="CA31" s="581"/>
      <c r="CB31" s="581"/>
      <c r="CC31" s="581"/>
      <c r="CD31" s="581"/>
      <c r="CE31" s="581"/>
      <c r="CF31" s="581"/>
      <c r="CG31" s="581"/>
      <c r="CH31" s="581"/>
      <c r="CI31" s="581"/>
      <c r="CJ31" s="581"/>
      <c r="CK31" s="581"/>
      <c r="CL31" s="581"/>
      <c r="CM31" s="581"/>
      <c r="CN31" s="581"/>
      <c r="CO31" s="581"/>
      <c r="CP31" s="581"/>
      <c r="CQ31" s="581"/>
      <c r="CR31" s="581"/>
      <c r="CS31" s="581"/>
      <c r="CT31" s="581"/>
      <c r="CU31" s="581"/>
      <c r="CV31" s="581"/>
      <c r="CW31" s="581"/>
      <c r="CX31" s="581"/>
      <c r="CY31" s="581"/>
      <c r="CZ31" s="581"/>
      <c r="DA31" s="581"/>
      <c r="DB31" s="581"/>
      <c r="DC31" s="581"/>
      <c r="DD31" s="581"/>
      <c r="DE31" s="581"/>
      <c r="DF31" s="581"/>
      <c r="DG31" s="581"/>
      <c r="DH31" s="581"/>
      <c r="DI31" s="581"/>
      <c r="DJ31" s="581"/>
      <c r="DK31" s="581"/>
      <c r="DL31" s="581"/>
    </row>
    <row r="32" spans="1:116" ht="19.5" customHeight="1" outlineLevel="1" x14ac:dyDescent="0.2">
      <c r="A32" s="576" t="s">
        <v>437</v>
      </c>
      <c r="B32" s="608">
        <v>17455612.760000002</v>
      </c>
      <c r="C32" s="608">
        <f t="shared" ref="C32:C33" si="10">FV($B$29,($C$31-$B$31),0,-B32,0)</f>
        <v>22137937.651931267</v>
      </c>
      <c r="D32" s="573"/>
      <c r="E32" s="581"/>
      <c r="F32" s="581"/>
      <c r="G32" s="581"/>
      <c r="H32" s="581"/>
      <c r="I32" s="581"/>
      <c r="J32" s="581"/>
      <c r="K32" s="581"/>
      <c r="L32" s="581"/>
      <c r="M32" s="581"/>
      <c r="N32" s="581"/>
      <c r="O32" s="581"/>
      <c r="P32" s="581"/>
      <c r="Q32" s="581"/>
      <c r="R32" s="581"/>
      <c r="S32" s="581"/>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1"/>
      <c r="CV32" s="581"/>
      <c r="CW32" s="581"/>
      <c r="CX32" s="581"/>
      <c r="CY32" s="581"/>
      <c r="CZ32" s="581"/>
      <c r="DA32" s="581"/>
      <c r="DB32" s="581"/>
      <c r="DC32" s="581"/>
      <c r="DD32" s="581"/>
      <c r="DE32" s="581"/>
      <c r="DF32" s="581"/>
      <c r="DG32" s="581"/>
      <c r="DH32" s="581"/>
      <c r="DI32" s="581"/>
      <c r="DJ32" s="581"/>
      <c r="DK32" s="581"/>
      <c r="DL32" s="581"/>
    </row>
    <row r="33" spans="1:116" ht="19.5" customHeight="1" outlineLevel="1" x14ac:dyDescent="0.2">
      <c r="A33" s="581" t="s">
        <v>438</v>
      </c>
      <c r="B33" s="608">
        <v>14686571.09</v>
      </c>
      <c r="C33" s="608">
        <f t="shared" si="10"/>
        <v>18626123.275151998</v>
      </c>
      <c r="D33" s="573"/>
      <c r="E33" s="581"/>
      <c r="F33" s="581"/>
      <c r="G33" s="581"/>
      <c r="H33" s="581"/>
      <c r="I33" s="581"/>
      <c r="J33" s="581"/>
      <c r="K33" s="581"/>
      <c r="L33" s="581"/>
      <c r="M33" s="581"/>
      <c r="N33" s="581"/>
      <c r="O33" s="581"/>
      <c r="P33" s="581"/>
      <c r="Q33" s="581"/>
      <c r="R33" s="581"/>
      <c r="S33" s="581"/>
      <c r="T33" s="581"/>
      <c r="U33" s="581"/>
      <c r="V33" s="581"/>
      <c r="W33" s="581"/>
      <c r="X33" s="581"/>
      <c r="Y33" s="581"/>
      <c r="Z33" s="581"/>
      <c r="AA33" s="581"/>
      <c r="AB33" s="581"/>
      <c r="AC33" s="581"/>
      <c r="AD33" s="581"/>
      <c r="AE33" s="581"/>
      <c r="AF33" s="581"/>
      <c r="AG33" s="581"/>
      <c r="AH33" s="581"/>
      <c r="AI33" s="581"/>
      <c r="AJ33" s="581"/>
      <c r="AK33" s="581"/>
      <c r="AL33" s="581"/>
      <c r="AM33" s="581"/>
      <c r="AN33" s="581"/>
      <c r="AO33" s="581"/>
      <c r="AP33" s="581"/>
      <c r="AQ33" s="581"/>
      <c r="AR33" s="581"/>
      <c r="AS33" s="581"/>
      <c r="AT33" s="581"/>
      <c r="AU33" s="581"/>
      <c r="AV33" s="581"/>
      <c r="AW33" s="581"/>
      <c r="AX33" s="581"/>
      <c r="AY33" s="581"/>
      <c r="AZ33" s="581"/>
      <c r="BA33" s="581"/>
      <c r="BB33" s="581"/>
      <c r="BC33" s="581"/>
      <c r="BD33" s="581"/>
      <c r="BE33" s="581"/>
      <c r="BF33" s="581"/>
      <c r="BG33" s="581"/>
      <c r="BH33" s="581"/>
      <c r="BI33" s="581"/>
      <c r="BJ33" s="581"/>
      <c r="BK33" s="581"/>
      <c r="BL33" s="581"/>
      <c r="BM33" s="581"/>
      <c r="BN33" s="581"/>
      <c r="BO33" s="581"/>
      <c r="BP33" s="581"/>
      <c r="BQ33" s="581"/>
      <c r="BR33" s="581"/>
      <c r="BS33" s="581"/>
      <c r="BT33" s="581"/>
      <c r="BU33" s="581"/>
      <c r="BV33" s="581"/>
      <c r="BW33" s="581"/>
      <c r="BX33" s="581"/>
      <c r="BY33" s="581"/>
      <c r="BZ33" s="581"/>
      <c r="CA33" s="581"/>
      <c r="CB33" s="581"/>
      <c r="CC33" s="581"/>
      <c r="CD33" s="581"/>
      <c r="CE33" s="581"/>
      <c r="CF33" s="581"/>
      <c r="CG33" s="581"/>
      <c r="CH33" s="581"/>
      <c r="CI33" s="581"/>
      <c r="CJ33" s="581"/>
      <c r="CK33" s="581"/>
      <c r="CL33" s="581"/>
      <c r="CM33" s="581"/>
      <c r="CN33" s="581"/>
      <c r="CO33" s="581"/>
      <c r="CP33" s="581"/>
      <c r="CQ33" s="581"/>
      <c r="CR33" s="581"/>
      <c r="CS33" s="581"/>
      <c r="CT33" s="581"/>
      <c r="CU33" s="581"/>
      <c r="CV33" s="581"/>
      <c r="CW33" s="581"/>
      <c r="CX33" s="581"/>
      <c r="CY33" s="581"/>
      <c r="CZ33" s="581"/>
      <c r="DA33" s="581"/>
      <c r="DB33" s="581"/>
      <c r="DC33" s="581"/>
      <c r="DD33" s="581"/>
      <c r="DE33" s="581"/>
      <c r="DF33" s="581"/>
      <c r="DG33" s="581"/>
      <c r="DH33" s="581"/>
      <c r="DI33" s="581"/>
      <c r="DJ33" s="581"/>
      <c r="DK33" s="581"/>
      <c r="DL33" s="581"/>
    </row>
    <row r="34" spans="1:116" ht="19.5" customHeight="1" outlineLevel="1" x14ac:dyDescent="0.2">
      <c r="A34" s="581" t="s">
        <v>439</v>
      </c>
      <c r="B34" s="609">
        <f t="shared" ref="B34:C34" si="11">B33+B32</f>
        <v>32142183.850000001</v>
      </c>
      <c r="C34" s="609">
        <f t="shared" si="11"/>
        <v>40764060.927083269</v>
      </c>
      <c r="D34" s="573"/>
      <c r="E34" s="581"/>
      <c r="F34" s="581"/>
      <c r="G34" s="581"/>
      <c r="H34" s="581"/>
      <c r="I34" s="581"/>
      <c r="J34" s="581"/>
      <c r="K34" s="581"/>
      <c r="L34" s="581"/>
      <c r="M34" s="581"/>
      <c r="N34" s="581"/>
      <c r="O34" s="581"/>
      <c r="P34" s="581"/>
      <c r="Q34" s="581"/>
      <c r="R34" s="581"/>
      <c r="S34" s="581"/>
      <c r="T34" s="581"/>
      <c r="U34" s="581"/>
      <c r="V34" s="581"/>
      <c r="W34" s="581"/>
      <c r="X34" s="581"/>
      <c r="Y34" s="581"/>
      <c r="Z34" s="581"/>
      <c r="AA34" s="581"/>
      <c r="AB34" s="581"/>
      <c r="AC34" s="581"/>
      <c r="AD34" s="581"/>
      <c r="AE34" s="581"/>
      <c r="AF34" s="581"/>
      <c r="AG34" s="581"/>
      <c r="AH34" s="581"/>
      <c r="AI34" s="581"/>
      <c r="AJ34" s="581"/>
      <c r="AK34" s="581"/>
      <c r="AL34" s="581"/>
      <c r="AM34" s="581"/>
      <c r="AN34" s="581"/>
      <c r="AO34" s="581"/>
      <c r="AP34" s="581"/>
      <c r="AQ34" s="581"/>
      <c r="AR34" s="581"/>
      <c r="AS34" s="581"/>
      <c r="AT34" s="581"/>
      <c r="AU34" s="581"/>
      <c r="AV34" s="581"/>
      <c r="AW34" s="581"/>
      <c r="AX34" s="581"/>
      <c r="AY34" s="581"/>
      <c r="AZ34" s="581"/>
      <c r="BA34" s="581"/>
      <c r="BB34" s="581"/>
      <c r="BC34" s="581"/>
      <c r="BD34" s="581"/>
      <c r="BE34" s="581"/>
      <c r="BF34" s="581"/>
      <c r="BG34" s="581"/>
      <c r="BH34" s="581"/>
      <c r="BI34" s="581"/>
      <c r="BJ34" s="581"/>
      <c r="BK34" s="581"/>
      <c r="BL34" s="581"/>
      <c r="BM34" s="581"/>
      <c r="BN34" s="581"/>
      <c r="BO34" s="581"/>
      <c r="BP34" s="581"/>
      <c r="BQ34" s="581"/>
      <c r="BR34" s="581"/>
      <c r="BS34" s="581"/>
      <c r="BT34" s="581"/>
      <c r="BU34" s="581"/>
      <c r="BV34" s="581"/>
      <c r="BW34" s="581"/>
      <c r="BX34" s="581"/>
      <c r="BY34" s="581"/>
      <c r="BZ34" s="581"/>
      <c r="CA34" s="581"/>
      <c r="CB34" s="581"/>
      <c r="CC34" s="581"/>
      <c r="CD34" s="581"/>
      <c r="CE34" s="581"/>
      <c r="CF34" s="581"/>
      <c r="CG34" s="581"/>
      <c r="CH34" s="581"/>
      <c r="CI34" s="581"/>
      <c r="CJ34" s="581"/>
      <c r="CK34" s="581"/>
      <c r="CL34" s="581"/>
      <c r="CM34" s="581"/>
      <c r="CN34" s="581"/>
      <c r="CO34" s="581"/>
      <c r="CP34" s="581"/>
      <c r="CQ34" s="581"/>
      <c r="CR34" s="581"/>
      <c r="CS34" s="581"/>
      <c r="CT34" s="581"/>
      <c r="CU34" s="581"/>
      <c r="CV34" s="581"/>
      <c r="CW34" s="581"/>
      <c r="CX34" s="581"/>
      <c r="CY34" s="581"/>
      <c r="CZ34" s="581"/>
      <c r="DA34" s="581"/>
      <c r="DB34" s="581"/>
      <c r="DC34" s="581"/>
      <c r="DD34" s="581"/>
      <c r="DE34" s="581"/>
      <c r="DF34" s="581"/>
      <c r="DG34" s="581"/>
      <c r="DH34" s="581"/>
      <c r="DI34" s="581"/>
      <c r="DJ34" s="581"/>
      <c r="DK34" s="581"/>
      <c r="DL34" s="581"/>
    </row>
    <row r="35" spans="1:116" ht="19.5" customHeight="1" outlineLevel="1" x14ac:dyDescent="0.2">
      <c r="A35" s="576" t="s">
        <v>440</v>
      </c>
      <c r="B35" s="592">
        <f>B32/B34</f>
        <v>0.54307488381813862</v>
      </c>
      <c r="C35" s="576"/>
      <c r="D35" s="573"/>
      <c r="E35" s="581"/>
      <c r="F35" s="581"/>
      <c r="G35" s="581"/>
      <c r="H35" s="581"/>
      <c r="I35" s="581"/>
      <c r="J35" s="581"/>
      <c r="K35" s="581"/>
      <c r="L35" s="581"/>
      <c r="M35" s="581"/>
      <c r="N35" s="581"/>
      <c r="O35" s="581"/>
      <c r="P35" s="581"/>
      <c r="Q35" s="581"/>
      <c r="R35" s="581"/>
      <c r="S35" s="581"/>
      <c r="T35" s="581"/>
      <c r="U35" s="581"/>
      <c r="V35" s="581"/>
      <c r="W35" s="581"/>
      <c r="X35" s="581"/>
      <c r="Y35" s="581"/>
      <c r="Z35" s="581"/>
      <c r="AA35" s="581"/>
      <c r="AB35" s="581"/>
      <c r="AC35" s="581"/>
      <c r="AD35" s="581"/>
      <c r="AE35" s="581"/>
      <c r="AF35" s="581"/>
      <c r="AG35" s="581"/>
      <c r="AH35" s="581"/>
      <c r="AI35" s="581"/>
      <c r="AJ35" s="581"/>
      <c r="AK35" s="581"/>
      <c r="AL35" s="581"/>
      <c r="AM35" s="581"/>
      <c r="AN35" s="581"/>
      <c r="AO35" s="581"/>
      <c r="AP35" s="581"/>
      <c r="AQ35" s="581"/>
      <c r="AR35" s="581"/>
      <c r="AS35" s="581"/>
      <c r="AT35" s="581"/>
      <c r="AU35" s="581"/>
      <c r="AV35" s="581"/>
      <c r="AW35" s="581"/>
      <c r="AX35" s="581"/>
      <c r="AY35" s="581"/>
      <c r="AZ35" s="581"/>
      <c r="BA35" s="581"/>
      <c r="BB35" s="581"/>
      <c r="BC35" s="581"/>
      <c r="BD35" s="581"/>
      <c r="BE35" s="581"/>
      <c r="BF35" s="581"/>
      <c r="BG35" s="581"/>
      <c r="BH35" s="581"/>
      <c r="BI35" s="581"/>
      <c r="BJ35" s="581"/>
      <c r="BK35" s="581"/>
      <c r="BL35" s="581"/>
      <c r="BM35" s="581"/>
      <c r="BN35" s="581"/>
      <c r="BO35" s="581"/>
      <c r="BP35" s="581"/>
      <c r="BQ35" s="581"/>
      <c r="BR35" s="581"/>
      <c r="BS35" s="581"/>
      <c r="BT35" s="581"/>
      <c r="BU35" s="581"/>
      <c r="BV35" s="581"/>
      <c r="BW35" s="581"/>
      <c r="BX35" s="581"/>
      <c r="BY35" s="581"/>
      <c r="BZ35" s="581"/>
      <c r="CA35" s="581"/>
      <c r="CB35" s="581"/>
      <c r="CC35" s="581"/>
      <c r="CD35" s="581"/>
      <c r="CE35" s="581"/>
      <c r="CF35" s="581"/>
      <c r="CG35" s="581"/>
      <c r="CH35" s="581"/>
      <c r="CI35" s="581"/>
      <c r="CJ35" s="581"/>
      <c r="CK35" s="581"/>
      <c r="CL35" s="581"/>
      <c r="CM35" s="581"/>
      <c r="CN35" s="581"/>
      <c r="CO35" s="581"/>
      <c r="CP35" s="581"/>
      <c r="CQ35" s="581"/>
      <c r="CR35" s="581"/>
      <c r="CS35" s="581"/>
      <c r="CT35" s="581"/>
      <c r="CU35" s="581"/>
      <c r="CV35" s="581"/>
      <c r="CW35" s="581"/>
      <c r="CX35" s="581"/>
      <c r="CY35" s="581"/>
      <c r="CZ35" s="581"/>
      <c r="DA35" s="581"/>
      <c r="DB35" s="581"/>
      <c r="DC35" s="581"/>
      <c r="DD35" s="581"/>
      <c r="DE35" s="581"/>
      <c r="DF35" s="581"/>
      <c r="DG35" s="581"/>
      <c r="DH35" s="581"/>
      <c r="DI35" s="581"/>
      <c r="DJ35" s="581"/>
      <c r="DK35" s="581"/>
      <c r="DL35" s="581"/>
    </row>
    <row r="36" spans="1:116" ht="19.5" customHeight="1" outlineLevel="1" x14ac:dyDescent="0.2">
      <c r="A36" s="581" t="s">
        <v>441</v>
      </c>
      <c r="B36" s="592">
        <f>B33/B34</f>
        <v>0.45692511618186138</v>
      </c>
      <c r="C36" s="581"/>
      <c r="D36" s="573"/>
      <c r="E36" s="581"/>
      <c r="F36" s="581"/>
      <c r="G36" s="581"/>
      <c r="H36" s="581"/>
      <c r="I36" s="581"/>
      <c r="J36" s="581"/>
      <c r="K36" s="581"/>
      <c r="L36" s="581"/>
      <c r="M36" s="581"/>
      <c r="N36" s="581"/>
      <c r="O36" s="581"/>
      <c r="P36" s="581"/>
      <c r="Q36" s="581"/>
      <c r="R36" s="581"/>
      <c r="S36" s="581"/>
      <c r="T36" s="581"/>
      <c r="U36" s="581"/>
      <c r="V36" s="581"/>
      <c r="W36" s="581"/>
      <c r="X36" s="581"/>
      <c r="Y36" s="581"/>
      <c r="Z36" s="581"/>
      <c r="AA36" s="581"/>
      <c r="AB36" s="581"/>
      <c r="AC36" s="581"/>
      <c r="AD36" s="581"/>
      <c r="AE36" s="581"/>
      <c r="AF36" s="581"/>
      <c r="AG36" s="581"/>
      <c r="AH36" s="581"/>
      <c r="AI36" s="581"/>
      <c r="AJ36" s="581"/>
      <c r="AK36" s="581"/>
      <c r="AL36" s="581"/>
      <c r="AM36" s="581"/>
      <c r="AN36" s="581"/>
      <c r="AO36" s="581"/>
      <c r="AP36" s="581"/>
      <c r="AQ36" s="581"/>
      <c r="AR36" s="581"/>
      <c r="AS36" s="581"/>
      <c r="AT36" s="581"/>
      <c r="AU36" s="581"/>
      <c r="AV36" s="581"/>
      <c r="AW36" s="581"/>
      <c r="AX36" s="581"/>
      <c r="AY36" s="581"/>
      <c r="AZ36" s="581"/>
      <c r="BA36" s="581"/>
      <c r="BB36" s="581"/>
      <c r="BC36" s="581"/>
      <c r="BD36" s="581"/>
      <c r="BE36" s="581"/>
      <c r="BF36" s="581"/>
      <c r="BG36" s="581"/>
      <c r="BH36" s="581"/>
      <c r="BI36" s="581"/>
      <c r="BJ36" s="581"/>
      <c r="BK36" s="581"/>
      <c r="BL36" s="581"/>
      <c r="BM36" s="581"/>
      <c r="BN36" s="581"/>
      <c r="BO36" s="581"/>
      <c r="BP36" s="581"/>
      <c r="BQ36" s="581"/>
      <c r="BR36" s="581"/>
      <c r="BS36" s="581"/>
      <c r="BT36" s="581"/>
      <c r="BU36" s="581"/>
      <c r="BV36" s="581"/>
      <c r="BW36" s="581"/>
      <c r="BX36" s="581"/>
      <c r="BY36" s="581"/>
      <c r="BZ36" s="581"/>
      <c r="CA36" s="581"/>
      <c r="CB36" s="581"/>
      <c r="CC36" s="581"/>
      <c r="CD36" s="581"/>
      <c r="CE36" s="581"/>
      <c r="CF36" s="581"/>
      <c r="CG36" s="581"/>
      <c r="CH36" s="581"/>
      <c r="CI36" s="581"/>
      <c r="CJ36" s="581"/>
      <c r="CK36" s="581"/>
      <c r="CL36" s="581"/>
      <c r="CM36" s="581"/>
      <c r="CN36" s="581"/>
      <c r="CO36" s="581"/>
      <c r="CP36" s="581"/>
      <c r="CQ36" s="581"/>
      <c r="CR36" s="581"/>
      <c r="CS36" s="581"/>
      <c r="CT36" s="581"/>
      <c r="CU36" s="581"/>
      <c r="CV36" s="581"/>
      <c r="CW36" s="581"/>
      <c r="CX36" s="581"/>
      <c r="CY36" s="581"/>
      <c r="CZ36" s="581"/>
      <c r="DA36" s="581"/>
      <c r="DB36" s="581"/>
      <c r="DC36" s="581"/>
      <c r="DD36" s="581"/>
      <c r="DE36" s="581"/>
      <c r="DF36" s="581"/>
      <c r="DG36" s="581"/>
      <c r="DH36" s="581"/>
      <c r="DI36" s="581"/>
      <c r="DJ36" s="581"/>
      <c r="DK36" s="581"/>
      <c r="DL36" s="581"/>
    </row>
    <row r="37" spans="1:116" ht="19.5" customHeight="1" outlineLevel="1" x14ac:dyDescent="0.2">
      <c r="A37" s="581"/>
      <c r="B37" s="581"/>
      <c r="C37" s="576"/>
      <c r="D37" s="573"/>
      <c r="E37" s="581"/>
      <c r="F37" s="581"/>
      <c r="G37" s="581"/>
      <c r="H37" s="581"/>
      <c r="I37" s="581"/>
      <c r="J37" s="581"/>
      <c r="K37" s="581"/>
      <c r="L37" s="581"/>
      <c r="M37" s="581"/>
      <c r="N37" s="581"/>
      <c r="O37" s="581"/>
      <c r="P37" s="581"/>
      <c r="Q37" s="581"/>
      <c r="R37" s="581"/>
      <c r="S37" s="581"/>
      <c r="T37" s="581"/>
      <c r="U37" s="581"/>
      <c r="V37" s="581"/>
      <c r="W37" s="581"/>
      <c r="X37" s="581"/>
      <c r="Y37" s="581"/>
      <c r="Z37" s="581"/>
      <c r="AA37" s="581"/>
      <c r="AB37" s="581"/>
      <c r="AC37" s="581"/>
      <c r="AD37" s="581"/>
      <c r="AE37" s="581"/>
      <c r="AF37" s="581"/>
      <c r="AG37" s="581"/>
      <c r="AH37" s="581"/>
      <c r="AI37" s="581"/>
      <c r="AJ37" s="581"/>
      <c r="AK37" s="581"/>
      <c r="AL37" s="581"/>
      <c r="AM37" s="581"/>
      <c r="AN37" s="581"/>
      <c r="AO37" s="581"/>
      <c r="AP37" s="581"/>
      <c r="AQ37" s="581"/>
      <c r="AR37" s="581"/>
      <c r="AS37" s="581"/>
      <c r="AT37" s="581"/>
      <c r="AU37" s="581"/>
      <c r="AV37" s="581"/>
      <c r="AW37" s="581"/>
      <c r="AX37" s="581"/>
      <c r="AY37" s="581"/>
      <c r="AZ37" s="581"/>
      <c r="BA37" s="581"/>
      <c r="BB37" s="581"/>
      <c r="BC37" s="581"/>
      <c r="BD37" s="581"/>
      <c r="BE37" s="581"/>
      <c r="BF37" s="581"/>
      <c r="BG37" s="581"/>
      <c r="BH37" s="581"/>
      <c r="BI37" s="581"/>
      <c r="BJ37" s="581"/>
      <c r="BK37" s="581"/>
      <c r="BL37" s="581"/>
      <c r="BM37" s="581"/>
      <c r="BN37" s="581"/>
      <c r="BO37" s="581"/>
      <c r="BP37" s="581"/>
      <c r="BQ37" s="581"/>
      <c r="BR37" s="581"/>
      <c r="BS37" s="581"/>
      <c r="BT37" s="581"/>
      <c r="BU37" s="581"/>
      <c r="BV37" s="581"/>
      <c r="BW37" s="581"/>
      <c r="BX37" s="581"/>
      <c r="BY37" s="581"/>
      <c r="BZ37" s="581"/>
      <c r="CA37" s="581"/>
      <c r="CB37" s="581"/>
      <c r="CC37" s="581"/>
      <c r="CD37" s="581"/>
      <c r="CE37" s="581"/>
      <c r="CF37" s="581"/>
      <c r="CG37" s="581"/>
      <c r="CH37" s="581"/>
      <c r="CI37" s="581"/>
      <c r="CJ37" s="581"/>
      <c r="CK37" s="581"/>
      <c r="CL37" s="581"/>
      <c r="CM37" s="581"/>
      <c r="CN37" s="581"/>
      <c r="CO37" s="581"/>
      <c r="CP37" s="581"/>
      <c r="CQ37" s="581"/>
      <c r="CR37" s="581"/>
      <c r="CS37" s="581"/>
      <c r="CT37" s="581"/>
      <c r="CU37" s="581"/>
      <c r="CV37" s="581"/>
      <c r="CW37" s="581"/>
      <c r="CX37" s="581"/>
      <c r="CY37" s="581"/>
      <c r="CZ37" s="581"/>
      <c r="DA37" s="581"/>
      <c r="DB37" s="581"/>
      <c r="DC37" s="581"/>
      <c r="DD37" s="581"/>
      <c r="DE37" s="581"/>
      <c r="DF37" s="581"/>
      <c r="DG37" s="581"/>
      <c r="DH37" s="581"/>
      <c r="DI37" s="581"/>
      <c r="DJ37" s="581"/>
      <c r="DK37" s="581"/>
      <c r="DL37" s="581"/>
    </row>
    <row r="38" spans="1:116" ht="19.5" customHeight="1" outlineLevel="1" x14ac:dyDescent="0.2">
      <c r="A38" s="610"/>
      <c r="B38" s="611"/>
      <c r="C38" s="612"/>
      <c r="D38" s="613"/>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612"/>
      <c r="CV38" s="612"/>
      <c r="CW38" s="612"/>
      <c r="CX38" s="612"/>
      <c r="CY38" s="612"/>
      <c r="CZ38" s="612"/>
      <c r="DA38" s="612"/>
      <c r="DB38" s="612"/>
      <c r="DC38" s="612"/>
      <c r="DD38" s="612"/>
      <c r="DE38" s="612"/>
      <c r="DF38" s="612"/>
      <c r="DG38" s="612"/>
      <c r="DH38" s="612"/>
      <c r="DI38" s="612"/>
      <c r="DJ38" s="612"/>
      <c r="DK38" s="612"/>
      <c r="DL38" s="612"/>
    </row>
    <row r="39" spans="1:116" ht="19.5" customHeight="1" outlineLevel="1" x14ac:dyDescent="0.2">
      <c r="A39" s="614" t="s">
        <v>442</v>
      </c>
      <c r="B39" s="615"/>
      <c r="C39" s="615"/>
      <c r="D39" s="606"/>
      <c r="E39" s="606"/>
      <c r="F39" s="606"/>
      <c r="G39" s="606"/>
      <c r="H39" s="606"/>
      <c r="I39" s="606"/>
      <c r="J39" s="606"/>
      <c r="K39" s="606"/>
      <c r="L39" s="606"/>
      <c r="M39" s="615"/>
      <c r="N39" s="615"/>
      <c r="O39" s="615"/>
      <c r="P39" s="615"/>
      <c r="Q39" s="615"/>
      <c r="R39" s="615"/>
      <c r="S39" s="615"/>
      <c r="T39" s="615"/>
      <c r="U39" s="615"/>
      <c r="V39" s="615"/>
      <c r="W39" s="615"/>
      <c r="X39" s="615"/>
      <c r="Y39" s="615"/>
      <c r="Z39" s="615"/>
      <c r="AA39" s="615"/>
      <c r="AB39" s="615"/>
      <c r="AC39" s="615"/>
      <c r="AD39" s="615"/>
      <c r="AE39" s="615"/>
      <c r="AF39" s="615"/>
      <c r="AG39" s="615"/>
      <c r="AH39" s="615"/>
      <c r="AI39" s="615"/>
      <c r="AJ39" s="615"/>
      <c r="AK39" s="615"/>
      <c r="AL39" s="615"/>
      <c r="AM39" s="615"/>
      <c r="AN39" s="615"/>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c r="CU39" s="615"/>
      <c r="CV39" s="615"/>
      <c r="CW39" s="615"/>
      <c r="CX39" s="615"/>
      <c r="CY39" s="615"/>
      <c r="CZ39" s="615"/>
      <c r="DA39" s="615"/>
      <c r="DB39" s="615"/>
      <c r="DC39" s="615"/>
      <c r="DD39" s="615"/>
      <c r="DE39" s="615"/>
      <c r="DF39" s="615"/>
      <c r="DG39" s="615"/>
      <c r="DH39" s="615"/>
      <c r="DI39" s="615"/>
      <c r="DJ39" s="615"/>
      <c r="DK39" s="615"/>
      <c r="DL39" s="615"/>
    </row>
    <row r="40" spans="1:116" ht="19.5" customHeight="1" outlineLevel="1" x14ac:dyDescent="0.2">
      <c r="A40" s="581"/>
      <c r="B40" s="580">
        <v>2010</v>
      </c>
      <c r="C40" s="607">
        <v>2022</v>
      </c>
      <c r="D40" s="573"/>
      <c r="E40" s="581"/>
      <c r="F40" s="581"/>
      <c r="G40" s="581"/>
      <c r="H40" s="581"/>
      <c r="I40" s="581"/>
      <c r="J40" s="581"/>
      <c r="K40" s="581"/>
      <c r="L40" s="581"/>
      <c r="M40" s="581"/>
      <c r="N40" s="581"/>
      <c r="O40" s="581"/>
      <c r="P40" s="581"/>
      <c r="Q40" s="581"/>
      <c r="R40" s="581"/>
      <c r="S40" s="581"/>
      <c r="T40" s="581"/>
      <c r="U40" s="581"/>
      <c r="V40" s="581"/>
      <c r="W40" s="581"/>
      <c r="X40" s="581"/>
      <c r="Y40" s="581"/>
      <c r="Z40" s="581"/>
      <c r="AA40" s="581"/>
      <c r="AB40" s="581"/>
      <c r="AC40" s="581"/>
      <c r="AD40" s="581"/>
      <c r="AE40" s="581"/>
      <c r="AF40" s="581"/>
      <c r="AG40" s="581"/>
      <c r="AH40" s="581"/>
      <c r="AI40" s="581"/>
      <c r="AJ40" s="581"/>
      <c r="AK40" s="581"/>
      <c r="AL40" s="581"/>
      <c r="AM40" s="581"/>
      <c r="AN40" s="581"/>
      <c r="AO40" s="581"/>
      <c r="AP40" s="581"/>
      <c r="AQ40" s="581"/>
      <c r="AR40" s="581"/>
      <c r="AS40" s="581"/>
      <c r="AT40" s="581"/>
      <c r="AU40" s="581"/>
      <c r="AV40" s="581"/>
      <c r="AW40" s="581"/>
      <c r="AX40" s="581"/>
      <c r="AY40" s="581"/>
      <c r="AZ40" s="581"/>
      <c r="BA40" s="581"/>
      <c r="BB40" s="581"/>
      <c r="BC40" s="581"/>
      <c r="BD40" s="581"/>
      <c r="BE40" s="581"/>
      <c r="BF40" s="581"/>
      <c r="BG40" s="581"/>
      <c r="BH40" s="581"/>
      <c r="BI40" s="581"/>
      <c r="BJ40" s="581"/>
      <c r="BK40" s="581"/>
      <c r="BL40" s="581"/>
      <c r="BM40" s="581"/>
      <c r="BN40" s="581"/>
      <c r="BO40" s="581"/>
      <c r="BP40" s="581"/>
      <c r="BQ40" s="581"/>
      <c r="BR40" s="581"/>
      <c r="BS40" s="581"/>
      <c r="BT40" s="581"/>
      <c r="BU40" s="581"/>
      <c r="BV40" s="581"/>
      <c r="BW40" s="581"/>
      <c r="BX40" s="581"/>
      <c r="BY40" s="581"/>
      <c r="BZ40" s="581"/>
      <c r="CA40" s="581"/>
      <c r="CB40" s="581"/>
      <c r="CC40" s="581"/>
      <c r="CD40" s="581"/>
      <c r="CE40" s="581"/>
      <c r="CF40" s="581"/>
      <c r="CG40" s="581"/>
      <c r="CH40" s="581"/>
      <c r="CI40" s="581"/>
      <c r="CJ40" s="581"/>
      <c r="CK40" s="581"/>
      <c r="CL40" s="581"/>
      <c r="CM40" s="581"/>
      <c r="CN40" s="581"/>
      <c r="CO40" s="581"/>
      <c r="CP40" s="581"/>
      <c r="CQ40" s="581"/>
      <c r="CR40" s="581"/>
      <c r="CS40" s="581"/>
      <c r="CT40" s="581"/>
      <c r="CU40" s="581"/>
      <c r="CV40" s="581"/>
      <c r="CW40" s="581"/>
      <c r="CX40" s="581"/>
      <c r="CY40" s="581"/>
      <c r="CZ40" s="581"/>
      <c r="DA40" s="581"/>
      <c r="DB40" s="581"/>
      <c r="DC40" s="581"/>
      <c r="DD40" s="581"/>
      <c r="DE40" s="581"/>
      <c r="DF40" s="581"/>
      <c r="DG40" s="581"/>
      <c r="DH40" s="581"/>
      <c r="DI40" s="581"/>
      <c r="DJ40" s="581"/>
      <c r="DK40" s="581"/>
      <c r="DL40" s="581"/>
    </row>
    <row r="41" spans="1:116" ht="19.5" customHeight="1" outlineLevel="1" x14ac:dyDescent="0.2">
      <c r="A41" s="576" t="s">
        <v>437</v>
      </c>
      <c r="B41" s="608">
        <f t="shared" ref="B41:C41" si="12">B32*2</f>
        <v>34911225.520000003</v>
      </c>
      <c r="C41" s="608">
        <f t="shared" si="12"/>
        <v>44275875.303862534</v>
      </c>
      <c r="D41" s="573"/>
      <c r="E41" s="581"/>
      <c r="F41" s="581"/>
      <c r="G41" s="581"/>
      <c r="H41" s="581"/>
      <c r="I41" s="581"/>
      <c r="J41" s="581"/>
      <c r="K41" s="581"/>
      <c r="L41" s="581"/>
      <c r="M41" s="581"/>
      <c r="N41" s="581"/>
      <c r="O41" s="581"/>
      <c r="P41" s="581"/>
      <c r="Q41" s="581"/>
      <c r="R41" s="581"/>
      <c r="S41" s="581"/>
      <c r="T41" s="581"/>
      <c r="U41" s="581"/>
      <c r="V41" s="581"/>
      <c r="W41" s="581"/>
      <c r="X41" s="581"/>
      <c r="Y41" s="581"/>
      <c r="Z41" s="581"/>
      <c r="AA41" s="581"/>
      <c r="AB41" s="581"/>
      <c r="AC41" s="581"/>
      <c r="AD41" s="581"/>
      <c r="AE41" s="581"/>
      <c r="AF41" s="581"/>
      <c r="AG41" s="581"/>
      <c r="AH41" s="581"/>
      <c r="AI41" s="581"/>
      <c r="AJ41" s="581"/>
      <c r="AK41" s="581"/>
      <c r="AL41" s="581"/>
      <c r="AM41" s="581"/>
      <c r="AN41" s="581"/>
      <c r="AO41" s="581"/>
      <c r="AP41" s="581"/>
      <c r="AQ41" s="581"/>
      <c r="AR41" s="581"/>
      <c r="AS41" s="581"/>
      <c r="AT41" s="581"/>
      <c r="AU41" s="581"/>
      <c r="AV41" s="581"/>
      <c r="AW41" s="581"/>
      <c r="AX41" s="581"/>
      <c r="AY41" s="581"/>
      <c r="AZ41" s="581"/>
      <c r="BA41" s="581"/>
      <c r="BB41" s="581"/>
      <c r="BC41" s="581"/>
      <c r="BD41" s="581"/>
      <c r="BE41" s="581"/>
      <c r="BF41" s="581"/>
      <c r="BG41" s="581"/>
      <c r="BH41" s="581"/>
      <c r="BI41" s="581"/>
      <c r="BJ41" s="581"/>
      <c r="BK41" s="581"/>
      <c r="BL41" s="581"/>
      <c r="BM41" s="581"/>
      <c r="BN41" s="581"/>
      <c r="BO41" s="581"/>
      <c r="BP41" s="581"/>
      <c r="BQ41" s="581"/>
      <c r="BR41" s="581"/>
      <c r="BS41" s="581"/>
      <c r="BT41" s="581"/>
      <c r="BU41" s="581"/>
      <c r="BV41" s="581"/>
      <c r="BW41" s="581"/>
      <c r="BX41" s="581"/>
      <c r="BY41" s="581"/>
      <c r="BZ41" s="581"/>
      <c r="CA41" s="581"/>
      <c r="CB41" s="581"/>
      <c r="CC41" s="581"/>
      <c r="CD41" s="581"/>
      <c r="CE41" s="581"/>
      <c r="CF41" s="581"/>
      <c r="CG41" s="581"/>
      <c r="CH41" s="581"/>
      <c r="CI41" s="581"/>
      <c r="CJ41" s="581"/>
      <c r="CK41" s="581"/>
      <c r="CL41" s="581"/>
      <c r="CM41" s="581"/>
      <c r="CN41" s="581"/>
      <c r="CO41" s="581"/>
      <c r="CP41" s="581"/>
      <c r="CQ41" s="581"/>
      <c r="CR41" s="581"/>
      <c r="CS41" s="581"/>
      <c r="CT41" s="581"/>
      <c r="CU41" s="581"/>
      <c r="CV41" s="581"/>
      <c r="CW41" s="581"/>
      <c r="CX41" s="581"/>
      <c r="CY41" s="581"/>
      <c r="CZ41" s="581"/>
      <c r="DA41" s="581"/>
      <c r="DB41" s="581"/>
      <c r="DC41" s="581"/>
      <c r="DD41" s="581"/>
      <c r="DE41" s="581"/>
      <c r="DF41" s="581"/>
      <c r="DG41" s="581"/>
      <c r="DH41" s="581"/>
      <c r="DI41" s="581"/>
      <c r="DJ41" s="581"/>
      <c r="DK41" s="581"/>
      <c r="DL41" s="581"/>
    </row>
    <row r="42" spans="1:116" ht="19.5" customHeight="1" outlineLevel="1" x14ac:dyDescent="0.2">
      <c r="A42" s="581" t="s">
        <v>438</v>
      </c>
      <c r="B42" s="608">
        <f t="shared" ref="B42:C42" si="13">B33*2</f>
        <v>29373142.18</v>
      </c>
      <c r="C42" s="608">
        <f t="shared" si="13"/>
        <v>37252246.550303996</v>
      </c>
      <c r="D42" s="573"/>
      <c r="E42" s="581"/>
      <c r="F42" s="581"/>
      <c r="G42" s="581"/>
      <c r="H42" s="581"/>
      <c r="I42" s="581"/>
      <c r="J42" s="581"/>
      <c r="K42" s="581"/>
      <c r="L42" s="581"/>
      <c r="M42" s="581"/>
      <c r="N42" s="581"/>
      <c r="O42" s="581"/>
      <c r="P42" s="581"/>
      <c r="Q42" s="581"/>
      <c r="R42" s="581"/>
      <c r="S42" s="581"/>
      <c r="T42" s="581"/>
      <c r="U42" s="581"/>
      <c r="V42" s="581"/>
      <c r="W42" s="581"/>
      <c r="X42" s="581"/>
      <c r="Y42" s="581"/>
      <c r="Z42" s="581"/>
      <c r="AA42" s="581"/>
      <c r="AB42" s="581"/>
      <c r="AC42" s="581"/>
      <c r="AD42" s="581"/>
      <c r="AE42" s="581"/>
      <c r="AF42" s="581"/>
      <c r="AG42" s="581"/>
      <c r="AH42" s="581"/>
      <c r="AI42" s="581"/>
      <c r="AJ42" s="581"/>
      <c r="AK42" s="581"/>
      <c r="AL42" s="581"/>
      <c r="AM42" s="581"/>
      <c r="AN42" s="581"/>
      <c r="AO42" s="581"/>
      <c r="AP42" s="581"/>
      <c r="AQ42" s="581"/>
      <c r="AR42" s="581"/>
      <c r="AS42" s="581"/>
      <c r="AT42" s="581"/>
      <c r="AU42" s="581"/>
      <c r="AV42" s="581"/>
      <c r="AW42" s="581"/>
      <c r="AX42" s="581"/>
      <c r="AY42" s="581"/>
      <c r="AZ42" s="581"/>
      <c r="BA42" s="581"/>
      <c r="BB42" s="581"/>
      <c r="BC42" s="581"/>
      <c r="BD42" s="581"/>
      <c r="BE42" s="581"/>
      <c r="BF42" s="581"/>
      <c r="BG42" s="581"/>
      <c r="BH42" s="581"/>
      <c r="BI42" s="581"/>
      <c r="BJ42" s="581"/>
      <c r="BK42" s="581"/>
      <c r="BL42" s="581"/>
      <c r="BM42" s="581"/>
      <c r="BN42" s="581"/>
      <c r="BO42" s="581"/>
      <c r="BP42" s="581"/>
      <c r="BQ42" s="581"/>
      <c r="BR42" s="581"/>
      <c r="BS42" s="581"/>
      <c r="BT42" s="581"/>
      <c r="BU42" s="581"/>
      <c r="BV42" s="581"/>
      <c r="BW42" s="581"/>
      <c r="BX42" s="581"/>
      <c r="BY42" s="581"/>
      <c r="BZ42" s="581"/>
      <c r="CA42" s="581"/>
      <c r="CB42" s="581"/>
      <c r="CC42" s="581"/>
      <c r="CD42" s="581"/>
      <c r="CE42" s="581"/>
      <c r="CF42" s="581"/>
      <c r="CG42" s="581"/>
      <c r="CH42" s="581"/>
      <c r="CI42" s="581"/>
      <c r="CJ42" s="581"/>
      <c r="CK42" s="581"/>
      <c r="CL42" s="581"/>
      <c r="CM42" s="581"/>
      <c r="CN42" s="581"/>
      <c r="CO42" s="581"/>
      <c r="CP42" s="581"/>
      <c r="CQ42" s="581"/>
      <c r="CR42" s="581"/>
      <c r="CS42" s="581"/>
      <c r="CT42" s="581"/>
      <c r="CU42" s="581"/>
      <c r="CV42" s="581"/>
      <c r="CW42" s="581"/>
      <c r="CX42" s="581"/>
      <c r="CY42" s="581"/>
      <c r="CZ42" s="581"/>
      <c r="DA42" s="581"/>
      <c r="DB42" s="581"/>
      <c r="DC42" s="581"/>
      <c r="DD42" s="581"/>
      <c r="DE42" s="581"/>
      <c r="DF42" s="581"/>
      <c r="DG42" s="581"/>
      <c r="DH42" s="581"/>
      <c r="DI42" s="581"/>
      <c r="DJ42" s="581"/>
      <c r="DK42" s="581"/>
      <c r="DL42" s="581"/>
    </row>
    <row r="43" spans="1:116" ht="19.5" customHeight="1" outlineLevel="1" x14ac:dyDescent="0.2">
      <c r="A43" s="581" t="s">
        <v>439</v>
      </c>
      <c r="B43" s="609">
        <f t="shared" ref="B43:C43" si="14">B42+B41</f>
        <v>64284367.700000003</v>
      </c>
      <c r="C43" s="616">
        <f t="shared" si="14"/>
        <v>81528121.854166538</v>
      </c>
      <c r="D43" s="573"/>
      <c r="E43" s="581"/>
      <c r="F43" s="581"/>
      <c r="G43" s="581"/>
      <c r="H43" s="581"/>
      <c r="I43" s="581"/>
      <c r="J43" s="581"/>
      <c r="K43" s="581"/>
      <c r="L43" s="581"/>
      <c r="M43" s="581"/>
      <c r="N43" s="581"/>
      <c r="O43" s="581"/>
      <c r="P43" s="581"/>
      <c r="Q43" s="581"/>
      <c r="R43" s="581"/>
      <c r="S43" s="581"/>
      <c r="T43" s="581"/>
      <c r="U43" s="581"/>
      <c r="V43" s="581"/>
      <c r="W43" s="581"/>
      <c r="X43" s="581"/>
      <c r="Y43" s="581"/>
      <c r="Z43" s="581"/>
      <c r="AA43" s="581"/>
      <c r="AB43" s="581"/>
      <c r="AC43" s="581"/>
      <c r="AD43" s="581"/>
      <c r="AE43" s="581"/>
      <c r="AF43" s="581"/>
      <c r="AG43" s="581"/>
      <c r="AH43" s="581"/>
      <c r="AI43" s="581"/>
      <c r="AJ43" s="581"/>
      <c r="AK43" s="581"/>
      <c r="AL43" s="581"/>
      <c r="AM43" s="581"/>
      <c r="AN43" s="581"/>
      <c r="AO43" s="581"/>
      <c r="AP43" s="581"/>
      <c r="AQ43" s="581"/>
      <c r="AR43" s="581"/>
      <c r="AS43" s="581"/>
      <c r="AT43" s="581"/>
      <c r="AU43" s="581"/>
      <c r="AV43" s="581"/>
      <c r="AW43" s="581"/>
      <c r="AX43" s="581"/>
      <c r="AY43" s="581"/>
      <c r="AZ43" s="581"/>
      <c r="BA43" s="581"/>
      <c r="BB43" s="581"/>
      <c r="BC43" s="581"/>
      <c r="BD43" s="581"/>
      <c r="BE43" s="581"/>
      <c r="BF43" s="581"/>
      <c r="BG43" s="581"/>
      <c r="BH43" s="581"/>
      <c r="BI43" s="581"/>
      <c r="BJ43" s="581"/>
      <c r="BK43" s="581"/>
      <c r="BL43" s="581"/>
      <c r="BM43" s="581"/>
      <c r="BN43" s="581"/>
      <c r="BO43" s="581"/>
      <c r="BP43" s="581"/>
      <c r="BQ43" s="581"/>
      <c r="BR43" s="581"/>
      <c r="BS43" s="581"/>
      <c r="BT43" s="581"/>
      <c r="BU43" s="581"/>
      <c r="BV43" s="581"/>
      <c r="BW43" s="581"/>
      <c r="BX43" s="581"/>
      <c r="BY43" s="581"/>
      <c r="BZ43" s="581"/>
      <c r="CA43" s="581"/>
      <c r="CB43" s="581"/>
      <c r="CC43" s="581"/>
      <c r="CD43" s="581"/>
      <c r="CE43" s="581"/>
      <c r="CF43" s="581"/>
      <c r="CG43" s="581"/>
      <c r="CH43" s="581"/>
      <c r="CI43" s="581"/>
      <c r="CJ43" s="581"/>
      <c r="CK43" s="581"/>
      <c r="CL43" s="581"/>
      <c r="CM43" s="581"/>
      <c r="CN43" s="581"/>
      <c r="CO43" s="581"/>
      <c r="CP43" s="581"/>
      <c r="CQ43" s="581"/>
      <c r="CR43" s="581"/>
      <c r="CS43" s="581"/>
      <c r="CT43" s="581"/>
      <c r="CU43" s="581"/>
      <c r="CV43" s="581"/>
      <c r="CW43" s="581"/>
      <c r="CX43" s="581"/>
      <c r="CY43" s="581"/>
      <c r="CZ43" s="581"/>
      <c r="DA43" s="581"/>
      <c r="DB43" s="581"/>
      <c r="DC43" s="581"/>
      <c r="DD43" s="581"/>
      <c r="DE43" s="581"/>
      <c r="DF43" s="581"/>
      <c r="DG43" s="581"/>
      <c r="DH43" s="581"/>
      <c r="DI43" s="581"/>
      <c r="DJ43" s="581"/>
      <c r="DK43" s="581"/>
      <c r="DL43" s="581"/>
    </row>
    <row r="44" spans="1:116" ht="15.75" customHeight="1" outlineLevel="1" x14ac:dyDescent="0.2">
      <c r="A44" s="607" t="s">
        <v>443</v>
      </c>
      <c r="B44" s="581"/>
      <c r="C44" s="576"/>
      <c r="D44" s="573"/>
      <c r="E44" s="581"/>
      <c r="F44" s="581"/>
      <c r="G44" s="581"/>
      <c r="H44" s="581"/>
      <c r="I44" s="581"/>
      <c r="J44" s="581"/>
      <c r="K44" s="581"/>
      <c r="L44" s="581"/>
      <c r="M44" s="581"/>
      <c r="N44" s="581"/>
      <c r="O44" s="581"/>
      <c r="P44" s="581"/>
      <c r="Q44" s="581"/>
      <c r="R44" s="581"/>
      <c r="S44" s="581"/>
      <c r="T44" s="581"/>
      <c r="U44" s="581"/>
      <c r="V44" s="581"/>
      <c r="W44" s="581"/>
      <c r="X44" s="581"/>
      <c r="Y44" s="581"/>
      <c r="Z44" s="581"/>
      <c r="AA44" s="581"/>
      <c r="AB44" s="581"/>
      <c r="AC44" s="581"/>
      <c r="AD44" s="581"/>
      <c r="AE44" s="581"/>
      <c r="AF44" s="581"/>
      <c r="AG44" s="581"/>
      <c r="AH44" s="581"/>
      <c r="AI44" s="581"/>
      <c r="AJ44" s="581"/>
      <c r="AK44" s="581"/>
      <c r="AL44" s="581"/>
      <c r="AM44" s="581"/>
      <c r="AN44" s="581"/>
      <c r="AO44" s="581"/>
      <c r="AP44" s="581"/>
      <c r="AQ44" s="581"/>
      <c r="AR44" s="581"/>
      <c r="AS44" s="581"/>
      <c r="AT44" s="581"/>
      <c r="AU44" s="581"/>
      <c r="AV44" s="581"/>
      <c r="AW44" s="581"/>
      <c r="AX44" s="581"/>
      <c r="AY44" s="581"/>
      <c r="AZ44" s="581"/>
      <c r="BA44" s="581"/>
      <c r="BB44" s="581"/>
      <c r="BC44" s="581"/>
      <c r="BD44" s="581"/>
      <c r="BE44" s="581"/>
      <c r="BF44" s="581"/>
      <c r="BG44" s="581"/>
      <c r="BH44" s="581"/>
      <c r="BI44" s="581"/>
      <c r="BJ44" s="581"/>
      <c r="BK44" s="581"/>
      <c r="BL44" s="581"/>
      <c r="BM44" s="581"/>
      <c r="BN44" s="581"/>
      <c r="BO44" s="581"/>
      <c r="BP44" s="581"/>
      <c r="BQ44" s="581"/>
      <c r="BR44" s="581"/>
      <c r="BS44" s="581"/>
      <c r="BT44" s="581"/>
      <c r="BU44" s="581"/>
      <c r="BV44" s="581"/>
      <c r="BW44" s="581"/>
      <c r="BX44" s="581"/>
      <c r="BY44" s="581"/>
      <c r="BZ44" s="581"/>
      <c r="CA44" s="581"/>
      <c r="CB44" s="581"/>
      <c r="CC44" s="581"/>
      <c r="CD44" s="581"/>
      <c r="CE44" s="581"/>
      <c r="CF44" s="581"/>
      <c r="CG44" s="581"/>
      <c r="CH44" s="581"/>
      <c r="CI44" s="581"/>
      <c r="CJ44" s="581"/>
      <c r="CK44" s="581"/>
      <c r="CL44" s="581"/>
      <c r="CM44" s="581"/>
      <c r="CN44" s="581"/>
      <c r="CO44" s="581"/>
      <c r="CP44" s="581"/>
      <c r="CQ44" s="581"/>
      <c r="CR44" s="581"/>
      <c r="CS44" s="581"/>
      <c r="CT44" s="581"/>
      <c r="CU44" s="581"/>
      <c r="CV44" s="581"/>
      <c r="CW44" s="581"/>
      <c r="CX44" s="581"/>
      <c r="CY44" s="581"/>
      <c r="CZ44" s="581"/>
      <c r="DA44" s="581"/>
      <c r="DB44" s="581"/>
      <c r="DC44" s="581"/>
      <c r="DD44" s="581"/>
      <c r="DE44" s="581"/>
      <c r="DF44" s="581"/>
      <c r="DG44" s="581"/>
      <c r="DH44" s="581"/>
      <c r="DI44" s="581"/>
      <c r="DJ44" s="581"/>
      <c r="DK44" s="581"/>
      <c r="DL44" s="581"/>
    </row>
    <row r="45" spans="1:116" ht="15.75" customHeight="1" outlineLevel="1" x14ac:dyDescent="0.2">
      <c r="A45" s="221"/>
      <c r="B45" s="581"/>
      <c r="C45" s="576"/>
      <c r="D45" s="573"/>
      <c r="E45" s="581"/>
      <c r="F45" s="581"/>
      <c r="G45" s="581"/>
      <c r="H45" s="581"/>
      <c r="I45" s="581"/>
      <c r="J45" s="581"/>
      <c r="K45" s="581"/>
      <c r="L45" s="581"/>
      <c r="M45" s="581"/>
      <c r="N45" s="581"/>
      <c r="O45" s="581"/>
      <c r="P45" s="581"/>
      <c r="Q45" s="581"/>
      <c r="R45" s="581"/>
      <c r="S45" s="581"/>
      <c r="T45" s="581"/>
      <c r="U45" s="581"/>
      <c r="V45" s="581"/>
      <c r="W45" s="581"/>
      <c r="X45" s="581"/>
      <c r="Y45" s="581"/>
      <c r="Z45" s="581"/>
      <c r="AA45" s="581"/>
      <c r="AB45" s="581"/>
      <c r="AC45" s="581"/>
      <c r="AD45" s="581"/>
      <c r="AE45" s="581"/>
      <c r="AF45" s="581"/>
      <c r="AG45" s="581"/>
      <c r="AH45" s="581"/>
      <c r="AI45" s="581"/>
      <c r="AJ45" s="581"/>
      <c r="AK45" s="581"/>
      <c r="AL45" s="581"/>
      <c r="AM45" s="581"/>
      <c r="AN45" s="581"/>
      <c r="AO45" s="581"/>
      <c r="AP45" s="581"/>
      <c r="AQ45" s="581"/>
      <c r="AR45" s="581"/>
      <c r="AS45" s="581"/>
      <c r="AT45" s="581"/>
      <c r="AU45" s="581"/>
      <c r="AV45" s="581"/>
      <c r="AW45" s="581"/>
      <c r="AX45" s="581"/>
      <c r="AY45" s="581"/>
      <c r="AZ45" s="581"/>
      <c r="BA45" s="581"/>
      <c r="BB45" s="581"/>
      <c r="BC45" s="581"/>
      <c r="BD45" s="581"/>
      <c r="BE45" s="581"/>
      <c r="BF45" s="581"/>
      <c r="BG45" s="581"/>
      <c r="BH45" s="581"/>
      <c r="BI45" s="581"/>
      <c r="BJ45" s="581"/>
      <c r="BK45" s="581"/>
      <c r="BL45" s="581"/>
      <c r="BM45" s="581"/>
      <c r="BN45" s="581"/>
      <c r="BO45" s="581"/>
      <c r="BP45" s="581"/>
      <c r="BQ45" s="581"/>
      <c r="BR45" s="581"/>
      <c r="BS45" s="581"/>
      <c r="BT45" s="581"/>
      <c r="BU45" s="581"/>
      <c r="BV45" s="581"/>
      <c r="BW45" s="581"/>
      <c r="BX45" s="581"/>
      <c r="BY45" s="581"/>
      <c r="BZ45" s="581"/>
      <c r="CA45" s="581"/>
      <c r="CB45" s="581"/>
      <c r="CC45" s="581"/>
      <c r="CD45" s="581"/>
      <c r="CE45" s="581"/>
      <c r="CF45" s="581"/>
      <c r="CG45" s="581"/>
      <c r="CH45" s="581"/>
      <c r="CI45" s="581"/>
      <c r="CJ45" s="581"/>
      <c r="CK45" s="581"/>
      <c r="CL45" s="581"/>
      <c r="CM45" s="581"/>
      <c r="CN45" s="581"/>
      <c r="CO45" s="581"/>
      <c r="CP45" s="581"/>
      <c r="CQ45" s="581"/>
      <c r="CR45" s="581"/>
      <c r="CS45" s="581"/>
      <c r="CT45" s="581"/>
      <c r="CU45" s="581"/>
      <c r="CV45" s="581"/>
      <c r="CW45" s="581"/>
      <c r="CX45" s="581"/>
      <c r="CY45" s="581"/>
      <c r="CZ45" s="581"/>
      <c r="DA45" s="581"/>
      <c r="DB45" s="581"/>
      <c r="DC45" s="581"/>
      <c r="DD45" s="581"/>
      <c r="DE45" s="581"/>
      <c r="DF45" s="581"/>
      <c r="DG45" s="581"/>
      <c r="DH45" s="581"/>
      <c r="DI45" s="581"/>
      <c r="DJ45" s="581"/>
      <c r="DK45" s="581"/>
      <c r="DL45" s="581"/>
    </row>
    <row r="46" spans="1:116" ht="15.75" customHeight="1" outlineLevel="1" x14ac:dyDescent="0.2">
      <c r="A46" s="617" t="s">
        <v>22</v>
      </c>
      <c r="B46" s="592">
        <f>10% + 10%*2/3</f>
        <v>0.16666666666666669</v>
      </c>
      <c r="C46" s="609">
        <f t="shared" ref="C46:C48" si="15">B46*$C$43</f>
        <v>13588020.309027757</v>
      </c>
      <c r="D46" s="573"/>
      <c r="E46" s="581"/>
      <c r="F46" s="581"/>
      <c r="G46" s="581"/>
      <c r="H46" s="581"/>
      <c r="I46" s="581"/>
      <c r="J46" s="581"/>
      <c r="K46" s="581"/>
      <c r="L46" s="581"/>
      <c r="M46" s="581"/>
      <c r="N46" s="581"/>
      <c r="O46" s="581"/>
      <c r="P46" s="581"/>
      <c r="Q46" s="581"/>
      <c r="R46" s="581"/>
      <c r="S46" s="581"/>
      <c r="T46" s="581"/>
      <c r="U46" s="581"/>
      <c r="V46" s="581"/>
      <c r="W46" s="581"/>
      <c r="X46" s="581"/>
      <c r="Y46" s="581"/>
      <c r="Z46" s="581"/>
      <c r="AA46" s="581"/>
      <c r="AB46" s="581"/>
      <c r="AC46" s="581"/>
      <c r="AD46" s="581"/>
      <c r="AE46" s="581"/>
      <c r="AF46" s="581"/>
      <c r="AG46" s="581"/>
      <c r="AH46" s="581"/>
      <c r="AI46" s="581"/>
      <c r="AJ46" s="581"/>
      <c r="AK46" s="581"/>
      <c r="AL46" s="581"/>
      <c r="AM46" s="581"/>
      <c r="AN46" s="581"/>
      <c r="AO46" s="581"/>
      <c r="AP46" s="581"/>
      <c r="AQ46" s="581"/>
      <c r="AR46" s="581"/>
      <c r="AS46" s="581"/>
      <c r="AT46" s="581"/>
      <c r="AU46" s="581"/>
      <c r="AV46" s="581"/>
      <c r="AW46" s="581"/>
      <c r="AX46" s="581"/>
      <c r="AY46" s="581"/>
      <c r="AZ46" s="581"/>
      <c r="BA46" s="581"/>
      <c r="BB46" s="581"/>
      <c r="BC46" s="581"/>
      <c r="BD46" s="581"/>
      <c r="BE46" s="581"/>
      <c r="BF46" s="581"/>
      <c r="BG46" s="581"/>
      <c r="BH46" s="581"/>
      <c r="BI46" s="581"/>
      <c r="BJ46" s="581"/>
      <c r="BK46" s="581"/>
      <c r="BL46" s="581"/>
      <c r="BM46" s="581"/>
      <c r="BN46" s="581"/>
      <c r="BO46" s="581"/>
      <c r="BP46" s="581"/>
      <c r="BQ46" s="581"/>
      <c r="BR46" s="581"/>
      <c r="BS46" s="581"/>
      <c r="BT46" s="581"/>
      <c r="BU46" s="581"/>
      <c r="BV46" s="581"/>
      <c r="BW46" s="581"/>
      <c r="BX46" s="581"/>
      <c r="BY46" s="581"/>
      <c r="BZ46" s="581"/>
      <c r="CA46" s="581"/>
      <c r="CB46" s="581"/>
      <c r="CC46" s="581"/>
      <c r="CD46" s="581"/>
      <c r="CE46" s="581"/>
      <c r="CF46" s="581"/>
      <c r="CG46" s="581"/>
      <c r="CH46" s="581"/>
      <c r="CI46" s="581"/>
      <c r="CJ46" s="581"/>
      <c r="CK46" s="581"/>
      <c r="CL46" s="581"/>
      <c r="CM46" s="581"/>
      <c r="CN46" s="581"/>
      <c r="CO46" s="581"/>
      <c r="CP46" s="581"/>
      <c r="CQ46" s="581"/>
      <c r="CR46" s="581"/>
      <c r="CS46" s="581"/>
      <c r="CT46" s="581"/>
      <c r="CU46" s="581"/>
      <c r="CV46" s="581"/>
      <c r="CW46" s="581"/>
      <c r="CX46" s="581"/>
      <c r="CY46" s="581"/>
      <c r="CZ46" s="581"/>
      <c r="DA46" s="581"/>
      <c r="DB46" s="581"/>
      <c r="DC46" s="581"/>
      <c r="DD46" s="581"/>
      <c r="DE46" s="581"/>
      <c r="DF46" s="581"/>
      <c r="DG46" s="581"/>
      <c r="DH46" s="581"/>
      <c r="DI46" s="581"/>
      <c r="DJ46" s="581"/>
      <c r="DK46" s="581"/>
      <c r="DL46" s="581"/>
    </row>
    <row r="47" spans="1:116" ht="15.75" customHeight="1" outlineLevel="1" x14ac:dyDescent="0.2">
      <c r="A47" s="617" t="s">
        <v>415</v>
      </c>
      <c r="B47" s="592">
        <f>30% + 10%*2/3</f>
        <v>0.36666666666666664</v>
      </c>
      <c r="C47" s="609">
        <f t="shared" si="15"/>
        <v>29893644.679861061</v>
      </c>
      <c r="D47" s="573"/>
      <c r="E47" s="581"/>
      <c r="F47" s="581"/>
      <c r="G47" s="581"/>
      <c r="H47" s="581"/>
      <c r="I47" s="581"/>
      <c r="J47" s="581"/>
      <c r="K47" s="581"/>
      <c r="L47" s="581"/>
      <c r="M47" s="581"/>
      <c r="N47" s="581"/>
      <c r="O47" s="581"/>
      <c r="P47" s="581"/>
      <c r="Q47" s="581"/>
      <c r="R47" s="581"/>
      <c r="S47" s="581"/>
      <c r="T47" s="581"/>
      <c r="U47" s="581"/>
      <c r="V47" s="581"/>
      <c r="W47" s="581"/>
      <c r="X47" s="581"/>
      <c r="Y47" s="581"/>
      <c r="Z47" s="581"/>
      <c r="AA47" s="581"/>
      <c r="AB47" s="581"/>
      <c r="AC47" s="581"/>
      <c r="AD47" s="581"/>
      <c r="AE47" s="581"/>
      <c r="AF47" s="581"/>
      <c r="AG47" s="581"/>
      <c r="AH47" s="581"/>
      <c r="AI47" s="581"/>
      <c r="AJ47" s="581"/>
      <c r="AK47" s="581"/>
      <c r="AL47" s="581"/>
      <c r="AM47" s="581"/>
      <c r="AN47" s="581"/>
      <c r="AO47" s="581"/>
      <c r="AP47" s="581"/>
      <c r="AQ47" s="581"/>
      <c r="AR47" s="581"/>
      <c r="AS47" s="581"/>
      <c r="AT47" s="581"/>
      <c r="AU47" s="581"/>
      <c r="AV47" s="581"/>
      <c r="AW47" s="581"/>
      <c r="AX47" s="581"/>
      <c r="AY47" s="581"/>
      <c r="AZ47" s="581"/>
      <c r="BA47" s="581"/>
      <c r="BB47" s="581"/>
      <c r="BC47" s="581"/>
      <c r="BD47" s="581"/>
      <c r="BE47" s="581"/>
      <c r="BF47" s="581"/>
      <c r="BG47" s="581"/>
      <c r="BH47" s="581"/>
      <c r="BI47" s="581"/>
      <c r="BJ47" s="581"/>
      <c r="BK47" s="581"/>
      <c r="BL47" s="581"/>
      <c r="BM47" s="581"/>
      <c r="BN47" s="581"/>
      <c r="BO47" s="581"/>
      <c r="BP47" s="581"/>
      <c r="BQ47" s="581"/>
      <c r="BR47" s="581"/>
      <c r="BS47" s="581"/>
      <c r="BT47" s="581"/>
      <c r="BU47" s="581"/>
      <c r="BV47" s="581"/>
      <c r="BW47" s="581"/>
      <c r="BX47" s="581"/>
      <c r="BY47" s="581"/>
      <c r="BZ47" s="581"/>
      <c r="CA47" s="581"/>
      <c r="CB47" s="581"/>
      <c r="CC47" s="581"/>
      <c r="CD47" s="581"/>
      <c r="CE47" s="581"/>
      <c r="CF47" s="581"/>
      <c r="CG47" s="581"/>
      <c r="CH47" s="581"/>
      <c r="CI47" s="581"/>
      <c r="CJ47" s="581"/>
      <c r="CK47" s="581"/>
      <c r="CL47" s="581"/>
      <c r="CM47" s="581"/>
      <c r="CN47" s="581"/>
      <c r="CO47" s="581"/>
      <c r="CP47" s="581"/>
      <c r="CQ47" s="581"/>
      <c r="CR47" s="581"/>
      <c r="CS47" s="581"/>
      <c r="CT47" s="581"/>
      <c r="CU47" s="581"/>
      <c r="CV47" s="581"/>
      <c r="CW47" s="581"/>
      <c r="CX47" s="581"/>
      <c r="CY47" s="581"/>
      <c r="CZ47" s="581"/>
      <c r="DA47" s="581"/>
      <c r="DB47" s="581"/>
      <c r="DC47" s="581"/>
      <c r="DD47" s="581"/>
      <c r="DE47" s="581"/>
      <c r="DF47" s="581"/>
      <c r="DG47" s="581"/>
      <c r="DH47" s="581"/>
      <c r="DI47" s="581"/>
      <c r="DJ47" s="581"/>
      <c r="DK47" s="581"/>
      <c r="DL47" s="581"/>
    </row>
    <row r="48" spans="1:116" ht="15.75" customHeight="1" outlineLevel="1" x14ac:dyDescent="0.2">
      <c r="A48" s="617" t="s">
        <v>418</v>
      </c>
      <c r="B48" s="592">
        <f>40% + 10%*2/3</f>
        <v>0.46666666666666667</v>
      </c>
      <c r="C48" s="609">
        <f t="shared" si="15"/>
        <v>38046456.865277715</v>
      </c>
      <c r="D48" s="573"/>
      <c r="E48" s="581"/>
      <c r="F48" s="581"/>
      <c r="G48" s="581"/>
      <c r="H48" s="581"/>
      <c r="I48" s="581"/>
      <c r="J48" s="581"/>
      <c r="K48" s="581"/>
      <c r="L48" s="581"/>
      <c r="M48" s="581"/>
      <c r="N48" s="581"/>
      <c r="O48" s="581"/>
      <c r="P48" s="581"/>
      <c r="Q48" s="581"/>
      <c r="R48" s="581"/>
      <c r="S48" s="581"/>
      <c r="T48" s="581"/>
      <c r="U48" s="581"/>
      <c r="V48" s="581"/>
      <c r="W48" s="581"/>
      <c r="X48" s="581"/>
      <c r="Y48" s="581"/>
      <c r="Z48" s="581"/>
      <c r="AA48" s="581"/>
      <c r="AB48" s="581"/>
      <c r="AC48" s="581"/>
      <c r="AD48" s="581"/>
      <c r="AE48" s="581"/>
      <c r="AF48" s="581"/>
      <c r="AG48" s="581"/>
      <c r="AH48" s="581"/>
      <c r="AI48" s="581"/>
      <c r="AJ48" s="581"/>
      <c r="AK48" s="581"/>
      <c r="AL48" s="581"/>
      <c r="AM48" s="581"/>
      <c r="AN48" s="581"/>
      <c r="AO48" s="581"/>
      <c r="AP48" s="581"/>
      <c r="AQ48" s="581"/>
      <c r="AR48" s="581"/>
      <c r="AS48" s="581"/>
      <c r="AT48" s="581"/>
      <c r="AU48" s="581"/>
      <c r="AV48" s="581"/>
      <c r="AW48" s="581"/>
      <c r="AX48" s="581"/>
      <c r="AY48" s="581"/>
      <c r="AZ48" s="581"/>
      <c r="BA48" s="581"/>
      <c r="BB48" s="581"/>
      <c r="BC48" s="581"/>
      <c r="BD48" s="581"/>
      <c r="BE48" s="581"/>
      <c r="BF48" s="581"/>
      <c r="BG48" s="581"/>
      <c r="BH48" s="581"/>
      <c r="BI48" s="581"/>
      <c r="BJ48" s="581"/>
      <c r="BK48" s="581"/>
      <c r="BL48" s="581"/>
      <c r="BM48" s="581"/>
      <c r="BN48" s="581"/>
      <c r="BO48" s="581"/>
      <c r="BP48" s="581"/>
      <c r="BQ48" s="581"/>
      <c r="BR48" s="581"/>
      <c r="BS48" s="581"/>
      <c r="BT48" s="581"/>
      <c r="BU48" s="581"/>
      <c r="BV48" s="581"/>
      <c r="BW48" s="581"/>
      <c r="BX48" s="581"/>
      <c r="BY48" s="581"/>
      <c r="BZ48" s="581"/>
      <c r="CA48" s="581"/>
      <c r="CB48" s="581"/>
      <c r="CC48" s="581"/>
      <c r="CD48" s="581"/>
      <c r="CE48" s="581"/>
      <c r="CF48" s="581"/>
      <c r="CG48" s="581"/>
      <c r="CH48" s="581"/>
      <c r="CI48" s="581"/>
      <c r="CJ48" s="581"/>
      <c r="CK48" s="581"/>
      <c r="CL48" s="581"/>
      <c r="CM48" s="581"/>
      <c r="CN48" s="581"/>
      <c r="CO48" s="581"/>
      <c r="CP48" s="581"/>
      <c r="CQ48" s="581"/>
      <c r="CR48" s="581"/>
      <c r="CS48" s="581"/>
      <c r="CT48" s="581"/>
      <c r="CU48" s="581"/>
      <c r="CV48" s="581"/>
      <c r="CW48" s="581"/>
      <c r="CX48" s="581"/>
      <c r="CY48" s="581"/>
      <c r="CZ48" s="581"/>
      <c r="DA48" s="581"/>
      <c r="DB48" s="581"/>
      <c r="DC48" s="581"/>
      <c r="DD48" s="581"/>
      <c r="DE48" s="581"/>
      <c r="DF48" s="581"/>
      <c r="DG48" s="581"/>
      <c r="DH48" s="581"/>
      <c r="DI48" s="581"/>
      <c r="DJ48" s="581"/>
      <c r="DK48" s="581"/>
      <c r="DL48" s="581"/>
    </row>
    <row r="49" spans="1:116" ht="15.75" customHeight="1" outlineLevel="1" x14ac:dyDescent="0.2">
      <c r="A49" s="617"/>
      <c r="B49" s="592"/>
      <c r="C49" s="609"/>
      <c r="D49" s="573"/>
      <c r="E49" s="581"/>
      <c r="F49" s="581"/>
      <c r="G49" s="581"/>
      <c r="H49" s="581"/>
      <c r="I49" s="581"/>
      <c r="J49" s="581"/>
      <c r="K49" s="581"/>
      <c r="L49" s="581"/>
      <c r="M49" s="581"/>
      <c r="N49" s="581"/>
      <c r="O49" s="581"/>
      <c r="P49" s="581"/>
      <c r="Q49" s="581"/>
      <c r="R49" s="581"/>
      <c r="S49" s="581"/>
      <c r="T49" s="581"/>
      <c r="U49" s="581"/>
      <c r="V49" s="581"/>
      <c r="W49" s="581"/>
      <c r="X49" s="581"/>
      <c r="Y49" s="581"/>
      <c r="Z49" s="581"/>
      <c r="AA49" s="581"/>
      <c r="AB49" s="581"/>
      <c r="AC49" s="581"/>
      <c r="AD49" s="581"/>
      <c r="AE49" s="581"/>
      <c r="AF49" s="581"/>
      <c r="AG49" s="581"/>
      <c r="AH49" s="581"/>
      <c r="AI49" s="581"/>
      <c r="AJ49" s="581"/>
      <c r="AK49" s="581"/>
      <c r="AL49" s="581"/>
      <c r="AM49" s="581"/>
      <c r="AN49" s="581"/>
      <c r="AO49" s="581"/>
      <c r="AP49" s="581"/>
      <c r="AQ49" s="581"/>
      <c r="AR49" s="581"/>
      <c r="AS49" s="581"/>
      <c r="AT49" s="581"/>
      <c r="AU49" s="581"/>
      <c r="AV49" s="581"/>
      <c r="AW49" s="581"/>
      <c r="AX49" s="581"/>
      <c r="AY49" s="581"/>
      <c r="AZ49" s="581"/>
      <c r="BA49" s="581"/>
      <c r="BB49" s="581"/>
      <c r="BC49" s="581"/>
      <c r="BD49" s="581"/>
      <c r="BE49" s="581"/>
      <c r="BF49" s="581"/>
      <c r="BG49" s="581"/>
      <c r="BH49" s="581"/>
      <c r="BI49" s="581"/>
      <c r="BJ49" s="581"/>
      <c r="BK49" s="581"/>
      <c r="BL49" s="581"/>
      <c r="BM49" s="581"/>
      <c r="BN49" s="581"/>
      <c r="BO49" s="581"/>
      <c r="BP49" s="581"/>
      <c r="BQ49" s="581"/>
      <c r="BR49" s="581"/>
      <c r="BS49" s="581"/>
      <c r="BT49" s="581"/>
      <c r="BU49" s="581"/>
      <c r="BV49" s="581"/>
      <c r="BW49" s="581"/>
      <c r="BX49" s="581"/>
      <c r="BY49" s="581"/>
      <c r="BZ49" s="581"/>
      <c r="CA49" s="581"/>
      <c r="CB49" s="581"/>
      <c r="CC49" s="581"/>
      <c r="CD49" s="581"/>
      <c r="CE49" s="581"/>
      <c r="CF49" s="581"/>
      <c r="CG49" s="581"/>
      <c r="CH49" s="581"/>
      <c r="CI49" s="581"/>
      <c r="CJ49" s="581"/>
      <c r="CK49" s="581"/>
      <c r="CL49" s="581"/>
      <c r="CM49" s="581"/>
      <c r="CN49" s="581"/>
      <c r="CO49" s="581"/>
      <c r="CP49" s="581"/>
      <c r="CQ49" s="581"/>
      <c r="CR49" s="581"/>
      <c r="CS49" s="581"/>
      <c r="CT49" s="581"/>
      <c r="CU49" s="581"/>
      <c r="CV49" s="581"/>
      <c r="CW49" s="581"/>
      <c r="CX49" s="581"/>
      <c r="CY49" s="581"/>
      <c r="CZ49" s="581"/>
      <c r="DA49" s="581"/>
      <c r="DB49" s="581"/>
      <c r="DC49" s="581"/>
      <c r="DD49" s="581"/>
      <c r="DE49" s="581"/>
      <c r="DF49" s="581"/>
      <c r="DG49" s="581"/>
      <c r="DH49" s="581"/>
      <c r="DI49" s="581"/>
      <c r="DJ49" s="581"/>
      <c r="DK49" s="581"/>
      <c r="DL49" s="581"/>
    </row>
    <row r="50" spans="1:116" ht="15.75" customHeight="1" outlineLevel="1" x14ac:dyDescent="0.2">
      <c r="A50" s="617"/>
      <c r="B50" s="592"/>
      <c r="C50" s="609"/>
      <c r="D50" s="573"/>
      <c r="E50" s="581"/>
      <c r="F50" s="581"/>
      <c r="G50" s="581"/>
      <c r="H50" s="581"/>
      <c r="I50" s="581"/>
      <c r="J50" s="581"/>
      <c r="K50" s="581"/>
      <c r="L50" s="581"/>
      <c r="M50" s="581"/>
      <c r="N50" s="581"/>
      <c r="O50" s="581"/>
      <c r="P50" s="581"/>
      <c r="Q50" s="581"/>
      <c r="R50" s="581"/>
      <c r="S50" s="581"/>
      <c r="T50" s="581"/>
      <c r="U50" s="581"/>
      <c r="V50" s="581"/>
      <c r="W50" s="581"/>
      <c r="X50" s="581"/>
      <c r="Y50" s="581"/>
      <c r="Z50" s="581"/>
      <c r="AA50" s="581"/>
      <c r="AB50" s="581"/>
      <c r="AC50" s="581"/>
      <c r="AD50" s="581"/>
      <c r="AE50" s="581"/>
      <c r="AF50" s="581"/>
      <c r="AG50" s="581"/>
      <c r="AH50" s="581"/>
      <c r="AI50" s="581"/>
      <c r="AJ50" s="581"/>
      <c r="AK50" s="581"/>
      <c r="AL50" s="581"/>
      <c r="AM50" s="581"/>
      <c r="AN50" s="581"/>
      <c r="AO50" s="581"/>
      <c r="AP50" s="581"/>
      <c r="AQ50" s="581"/>
      <c r="AR50" s="581"/>
      <c r="AS50" s="581"/>
      <c r="AT50" s="581"/>
      <c r="AU50" s="581"/>
      <c r="AV50" s="581"/>
      <c r="AW50" s="581"/>
      <c r="AX50" s="581"/>
      <c r="AY50" s="581"/>
      <c r="AZ50" s="581"/>
      <c r="BA50" s="581"/>
      <c r="BB50" s="581"/>
      <c r="BC50" s="581"/>
      <c r="BD50" s="581"/>
      <c r="BE50" s="581"/>
      <c r="BF50" s="581"/>
      <c r="BG50" s="581"/>
      <c r="BH50" s="581"/>
      <c r="BI50" s="581"/>
      <c r="BJ50" s="581"/>
      <c r="BK50" s="581"/>
      <c r="BL50" s="581"/>
      <c r="BM50" s="581"/>
      <c r="BN50" s="581"/>
      <c r="BO50" s="581"/>
      <c r="BP50" s="581"/>
      <c r="BQ50" s="581"/>
      <c r="BR50" s="581"/>
      <c r="BS50" s="581"/>
      <c r="BT50" s="581"/>
      <c r="BU50" s="581"/>
      <c r="BV50" s="581"/>
      <c r="BW50" s="581"/>
      <c r="BX50" s="581"/>
      <c r="BY50" s="581"/>
      <c r="BZ50" s="581"/>
      <c r="CA50" s="581"/>
      <c r="CB50" s="581"/>
      <c r="CC50" s="581"/>
      <c r="CD50" s="581"/>
      <c r="CE50" s="581"/>
      <c r="CF50" s="581"/>
      <c r="CG50" s="581"/>
      <c r="CH50" s="581"/>
      <c r="CI50" s="581"/>
      <c r="CJ50" s="581"/>
      <c r="CK50" s="581"/>
      <c r="CL50" s="581"/>
      <c r="CM50" s="581"/>
      <c r="CN50" s="581"/>
      <c r="CO50" s="581"/>
      <c r="CP50" s="581"/>
      <c r="CQ50" s="581"/>
      <c r="CR50" s="581"/>
      <c r="CS50" s="581"/>
      <c r="CT50" s="581"/>
      <c r="CU50" s="581"/>
      <c r="CV50" s="581"/>
      <c r="CW50" s="581"/>
      <c r="CX50" s="581"/>
      <c r="CY50" s="581"/>
      <c r="CZ50" s="581"/>
      <c r="DA50" s="581"/>
      <c r="DB50" s="581"/>
      <c r="DC50" s="581"/>
      <c r="DD50" s="581"/>
      <c r="DE50" s="581"/>
      <c r="DF50" s="581"/>
      <c r="DG50" s="581"/>
      <c r="DH50" s="581"/>
      <c r="DI50" s="581"/>
      <c r="DJ50" s="581"/>
      <c r="DK50" s="581"/>
      <c r="DL50" s="581"/>
    </row>
    <row r="51" spans="1:116" ht="15.75" customHeight="1" outlineLevel="1" x14ac:dyDescent="0.2">
      <c r="A51" s="617"/>
      <c r="B51" s="592"/>
      <c r="C51" s="609"/>
      <c r="D51" s="573"/>
      <c r="E51" s="581"/>
      <c r="F51" s="581"/>
      <c r="G51" s="581"/>
      <c r="H51" s="581"/>
      <c r="I51" s="581"/>
      <c r="J51" s="581"/>
      <c r="K51" s="581"/>
      <c r="L51" s="581"/>
      <c r="M51" s="581"/>
      <c r="N51" s="581"/>
      <c r="O51" s="581"/>
      <c r="P51" s="581"/>
      <c r="Q51" s="581"/>
      <c r="R51" s="581"/>
      <c r="S51" s="581"/>
      <c r="T51" s="581"/>
      <c r="U51" s="581"/>
      <c r="V51" s="581"/>
      <c r="W51" s="581"/>
      <c r="X51" s="581"/>
      <c r="Y51" s="581"/>
      <c r="Z51" s="581"/>
      <c r="AA51" s="581"/>
      <c r="AB51" s="581"/>
      <c r="AC51" s="581"/>
      <c r="AD51" s="581"/>
      <c r="AE51" s="581"/>
      <c r="AF51" s="581"/>
      <c r="AG51" s="581"/>
      <c r="AH51" s="581"/>
      <c r="AI51" s="581"/>
      <c r="AJ51" s="581"/>
      <c r="AK51" s="581"/>
      <c r="AL51" s="581"/>
      <c r="AM51" s="581"/>
      <c r="AN51" s="581"/>
      <c r="AO51" s="581"/>
      <c r="AP51" s="581"/>
      <c r="AQ51" s="581"/>
      <c r="AR51" s="581"/>
      <c r="AS51" s="581"/>
      <c r="AT51" s="581"/>
      <c r="AU51" s="581"/>
      <c r="AV51" s="581"/>
      <c r="AW51" s="581"/>
      <c r="AX51" s="581"/>
      <c r="AY51" s="581"/>
      <c r="AZ51" s="581"/>
      <c r="BA51" s="581"/>
      <c r="BB51" s="581"/>
      <c r="BC51" s="581"/>
      <c r="BD51" s="581"/>
      <c r="BE51" s="581"/>
      <c r="BF51" s="581"/>
      <c r="BG51" s="581"/>
      <c r="BH51" s="581"/>
      <c r="BI51" s="581"/>
      <c r="BJ51" s="581"/>
      <c r="BK51" s="581"/>
      <c r="BL51" s="581"/>
      <c r="BM51" s="581"/>
      <c r="BN51" s="581"/>
      <c r="BO51" s="581"/>
      <c r="BP51" s="581"/>
      <c r="BQ51" s="581"/>
      <c r="BR51" s="581"/>
      <c r="BS51" s="581"/>
      <c r="BT51" s="581"/>
      <c r="BU51" s="581"/>
      <c r="BV51" s="581"/>
      <c r="BW51" s="581"/>
      <c r="BX51" s="581"/>
      <c r="BY51" s="581"/>
      <c r="BZ51" s="581"/>
      <c r="CA51" s="581"/>
      <c r="CB51" s="581"/>
      <c r="CC51" s="581"/>
      <c r="CD51" s="581"/>
      <c r="CE51" s="581"/>
      <c r="CF51" s="581"/>
      <c r="CG51" s="581"/>
      <c r="CH51" s="581"/>
      <c r="CI51" s="581"/>
      <c r="CJ51" s="581"/>
      <c r="CK51" s="581"/>
      <c r="CL51" s="581"/>
      <c r="CM51" s="581"/>
      <c r="CN51" s="581"/>
      <c r="CO51" s="581"/>
      <c r="CP51" s="581"/>
      <c r="CQ51" s="581"/>
      <c r="CR51" s="581"/>
      <c r="CS51" s="581"/>
      <c r="CT51" s="581"/>
      <c r="CU51" s="581"/>
      <c r="CV51" s="581"/>
      <c r="CW51" s="581"/>
      <c r="CX51" s="581"/>
      <c r="CY51" s="581"/>
      <c r="CZ51" s="581"/>
      <c r="DA51" s="581"/>
      <c r="DB51" s="581"/>
      <c r="DC51" s="581"/>
      <c r="DD51" s="581"/>
      <c r="DE51" s="581"/>
      <c r="DF51" s="581"/>
      <c r="DG51" s="581"/>
      <c r="DH51" s="581"/>
      <c r="DI51" s="581"/>
      <c r="DJ51" s="581"/>
      <c r="DK51" s="581"/>
      <c r="DL51" s="581"/>
    </row>
  </sheetData>
  <mergeCells count="1">
    <mergeCell ref="B18:D18"/>
  </mergeCells>
  <pageMargins left="0.7" right="0.7" top="0.75" bottom="0.75" header="0" footer="0"/>
  <pageSetup orientation="landscape"/>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1000"/>
  <sheetViews>
    <sheetView workbookViewId="0"/>
  </sheetViews>
  <sheetFormatPr defaultColWidth="12.7109375" defaultRowHeight="15" customHeight="1" x14ac:dyDescent="0.2"/>
  <cols>
    <col min="1" max="1" width="60.42578125" customWidth="1"/>
    <col min="2" max="2" width="14.42578125" customWidth="1"/>
    <col min="3" max="3" width="37.42578125" customWidth="1"/>
    <col min="4" max="4" width="19.42578125" customWidth="1"/>
    <col min="5" max="5" width="16.42578125" customWidth="1"/>
    <col min="6" max="6" width="14.42578125" customWidth="1"/>
    <col min="7" max="7" width="17.42578125" customWidth="1"/>
    <col min="8" max="8" width="12.42578125" customWidth="1"/>
    <col min="9" max="13" width="14.42578125" customWidth="1"/>
    <col min="14" max="26" width="14.42578125" hidden="1" customWidth="1"/>
  </cols>
  <sheetData>
    <row r="1" spans="1:26" ht="19.5" x14ac:dyDescent="0.3">
      <c r="A1" s="618" t="s">
        <v>444</v>
      </c>
      <c r="B1" s="618"/>
      <c r="C1" s="618"/>
      <c r="D1" s="619"/>
      <c r="E1" s="619"/>
      <c r="F1" s="619"/>
      <c r="G1" s="619"/>
      <c r="H1" s="619"/>
      <c r="I1" s="619"/>
      <c r="J1" s="619"/>
      <c r="K1" s="619"/>
      <c r="L1" s="619"/>
      <c r="M1" s="619"/>
      <c r="N1" s="619"/>
      <c r="O1" s="619"/>
      <c r="P1" s="619"/>
      <c r="Q1" s="619"/>
      <c r="R1" s="619"/>
      <c r="S1" s="619"/>
      <c r="T1" s="619"/>
      <c r="U1" s="619"/>
      <c r="V1" s="619"/>
      <c r="W1" s="619"/>
      <c r="X1" s="619"/>
      <c r="Y1" s="619"/>
      <c r="Z1" s="619"/>
    </row>
    <row r="2" spans="1:26" ht="15" customHeight="1" x14ac:dyDescent="0.25">
      <c r="A2" s="620" t="s">
        <v>445</v>
      </c>
      <c r="B2" s="621" t="s">
        <v>446</v>
      </c>
      <c r="C2" s="621" t="s">
        <v>447</v>
      </c>
      <c r="D2" s="622" t="s">
        <v>448</v>
      </c>
      <c r="E2" s="622" t="s">
        <v>449</v>
      </c>
      <c r="F2" s="622" t="s">
        <v>450</v>
      </c>
      <c r="G2" s="622" t="s">
        <v>451</v>
      </c>
      <c r="H2" s="623" t="s">
        <v>452</v>
      </c>
      <c r="I2" s="283"/>
      <c r="J2" s="624"/>
      <c r="K2" s="625" t="s">
        <v>453</v>
      </c>
      <c r="L2" s="283"/>
      <c r="M2" s="283"/>
      <c r="N2" s="283"/>
      <c r="O2" s="283"/>
      <c r="P2" s="283"/>
      <c r="Q2" s="283"/>
      <c r="R2" s="283"/>
      <c r="S2" s="283"/>
      <c r="T2" s="283"/>
      <c r="U2" s="283"/>
      <c r="V2" s="283"/>
      <c r="W2" s="283"/>
      <c r="X2" s="283"/>
      <c r="Y2" s="283"/>
      <c r="Z2" s="283"/>
    </row>
    <row r="3" spans="1:26" ht="15" customHeight="1" x14ac:dyDescent="0.25">
      <c r="A3" s="626" t="s">
        <v>454</v>
      </c>
      <c r="B3" s="576" t="s">
        <v>455</v>
      </c>
      <c r="C3" s="576"/>
      <c r="E3" s="283"/>
      <c r="F3" s="283"/>
      <c r="G3" s="283"/>
      <c r="H3" s="627"/>
      <c r="I3" s="283"/>
      <c r="J3" s="508" t="s">
        <v>456</v>
      </c>
      <c r="K3" s="627">
        <f>6000*5280</f>
        <v>31680000</v>
      </c>
      <c r="L3" s="283"/>
      <c r="M3" s="283"/>
      <c r="N3" s="283"/>
      <c r="O3" s="283"/>
      <c r="P3" s="283"/>
      <c r="Q3" s="283"/>
      <c r="R3" s="283"/>
      <c r="S3" s="283"/>
      <c r="T3" s="283"/>
      <c r="U3" s="283"/>
      <c r="V3" s="283"/>
      <c r="W3" s="283"/>
      <c r="X3" s="283"/>
      <c r="Y3" s="283"/>
      <c r="Z3" s="283"/>
    </row>
    <row r="4" spans="1:26" ht="15" customHeight="1" x14ac:dyDescent="0.25">
      <c r="A4" s="626" t="s">
        <v>454</v>
      </c>
      <c r="B4" s="576" t="s">
        <v>455</v>
      </c>
      <c r="C4" s="576" t="s">
        <v>457</v>
      </c>
      <c r="D4" s="283">
        <v>20</v>
      </c>
      <c r="E4" s="283"/>
      <c r="F4" s="283"/>
      <c r="G4" s="283"/>
      <c r="H4" s="627"/>
      <c r="I4" s="283"/>
      <c r="J4" s="628" t="s">
        <v>458</v>
      </c>
      <c r="K4" s="629">
        <v>36960000</v>
      </c>
      <c r="L4" s="283"/>
      <c r="M4" s="283"/>
      <c r="N4" s="283"/>
      <c r="O4" s="283"/>
      <c r="P4" s="283"/>
      <c r="Q4" s="283"/>
      <c r="R4" s="283"/>
      <c r="S4" s="283"/>
      <c r="T4" s="283"/>
      <c r="U4" s="283"/>
      <c r="V4" s="283"/>
      <c r="W4" s="283"/>
      <c r="X4" s="283"/>
      <c r="Y4" s="283"/>
      <c r="Z4" s="283"/>
    </row>
    <row r="5" spans="1:26" ht="15" customHeight="1" x14ac:dyDescent="0.25">
      <c r="A5" s="626" t="s">
        <v>454</v>
      </c>
      <c r="B5" s="576" t="s">
        <v>459</v>
      </c>
      <c r="C5" s="576"/>
      <c r="D5" s="283">
        <v>331</v>
      </c>
      <c r="E5" s="283"/>
      <c r="F5" s="283"/>
      <c r="G5" s="283"/>
      <c r="H5" s="627"/>
      <c r="I5" s="283"/>
      <c r="J5" s="628" t="s">
        <v>460</v>
      </c>
      <c r="K5" s="629">
        <v>515364960</v>
      </c>
      <c r="L5" s="283"/>
      <c r="M5" s="283"/>
      <c r="N5" s="283"/>
      <c r="O5" s="283"/>
      <c r="P5" s="283"/>
      <c r="Q5" s="283"/>
      <c r="R5" s="283"/>
      <c r="S5" s="283"/>
      <c r="T5" s="283"/>
      <c r="U5" s="283"/>
      <c r="V5" s="283"/>
      <c r="W5" s="283"/>
      <c r="X5" s="283"/>
      <c r="Y5" s="283"/>
      <c r="Z5" s="283"/>
    </row>
    <row r="6" spans="1:26" ht="15" customHeight="1" x14ac:dyDescent="0.25">
      <c r="A6" s="626" t="s">
        <v>454</v>
      </c>
      <c r="B6" s="576" t="s">
        <v>459</v>
      </c>
      <c r="C6" s="576" t="s">
        <v>461</v>
      </c>
      <c r="D6" s="283">
        <v>20</v>
      </c>
      <c r="E6" s="283"/>
      <c r="F6" s="283"/>
      <c r="G6" s="283"/>
      <c r="H6" s="627"/>
      <c r="I6" s="283"/>
      <c r="J6" s="628" t="s">
        <v>462</v>
      </c>
      <c r="K6" s="629">
        <v>23316480</v>
      </c>
      <c r="L6" s="283"/>
      <c r="M6" s="283"/>
      <c r="N6" s="283"/>
      <c r="O6" s="283"/>
      <c r="P6" s="283"/>
      <c r="Q6" s="283"/>
      <c r="R6" s="283"/>
      <c r="S6" s="283"/>
      <c r="T6" s="283"/>
      <c r="U6" s="283"/>
      <c r="V6" s="283"/>
      <c r="W6" s="283"/>
      <c r="X6" s="283"/>
      <c r="Y6" s="283"/>
      <c r="Z6" s="283"/>
    </row>
    <row r="7" spans="1:26" ht="15" customHeight="1" x14ac:dyDescent="0.25">
      <c r="A7" s="626" t="s">
        <v>454</v>
      </c>
      <c r="B7" s="576" t="s">
        <v>459</v>
      </c>
      <c r="C7" s="576" t="s">
        <v>457</v>
      </c>
      <c r="D7" s="283"/>
      <c r="E7" s="283"/>
      <c r="F7" s="283"/>
      <c r="G7" s="283"/>
      <c r="H7" s="627"/>
      <c r="I7" s="283"/>
      <c r="J7" s="630" t="s">
        <v>463</v>
      </c>
      <c r="K7" s="631">
        <v>549120</v>
      </c>
      <c r="L7" s="283"/>
      <c r="M7" s="283"/>
      <c r="N7" s="283"/>
      <c r="O7" s="283"/>
      <c r="P7" s="283"/>
      <c r="Q7" s="283"/>
      <c r="R7" s="283"/>
      <c r="S7" s="283"/>
      <c r="T7" s="283"/>
      <c r="U7" s="283"/>
      <c r="V7" s="283"/>
      <c r="W7" s="283"/>
      <c r="X7" s="283"/>
      <c r="Y7" s="283"/>
      <c r="Z7" s="283"/>
    </row>
    <row r="8" spans="1:26" ht="15" customHeight="1" x14ac:dyDescent="0.25">
      <c r="A8" s="626" t="s">
        <v>454</v>
      </c>
      <c r="B8" s="576" t="s">
        <v>461</v>
      </c>
      <c r="C8" s="576"/>
      <c r="D8" s="283">
        <v>370</v>
      </c>
      <c r="E8" s="283"/>
      <c r="F8" s="283"/>
      <c r="G8" s="283"/>
      <c r="H8" s="627"/>
      <c r="I8" s="283"/>
      <c r="L8" s="283"/>
      <c r="M8" s="283"/>
      <c r="N8" s="283"/>
      <c r="O8" s="283"/>
      <c r="P8" s="283"/>
      <c r="Q8" s="283"/>
      <c r="R8" s="283"/>
      <c r="S8" s="283"/>
      <c r="T8" s="283"/>
      <c r="U8" s="283"/>
      <c r="V8" s="283"/>
      <c r="W8" s="283"/>
      <c r="X8" s="283"/>
      <c r="Y8" s="283"/>
      <c r="Z8" s="283"/>
    </row>
    <row r="9" spans="1:26" ht="15" customHeight="1" x14ac:dyDescent="0.25">
      <c r="A9" s="626" t="s">
        <v>454</v>
      </c>
      <c r="B9" s="576" t="s">
        <v>464</v>
      </c>
      <c r="C9" s="576"/>
      <c r="D9" s="283">
        <v>20</v>
      </c>
      <c r="E9" s="283"/>
      <c r="F9" s="283"/>
      <c r="G9" s="283"/>
      <c r="H9" s="627"/>
      <c r="I9" s="283"/>
      <c r="J9" s="283"/>
      <c r="K9" s="283">
        <f>2000/5280</f>
        <v>0.37878787878787878</v>
      </c>
      <c r="L9" s="632">
        <f>K9*7000</f>
        <v>2651.5151515151515</v>
      </c>
      <c r="M9" s="283"/>
      <c r="N9" s="283"/>
      <c r="O9" s="283"/>
      <c r="P9" s="283"/>
      <c r="Q9" s="283"/>
      <c r="R9" s="283"/>
      <c r="S9" s="283"/>
      <c r="T9" s="283"/>
      <c r="U9" s="283"/>
      <c r="V9" s="283"/>
      <c r="W9" s="283"/>
      <c r="X9" s="283"/>
      <c r="Y9" s="283"/>
      <c r="Z9" s="283"/>
    </row>
    <row r="10" spans="1:26" ht="15" customHeight="1" x14ac:dyDescent="0.25">
      <c r="A10" s="626" t="s">
        <v>454</v>
      </c>
      <c r="B10" s="576" t="s">
        <v>464</v>
      </c>
      <c r="C10" s="576" t="s">
        <v>461</v>
      </c>
      <c r="D10" s="283">
        <v>88</v>
      </c>
      <c r="E10" s="283"/>
      <c r="F10" s="283"/>
      <c r="G10" s="283"/>
      <c r="H10" s="627"/>
      <c r="I10" s="283"/>
      <c r="J10" s="283">
        <f>K4/5280</f>
        <v>7000</v>
      </c>
      <c r="K10" s="283" t="s">
        <v>465</v>
      </c>
      <c r="L10" s="633">
        <f>L9/K3</f>
        <v>8.3696816651362101E-5</v>
      </c>
      <c r="M10" s="283"/>
      <c r="N10" s="283"/>
      <c r="O10" s="283"/>
      <c r="P10" s="283"/>
      <c r="Q10" s="283"/>
      <c r="R10" s="283"/>
      <c r="S10" s="283"/>
      <c r="T10" s="283"/>
      <c r="U10" s="283"/>
      <c r="V10" s="283"/>
      <c r="W10" s="283"/>
      <c r="X10" s="283"/>
      <c r="Y10" s="283"/>
      <c r="Z10" s="283"/>
    </row>
    <row r="11" spans="1:26" ht="15" customHeight="1" x14ac:dyDescent="0.25">
      <c r="A11" s="626" t="s">
        <v>454</v>
      </c>
      <c r="B11" s="576" t="s">
        <v>457</v>
      </c>
      <c r="C11" s="576"/>
      <c r="D11" s="283">
        <v>84</v>
      </c>
      <c r="E11" s="283"/>
      <c r="F11" s="283"/>
      <c r="G11" s="283"/>
      <c r="H11" s="627"/>
      <c r="I11" s="283"/>
      <c r="J11" s="283">
        <f>K5*L10</f>
        <v>43134.406565656565</v>
      </c>
      <c r="K11" s="283"/>
      <c r="L11" s="634"/>
      <c r="M11" s="283"/>
      <c r="N11" s="283"/>
      <c r="O11" s="283"/>
      <c r="P11" s="283"/>
      <c r="Q11" s="283"/>
      <c r="R11" s="283"/>
      <c r="S11" s="283"/>
      <c r="T11" s="283"/>
      <c r="U11" s="283"/>
      <c r="V11" s="283"/>
      <c r="W11" s="283"/>
      <c r="X11" s="283"/>
      <c r="Y11" s="283"/>
      <c r="Z11" s="283"/>
    </row>
    <row r="12" spans="1:26" ht="15" customHeight="1" x14ac:dyDescent="0.25">
      <c r="A12" s="626" t="s">
        <v>454</v>
      </c>
      <c r="B12" s="576" t="s">
        <v>459</v>
      </c>
      <c r="C12" s="576" t="s">
        <v>464</v>
      </c>
      <c r="D12" s="283"/>
      <c r="E12" s="283"/>
      <c r="F12" s="283"/>
      <c r="G12" s="283"/>
      <c r="H12" s="627"/>
      <c r="I12" s="283"/>
      <c r="J12" s="283"/>
      <c r="K12" s="283"/>
      <c r="L12" s="283"/>
      <c r="M12" s="283"/>
      <c r="N12" s="283"/>
      <c r="O12" s="283"/>
      <c r="P12" s="283"/>
      <c r="Q12" s="283"/>
      <c r="R12" s="283"/>
      <c r="S12" s="283"/>
      <c r="T12" s="283"/>
      <c r="U12" s="283"/>
      <c r="V12" s="283"/>
      <c r="W12" s="283"/>
      <c r="X12" s="283"/>
      <c r="Y12" s="283"/>
      <c r="Z12" s="283"/>
    </row>
    <row r="13" spans="1:26" ht="15" customHeight="1" x14ac:dyDescent="0.25">
      <c r="A13" s="626" t="s">
        <v>466</v>
      </c>
      <c r="B13" s="576" t="s">
        <v>467</v>
      </c>
      <c r="C13" s="576"/>
      <c r="D13" s="283">
        <v>180</v>
      </c>
      <c r="E13" s="283"/>
      <c r="F13" s="283"/>
      <c r="G13" s="283"/>
      <c r="H13" s="627"/>
      <c r="I13" s="283"/>
      <c r="J13" s="283">
        <f>K7*L10</f>
        <v>45.959595959595958</v>
      </c>
      <c r="K13" s="283"/>
      <c r="L13" s="283"/>
      <c r="M13" s="283"/>
      <c r="N13" s="283"/>
      <c r="O13" s="283"/>
      <c r="P13" s="283"/>
      <c r="Q13" s="283"/>
      <c r="R13" s="283"/>
      <c r="S13" s="283"/>
      <c r="T13" s="283"/>
      <c r="U13" s="283"/>
      <c r="V13" s="283"/>
      <c r="W13" s="283"/>
      <c r="X13" s="283"/>
      <c r="Y13" s="283"/>
      <c r="Z13" s="283"/>
    </row>
    <row r="14" spans="1:26" ht="15" customHeight="1" x14ac:dyDescent="0.25">
      <c r="A14" s="626" t="s">
        <v>468</v>
      </c>
      <c r="B14" s="576" t="s">
        <v>467</v>
      </c>
      <c r="C14" s="576"/>
      <c r="D14" s="283"/>
      <c r="E14" s="283"/>
      <c r="F14" s="283"/>
      <c r="G14" s="283"/>
      <c r="H14" s="627"/>
      <c r="I14" s="283"/>
      <c r="L14" s="283"/>
      <c r="M14" s="283"/>
      <c r="N14" s="283"/>
      <c r="O14" s="283"/>
      <c r="P14" s="283"/>
      <c r="Q14" s="283"/>
      <c r="R14" s="283"/>
      <c r="S14" s="283"/>
      <c r="T14" s="283"/>
      <c r="U14" s="283"/>
      <c r="V14" s="283"/>
      <c r="W14" s="283"/>
      <c r="X14" s="283"/>
      <c r="Y14" s="283"/>
      <c r="Z14" s="283"/>
    </row>
    <row r="15" spans="1:26" ht="15" customHeight="1" x14ac:dyDescent="0.25">
      <c r="A15" s="626" t="s">
        <v>467</v>
      </c>
      <c r="B15" s="576" t="s">
        <v>466</v>
      </c>
      <c r="C15" s="576" t="s">
        <v>468</v>
      </c>
      <c r="D15" s="283"/>
      <c r="E15" s="283"/>
      <c r="F15" s="283"/>
      <c r="G15" s="283"/>
      <c r="H15" s="627"/>
      <c r="I15" s="283"/>
      <c r="J15" s="635" t="s">
        <v>469</v>
      </c>
      <c r="L15" s="283"/>
      <c r="M15" s="283"/>
      <c r="N15" s="283"/>
      <c r="O15" s="283"/>
      <c r="P15" s="283"/>
      <c r="Q15" s="283"/>
      <c r="R15" s="283"/>
      <c r="S15" s="283"/>
      <c r="T15" s="283"/>
      <c r="U15" s="283"/>
      <c r="V15" s="283"/>
      <c r="W15" s="283"/>
      <c r="X15" s="283"/>
      <c r="Y15" s="283"/>
      <c r="Z15" s="283"/>
    </row>
    <row r="16" spans="1:26" ht="15" customHeight="1" x14ac:dyDescent="0.25">
      <c r="A16" s="636" t="s">
        <v>467</v>
      </c>
      <c r="B16" s="637" t="s">
        <v>468</v>
      </c>
      <c r="C16" s="637" t="s">
        <v>470</v>
      </c>
      <c r="D16" s="638"/>
      <c r="E16" s="638"/>
      <c r="F16" s="638"/>
      <c r="G16" s="638"/>
      <c r="H16" s="639"/>
      <c r="I16" s="283"/>
      <c r="J16" s="635" t="s">
        <v>471</v>
      </c>
      <c r="L16" s="283"/>
      <c r="M16" s="283"/>
      <c r="N16" s="283"/>
      <c r="O16" s="283"/>
      <c r="P16" s="283"/>
      <c r="Q16" s="283"/>
      <c r="R16" s="283"/>
      <c r="S16" s="283"/>
      <c r="T16" s="283"/>
      <c r="U16" s="283"/>
      <c r="V16" s="283"/>
      <c r="W16" s="283"/>
      <c r="X16" s="283"/>
      <c r="Y16" s="283"/>
      <c r="Z16" s="283"/>
    </row>
    <row r="17" spans="1:26" ht="15" customHeight="1" x14ac:dyDescent="0.25">
      <c r="A17" s="773"/>
      <c r="B17" s="751"/>
      <c r="C17" s="641" t="s">
        <v>58</v>
      </c>
      <c r="D17" s="642">
        <v>1500</v>
      </c>
      <c r="E17" s="638">
        <v>2651</v>
      </c>
      <c r="F17" s="643">
        <f>E17*13</f>
        <v>34463</v>
      </c>
      <c r="G17" s="638">
        <f t="shared" ref="G17:H17" si="0">D17*1.5</f>
        <v>2250</v>
      </c>
      <c r="H17" s="639">
        <f t="shared" si="0"/>
        <v>3976.5</v>
      </c>
      <c r="I17" s="283"/>
      <c r="L17" s="283"/>
      <c r="M17" s="283"/>
      <c r="N17" s="283"/>
      <c r="O17" s="283"/>
      <c r="P17" s="283"/>
      <c r="Q17" s="283"/>
      <c r="R17" s="283"/>
      <c r="S17" s="283"/>
      <c r="T17" s="283"/>
      <c r="U17" s="283"/>
      <c r="V17" s="283"/>
      <c r="W17" s="283"/>
      <c r="X17" s="283"/>
      <c r="Y17" s="283"/>
      <c r="Z17" s="283"/>
    </row>
    <row r="18" spans="1:26" ht="15" customHeight="1" x14ac:dyDescent="0.25">
      <c r="A18" s="774"/>
      <c r="B18" s="751"/>
      <c r="C18" s="641" t="s">
        <v>472</v>
      </c>
      <c r="D18" s="642">
        <f>D17/5280</f>
        <v>0.28409090909090912</v>
      </c>
      <c r="E18" s="777"/>
      <c r="F18" s="778"/>
      <c r="G18" s="778"/>
      <c r="H18" s="779"/>
      <c r="I18" s="283"/>
      <c r="L18" s="283"/>
      <c r="M18" s="283"/>
      <c r="N18" s="283"/>
      <c r="O18" s="283"/>
      <c r="P18" s="283"/>
      <c r="Q18" s="283"/>
      <c r="R18" s="283"/>
      <c r="S18" s="283"/>
      <c r="T18" s="283"/>
      <c r="U18" s="283"/>
      <c r="V18" s="283"/>
      <c r="W18" s="283"/>
      <c r="X18" s="283"/>
      <c r="Y18" s="283"/>
      <c r="Z18" s="283"/>
    </row>
    <row r="19" spans="1:26" ht="15" customHeight="1" x14ac:dyDescent="0.25">
      <c r="A19" s="775"/>
      <c r="B19" s="776"/>
      <c r="C19" s="641" t="s">
        <v>473</v>
      </c>
      <c r="D19" s="645">
        <f>D17/K3</f>
        <v>4.7348484848484848E-5</v>
      </c>
      <c r="E19" s="776"/>
      <c r="F19" s="776"/>
      <c r="G19" s="776"/>
      <c r="H19" s="780"/>
      <c r="I19" s="283"/>
      <c r="L19" s="283"/>
      <c r="M19" s="283"/>
      <c r="N19" s="283"/>
      <c r="O19" s="283"/>
      <c r="P19" s="283"/>
      <c r="Q19" s="283"/>
      <c r="R19" s="283"/>
      <c r="S19" s="283"/>
      <c r="T19" s="283"/>
      <c r="U19" s="283"/>
      <c r="V19" s="283"/>
      <c r="W19" s="283"/>
      <c r="X19" s="283"/>
      <c r="Y19" s="283"/>
      <c r="Z19" s="283"/>
    </row>
    <row r="20" spans="1:26" ht="15" customHeight="1" x14ac:dyDescent="0.25">
      <c r="A20" s="283"/>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row>
    <row r="21" spans="1:26" ht="15" customHeight="1" x14ac:dyDescent="0.25">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row>
    <row r="22" spans="1:26" ht="15.75" customHeight="1" x14ac:dyDescent="0.3">
      <c r="A22" s="618" t="s">
        <v>474</v>
      </c>
      <c r="B22" s="618"/>
      <c r="C22" s="618"/>
      <c r="D22" s="619"/>
      <c r="E22" s="619"/>
      <c r="F22" s="619"/>
      <c r="G22" s="619"/>
      <c r="H22" s="619"/>
      <c r="I22" s="619"/>
      <c r="J22" s="619"/>
      <c r="K22" s="619"/>
      <c r="L22" s="619"/>
      <c r="M22" s="619"/>
      <c r="N22" s="619"/>
      <c r="O22" s="619"/>
      <c r="P22" s="619"/>
      <c r="Q22" s="619"/>
      <c r="R22" s="619"/>
      <c r="S22" s="619"/>
      <c r="T22" s="619"/>
      <c r="U22" s="619"/>
      <c r="V22" s="619"/>
      <c r="W22" s="619"/>
      <c r="X22" s="619"/>
      <c r="Y22" s="619"/>
      <c r="Z22" s="619"/>
    </row>
    <row r="23" spans="1:26" ht="15" customHeight="1" x14ac:dyDescent="0.25">
      <c r="A23" s="646" t="s">
        <v>475</v>
      </c>
      <c r="B23" s="647">
        <v>2.9999999999999997E-4</v>
      </c>
      <c r="F23" s="283"/>
      <c r="G23" s="283"/>
      <c r="H23" s="283"/>
      <c r="I23" s="283"/>
      <c r="J23" s="283"/>
      <c r="K23" s="283"/>
      <c r="L23" s="283"/>
      <c r="M23" s="283"/>
      <c r="N23" s="283"/>
      <c r="O23" s="283"/>
      <c r="P23" s="283"/>
      <c r="Q23" s="283"/>
      <c r="R23" s="283"/>
      <c r="S23" s="283"/>
      <c r="T23" s="283"/>
      <c r="U23" s="283"/>
      <c r="V23" s="283"/>
      <c r="W23" s="283"/>
      <c r="X23" s="283"/>
      <c r="Y23" s="283"/>
      <c r="Z23" s="283"/>
    </row>
    <row r="24" spans="1:26" ht="15" customHeight="1" x14ac:dyDescent="0.25">
      <c r="A24" s="646" t="s">
        <v>5</v>
      </c>
      <c r="B24" s="648">
        <f>'Summary of CBA'!D6</f>
        <v>0.02</v>
      </c>
      <c r="F24" s="283"/>
      <c r="G24" s="283"/>
      <c r="H24" s="283"/>
      <c r="I24" s="283"/>
      <c r="J24" s="283"/>
      <c r="K24" s="283"/>
      <c r="L24" s="283"/>
      <c r="M24" s="283"/>
      <c r="N24" s="283"/>
      <c r="O24" s="283"/>
      <c r="P24" s="283"/>
      <c r="Q24" s="283"/>
      <c r="R24" s="283"/>
      <c r="S24" s="283"/>
      <c r="T24" s="283"/>
      <c r="U24" s="283"/>
      <c r="V24" s="283"/>
      <c r="W24" s="283"/>
      <c r="X24" s="283"/>
      <c r="Y24" s="283"/>
      <c r="Z24" s="283"/>
    </row>
    <row r="25" spans="1:26" ht="15" customHeight="1" x14ac:dyDescent="0.25">
      <c r="A25" s="649" t="s">
        <v>476</v>
      </c>
      <c r="B25" s="624">
        <v>1.4999999999999999E-2</v>
      </c>
      <c r="F25" s="283"/>
      <c r="G25" s="283"/>
      <c r="H25" s="283"/>
      <c r="I25" s="283"/>
      <c r="J25" s="283"/>
      <c r="K25" s="283"/>
      <c r="L25" s="283"/>
      <c r="M25" s="283"/>
      <c r="N25" s="283"/>
      <c r="O25" s="283"/>
      <c r="P25" s="283"/>
      <c r="Q25" s="283"/>
      <c r="R25" s="283"/>
      <c r="S25" s="283"/>
      <c r="T25" s="283"/>
      <c r="U25" s="283"/>
      <c r="V25" s="283"/>
      <c r="W25" s="283"/>
      <c r="X25" s="283"/>
      <c r="Y25" s="283"/>
      <c r="Z25" s="283"/>
    </row>
    <row r="26" spans="1:26" ht="15" customHeight="1" x14ac:dyDescent="0.25">
      <c r="A26" s="646" t="s">
        <v>1</v>
      </c>
      <c r="B26" s="648">
        <f>'Summary of CBA'!$D$2</f>
        <v>0.04</v>
      </c>
      <c r="C26" s="283"/>
      <c r="D26" s="283"/>
      <c r="E26" s="283"/>
      <c r="F26" s="283"/>
      <c r="G26" s="283"/>
      <c r="H26" s="283"/>
      <c r="I26" s="283"/>
      <c r="J26" s="283"/>
      <c r="K26" s="283"/>
      <c r="L26" s="283"/>
      <c r="M26" s="283"/>
      <c r="N26" s="283"/>
      <c r="O26" s="283"/>
      <c r="P26" s="283"/>
      <c r="Q26" s="283"/>
      <c r="R26" s="283"/>
      <c r="S26" s="283"/>
      <c r="T26" s="283"/>
      <c r="U26" s="283"/>
      <c r="V26" s="283"/>
      <c r="W26" s="283"/>
      <c r="X26" s="283"/>
      <c r="Y26" s="283"/>
      <c r="Z26" s="283"/>
    </row>
    <row r="27" spans="1:26" ht="15" customHeight="1" x14ac:dyDescent="0.25">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row>
    <row r="28" spans="1:26" ht="15.75" customHeight="1" x14ac:dyDescent="0.3">
      <c r="A28" s="618" t="s">
        <v>477</v>
      </c>
      <c r="B28" s="618"/>
      <c r="C28" s="618"/>
      <c r="D28" s="619"/>
      <c r="E28" s="619"/>
      <c r="F28" s="619"/>
      <c r="G28" s="619"/>
      <c r="H28" s="619"/>
      <c r="I28" s="619"/>
      <c r="J28" s="619"/>
      <c r="K28" s="619"/>
      <c r="L28" s="619"/>
      <c r="M28" s="619"/>
      <c r="N28" s="619"/>
      <c r="O28" s="619"/>
      <c r="P28" s="619"/>
      <c r="Q28" s="619"/>
      <c r="R28" s="619"/>
      <c r="S28" s="619"/>
      <c r="T28" s="619"/>
      <c r="U28" s="619"/>
      <c r="V28" s="619"/>
      <c r="W28" s="619"/>
      <c r="X28" s="619"/>
      <c r="Y28" s="619"/>
      <c r="Z28" s="619"/>
    </row>
    <row r="29" spans="1:26" ht="15" customHeight="1" x14ac:dyDescent="0.25">
      <c r="A29" s="635" t="s">
        <v>478</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row>
    <row r="30" spans="1:26" ht="15" customHeight="1" x14ac:dyDescent="0.25">
      <c r="A30" s="650" t="s">
        <v>12</v>
      </c>
      <c r="B30" s="622" t="s">
        <v>479</v>
      </c>
      <c r="C30" s="622" t="s">
        <v>480</v>
      </c>
      <c r="D30" s="622" t="s">
        <v>481</v>
      </c>
      <c r="E30" s="623" t="s">
        <v>482</v>
      </c>
      <c r="H30" s="283"/>
      <c r="I30" s="283"/>
      <c r="J30" s="283"/>
      <c r="K30" s="283"/>
      <c r="L30" s="283"/>
      <c r="M30" s="283"/>
      <c r="N30" s="283"/>
      <c r="O30" s="283"/>
      <c r="P30" s="283"/>
      <c r="Q30" s="283"/>
      <c r="R30" s="283"/>
      <c r="S30" s="283"/>
      <c r="T30" s="283"/>
      <c r="U30" s="283"/>
      <c r="V30" s="283"/>
      <c r="W30" s="283"/>
      <c r="X30" s="283"/>
      <c r="Y30" s="283"/>
      <c r="Z30" s="283"/>
    </row>
    <row r="31" spans="1:26" ht="15" customHeight="1" x14ac:dyDescent="0.25">
      <c r="A31" s="651">
        <v>2016</v>
      </c>
      <c r="B31" s="652" t="s">
        <v>483</v>
      </c>
      <c r="C31" s="652" t="s">
        <v>484</v>
      </c>
      <c r="D31" s="653">
        <v>40518</v>
      </c>
      <c r="E31" s="654">
        <f t="shared" ref="E31:E40" si="1">(D31-D32)/D31</f>
        <v>6.6735771755762868E-2</v>
      </c>
      <c r="I31" s="283"/>
      <c r="J31" s="283"/>
      <c r="K31" s="283"/>
      <c r="L31" s="283"/>
      <c r="M31" s="283"/>
      <c r="N31" s="283"/>
      <c r="O31" s="283"/>
      <c r="P31" s="283"/>
      <c r="Q31" s="283"/>
      <c r="R31" s="283"/>
      <c r="S31" s="283"/>
      <c r="T31" s="283"/>
      <c r="U31" s="283"/>
      <c r="V31" s="283"/>
      <c r="W31" s="283"/>
      <c r="X31" s="283"/>
      <c r="Y31" s="283"/>
      <c r="Z31" s="283"/>
    </row>
    <row r="32" spans="1:26" ht="15" customHeight="1" x14ac:dyDescent="0.25">
      <c r="A32" s="651">
        <v>2015</v>
      </c>
      <c r="B32" s="652" t="s">
        <v>483</v>
      </c>
      <c r="C32" s="652" t="s">
        <v>484</v>
      </c>
      <c r="D32" s="653">
        <v>37814</v>
      </c>
      <c r="E32" s="654">
        <f t="shared" si="1"/>
        <v>-5.6592796318823716E-3</v>
      </c>
      <c r="F32" s="283"/>
      <c r="H32" s="283"/>
      <c r="I32" s="283"/>
      <c r="J32" s="283"/>
      <c r="K32" s="283"/>
      <c r="L32" s="283"/>
      <c r="M32" s="283"/>
      <c r="N32" s="283"/>
      <c r="O32" s="283"/>
      <c r="P32" s="283"/>
      <c r="Q32" s="283"/>
      <c r="R32" s="283"/>
      <c r="S32" s="283"/>
      <c r="T32" s="283"/>
      <c r="U32" s="283"/>
      <c r="V32" s="283"/>
      <c r="W32" s="283"/>
      <c r="X32" s="283"/>
      <c r="Y32" s="283"/>
      <c r="Z32" s="283"/>
    </row>
    <row r="33" spans="1:26" ht="15" customHeight="1" x14ac:dyDescent="0.25">
      <c r="A33" s="651">
        <v>2014</v>
      </c>
      <c r="B33" s="652" t="s">
        <v>483</v>
      </c>
      <c r="C33" s="652" t="s">
        <v>484</v>
      </c>
      <c r="D33" s="653">
        <v>38028</v>
      </c>
      <c r="E33" s="654">
        <f t="shared" si="1"/>
        <v>0</v>
      </c>
      <c r="F33" s="283"/>
      <c r="G33" s="283"/>
      <c r="H33" s="283"/>
      <c r="I33" s="283"/>
      <c r="J33" s="283"/>
      <c r="K33" s="283"/>
      <c r="L33" s="283"/>
      <c r="M33" s="283"/>
      <c r="N33" s="283"/>
      <c r="O33" s="283"/>
      <c r="P33" s="283"/>
      <c r="Q33" s="283"/>
      <c r="R33" s="283"/>
      <c r="S33" s="283"/>
      <c r="T33" s="283"/>
      <c r="U33" s="283"/>
      <c r="V33" s="283"/>
      <c r="W33" s="283"/>
      <c r="X33" s="283"/>
      <c r="Y33" s="283"/>
      <c r="Z33" s="283"/>
    </row>
    <row r="34" spans="1:26" ht="15" customHeight="1" x14ac:dyDescent="0.25">
      <c r="A34" s="651">
        <v>2014</v>
      </c>
      <c r="B34" s="652" t="s">
        <v>483</v>
      </c>
      <c r="C34" s="652" t="s">
        <v>484</v>
      </c>
      <c r="D34" s="653">
        <v>38028</v>
      </c>
      <c r="E34" s="654">
        <f t="shared" si="1"/>
        <v>-2.9977911012937833E-3</v>
      </c>
      <c r="F34" s="283"/>
      <c r="G34" s="283"/>
      <c r="H34" s="283"/>
      <c r="I34" s="283"/>
      <c r="J34" s="283"/>
      <c r="K34" s="283"/>
      <c r="L34" s="283"/>
      <c r="M34" s="283"/>
      <c r="N34" s="283"/>
      <c r="O34" s="283"/>
      <c r="P34" s="283"/>
      <c r="Q34" s="283"/>
      <c r="R34" s="283"/>
      <c r="S34" s="283"/>
      <c r="T34" s="283"/>
      <c r="U34" s="283"/>
      <c r="V34" s="283"/>
      <c r="W34" s="283"/>
      <c r="X34" s="283"/>
      <c r="Y34" s="283"/>
      <c r="Z34" s="283"/>
    </row>
    <row r="35" spans="1:26" ht="15" customHeight="1" x14ac:dyDescent="0.25">
      <c r="A35" s="651">
        <v>2013</v>
      </c>
      <c r="B35" s="652" t="s">
        <v>483</v>
      </c>
      <c r="C35" s="652" t="s">
        <v>484</v>
      </c>
      <c r="D35" s="653">
        <v>38142</v>
      </c>
      <c r="E35" s="654">
        <f t="shared" si="1"/>
        <v>0</v>
      </c>
      <c r="F35" s="283"/>
      <c r="G35" s="283"/>
      <c r="H35" s="283"/>
      <c r="I35" s="283"/>
      <c r="J35" s="283"/>
      <c r="K35" s="283"/>
      <c r="L35" s="283"/>
      <c r="M35" s="283"/>
      <c r="N35" s="283"/>
      <c r="O35" s="283"/>
      <c r="P35" s="283"/>
      <c r="Q35" s="283"/>
      <c r="R35" s="283"/>
      <c r="S35" s="283"/>
      <c r="T35" s="283"/>
      <c r="U35" s="283"/>
      <c r="V35" s="283"/>
      <c r="W35" s="283"/>
      <c r="X35" s="283"/>
      <c r="Y35" s="283"/>
      <c r="Z35" s="283"/>
    </row>
    <row r="36" spans="1:26" ht="15" customHeight="1" x14ac:dyDescent="0.25">
      <c r="A36" s="651">
        <v>2013</v>
      </c>
      <c r="B36" s="652" t="s">
        <v>483</v>
      </c>
      <c r="C36" s="652" t="s">
        <v>484</v>
      </c>
      <c r="D36" s="653">
        <v>38142</v>
      </c>
      <c r="E36" s="654">
        <f t="shared" si="1"/>
        <v>-1.5730690577316344E-3</v>
      </c>
      <c r="F36" s="283"/>
      <c r="G36" s="283"/>
      <c r="H36" s="283"/>
      <c r="I36" s="283"/>
      <c r="J36" s="283"/>
      <c r="K36" s="283"/>
      <c r="L36" s="283"/>
      <c r="M36" s="283"/>
      <c r="N36" s="283"/>
      <c r="O36" s="283"/>
      <c r="P36" s="283"/>
      <c r="Q36" s="283"/>
      <c r="R36" s="283"/>
      <c r="S36" s="283"/>
      <c r="T36" s="283"/>
      <c r="U36" s="283"/>
      <c r="V36" s="283"/>
      <c r="W36" s="283"/>
      <c r="X36" s="283"/>
      <c r="Y36" s="283"/>
      <c r="Z36" s="283"/>
    </row>
    <row r="37" spans="1:26" ht="15" customHeight="1" x14ac:dyDescent="0.25">
      <c r="A37" s="651">
        <v>2012</v>
      </c>
      <c r="B37" s="652" t="s">
        <v>483</v>
      </c>
      <c r="C37" s="652" t="s">
        <v>484</v>
      </c>
      <c r="D37" s="653">
        <v>38202</v>
      </c>
      <c r="E37" s="654">
        <f t="shared" si="1"/>
        <v>0</v>
      </c>
      <c r="F37" s="283"/>
      <c r="G37" s="283"/>
      <c r="H37" s="283"/>
      <c r="I37" s="283"/>
      <c r="J37" s="283"/>
      <c r="K37" s="283"/>
      <c r="L37" s="283"/>
      <c r="M37" s="283"/>
      <c r="N37" s="283"/>
      <c r="O37" s="283"/>
      <c r="P37" s="283"/>
      <c r="Q37" s="283"/>
      <c r="R37" s="283"/>
      <c r="S37" s="283"/>
      <c r="T37" s="283"/>
      <c r="U37" s="283"/>
      <c r="V37" s="283"/>
      <c r="W37" s="283"/>
      <c r="X37" s="283"/>
      <c r="Y37" s="283"/>
      <c r="Z37" s="283"/>
    </row>
    <row r="38" spans="1:26" ht="15" customHeight="1" x14ac:dyDescent="0.25">
      <c r="A38" s="651">
        <v>2012</v>
      </c>
      <c r="B38" s="652" t="s">
        <v>483</v>
      </c>
      <c r="C38" s="652" t="s">
        <v>484</v>
      </c>
      <c r="D38" s="653">
        <v>38202</v>
      </c>
      <c r="E38" s="654">
        <f t="shared" si="1"/>
        <v>1.2303020784252133E-3</v>
      </c>
      <c r="F38" s="283"/>
      <c r="G38" s="283"/>
      <c r="H38" s="283"/>
      <c r="I38" s="283"/>
      <c r="J38" s="283"/>
      <c r="K38" s="283"/>
      <c r="L38" s="283"/>
      <c r="M38" s="283"/>
      <c r="N38" s="283"/>
      <c r="O38" s="283"/>
      <c r="P38" s="283"/>
      <c r="Q38" s="283"/>
      <c r="R38" s="283"/>
      <c r="S38" s="283"/>
      <c r="T38" s="283"/>
      <c r="U38" s="283"/>
      <c r="V38" s="283"/>
      <c r="W38" s="283"/>
      <c r="X38" s="283"/>
      <c r="Y38" s="283"/>
      <c r="Z38" s="283"/>
    </row>
    <row r="39" spans="1:26" ht="15" customHeight="1" x14ac:dyDescent="0.25">
      <c r="A39" s="651">
        <v>2011</v>
      </c>
      <c r="B39" s="652" t="s">
        <v>483</v>
      </c>
      <c r="C39" s="652" t="s">
        <v>484</v>
      </c>
      <c r="D39" s="653">
        <v>38155</v>
      </c>
      <c r="E39" s="654">
        <f t="shared" si="1"/>
        <v>0</v>
      </c>
      <c r="F39" s="283"/>
      <c r="G39" s="283"/>
      <c r="H39" s="283"/>
      <c r="I39" s="283"/>
      <c r="J39" s="283"/>
      <c r="K39" s="283"/>
      <c r="L39" s="283"/>
      <c r="M39" s="283"/>
      <c r="N39" s="283"/>
      <c r="O39" s="283"/>
      <c r="P39" s="283"/>
      <c r="Q39" s="283"/>
      <c r="R39" s="283"/>
      <c r="S39" s="283"/>
      <c r="T39" s="283"/>
      <c r="U39" s="283"/>
      <c r="V39" s="283"/>
      <c r="W39" s="283"/>
      <c r="X39" s="283"/>
      <c r="Y39" s="283"/>
      <c r="Z39" s="283"/>
    </row>
    <row r="40" spans="1:26" ht="15.75" customHeight="1" x14ac:dyDescent="0.25">
      <c r="A40" s="651">
        <v>2011</v>
      </c>
      <c r="B40" s="652" t="s">
        <v>483</v>
      </c>
      <c r="C40" s="652" t="s">
        <v>484</v>
      </c>
      <c r="D40" s="653">
        <v>38155</v>
      </c>
      <c r="E40" s="654">
        <f t="shared" si="1"/>
        <v>0</v>
      </c>
      <c r="F40" s="283"/>
      <c r="G40" s="283"/>
      <c r="H40" s="283"/>
      <c r="I40" s="283"/>
      <c r="J40" s="283"/>
      <c r="K40" s="283"/>
      <c r="L40" s="283"/>
      <c r="M40" s="283"/>
      <c r="N40" s="283"/>
      <c r="O40" s="283"/>
      <c r="P40" s="283"/>
      <c r="Q40" s="283"/>
      <c r="R40" s="283"/>
      <c r="S40" s="283"/>
      <c r="T40" s="283"/>
      <c r="U40" s="283"/>
      <c r="V40" s="283"/>
      <c r="W40" s="283"/>
      <c r="X40" s="283"/>
      <c r="Y40" s="283"/>
      <c r="Z40" s="283"/>
    </row>
    <row r="41" spans="1:26" ht="15.75" customHeight="1" x14ac:dyDescent="0.25">
      <c r="A41" s="655">
        <v>2011</v>
      </c>
      <c r="B41" s="656" t="s">
        <v>483</v>
      </c>
      <c r="C41" s="656" t="s">
        <v>484</v>
      </c>
      <c r="D41" s="657">
        <v>38155</v>
      </c>
      <c r="E41" s="658"/>
      <c r="F41" s="283"/>
      <c r="G41" s="283"/>
      <c r="H41" s="283"/>
      <c r="I41" s="283"/>
      <c r="J41" s="283"/>
      <c r="K41" s="283"/>
      <c r="L41" s="283"/>
      <c r="M41" s="283"/>
      <c r="N41" s="283"/>
      <c r="O41" s="283"/>
      <c r="P41" s="283"/>
      <c r="Q41" s="283"/>
      <c r="R41" s="283"/>
      <c r="S41" s="283"/>
      <c r="T41" s="283"/>
      <c r="U41" s="283"/>
      <c r="V41" s="283"/>
      <c r="W41" s="283"/>
      <c r="X41" s="283"/>
      <c r="Y41" s="283"/>
      <c r="Z41" s="283"/>
    </row>
    <row r="42" spans="1:26" ht="15.75" customHeight="1" x14ac:dyDescent="0.25">
      <c r="A42" s="283"/>
      <c r="B42" s="283"/>
      <c r="C42" s="283"/>
      <c r="D42" s="649" t="s">
        <v>485</v>
      </c>
      <c r="E42" s="659">
        <f>AVERAGE(E31:E40)</f>
        <v>5.773593404328029E-3</v>
      </c>
      <c r="F42" s="283"/>
      <c r="G42" s="283"/>
      <c r="H42" s="283"/>
      <c r="I42" s="283"/>
      <c r="J42" s="283"/>
      <c r="K42" s="283"/>
      <c r="L42" s="283"/>
      <c r="M42" s="283"/>
      <c r="N42" s="283"/>
      <c r="O42" s="283"/>
      <c r="P42" s="283"/>
      <c r="Q42" s="283"/>
      <c r="R42" s="283"/>
      <c r="S42" s="283"/>
      <c r="T42" s="283"/>
      <c r="U42" s="283"/>
      <c r="V42" s="283"/>
      <c r="W42" s="283"/>
      <c r="X42" s="283"/>
      <c r="Y42" s="283"/>
      <c r="Z42" s="283"/>
    </row>
    <row r="43" spans="1:26" ht="15.75" customHeight="1" x14ac:dyDescent="0.25">
      <c r="A43" s="283"/>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row>
    <row r="44" spans="1:26" ht="15.75" customHeight="1" x14ac:dyDescent="0.25">
      <c r="A44" s="660"/>
      <c r="B44" s="661"/>
      <c r="C44" s="660"/>
      <c r="D44" s="660"/>
      <c r="E44" s="660"/>
      <c r="F44" s="660"/>
      <c r="G44" s="660"/>
      <c r="H44" s="660"/>
      <c r="I44" s="660"/>
      <c r="J44" s="660"/>
      <c r="K44" s="660"/>
      <c r="L44" s="660"/>
      <c r="M44" s="660"/>
      <c r="N44" s="660"/>
      <c r="O44" s="660"/>
      <c r="P44" s="660"/>
      <c r="Q44" s="660"/>
      <c r="R44" s="660"/>
      <c r="S44" s="660"/>
      <c r="T44" s="660"/>
      <c r="U44" s="660"/>
      <c r="V44" s="660"/>
      <c r="W44" s="660"/>
      <c r="X44" s="660"/>
      <c r="Y44" s="660"/>
      <c r="Z44" s="660"/>
    </row>
    <row r="45" spans="1:26" ht="15.75" customHeight="1" x14ac:dyDescent="0.3">
      <c r="A45" s="618" t="s">
        <v>486</v>
      </c>
      <c r="B45" s="618"/>
      <c r="C45" s="618"/>
      <c r="D45" s="619"/>
      <c r="E45" s="619"/>
      <c r="F45" s="619"/>
      <c r="G45" s="619"/>
      <c r="H45" s="619"/>
      <c r="I45" s="619"/>
      <c r="J45" s="619"/>
      <c r="K45" s="619"/>
      <c r="L45" s="619"/>
      <c r="M45" s="619"/>
      <c r="N45" s="619"/>
      <c r="O45" s="619"/>
      <c r="P45" s="619"/>
      <c r="Q45" s="619"/>
      <c r="R45" s="619"/>
      <c r="S45" s="619"/>
      <c r="T45" s="619"/>
      <c r="U45" s="619"/>
      <c r="V45" s="619"/>
      <c r="W45" s="619"/>
      <c r="X45" s="619"/>
      <c r="Y45" s="619"/>
      <c r="Z45" s="619"/>
    </row>
    <row r="46" spans="1:26" ht="15.75" customHeight="1" x14ac:dyDescent="0.25">
      <c r="A46" s="635" t="s">
        <v>487</v>
      </c>
      <c r="B46" s="661"/>
      <c r="C46" s="660"/>
      <c r="D46" s="660"/>
      <c r="E46" s="660"/>
      <c r="F46" s="660"/>
      <c r="G46" s="660"/>
      <c r="H46" s="660"/>
      <c r="I46" s="660"/>
      <c r="J46" s="660"/>
      <c r="K46" s="660"/>
      <c r="L46" s="660"/>
      <c r="M46" s="660"/>
      <c r="N46" s="660"/>
      <c r="O46" s="660"/>
      <c r="P46" s="660"/>
      <c r="Q46" s="660"/>
      <c r="R46" s="660"/>
      <c r="S46" s="660"/>
      <c r="T46" s="660"/>
      <c r="U46" s="660"/>
      <c r="V46" s="660"/>
      <c r="W46" s="660"/>
      <c r="X46" s="660"/>
      <c r="Y46" s="660"/>
      <c r="Z46" s="660"/>
    </row>
    <row r="47" spans="1:26" ht="15.75" customHeight="1" x14ac:dyDescent="0.25">
      <c r="A47" s="662" t="s">
        <v>488</v>
      </c>
      <c r="B47" s="663">
        <v>158620</v>
      </c>
      <c r="C47" s="660"/>
      <c r="D47" s="660"/>
      <c r="E47" s="660"/>
      <c r="F47" s="660"/>
      <c r="G47" s="660"/>
      <c r="H47" s="660"/>
      <c r="I47" s="660"/>
      <c r="J47" s="660"/>
      <c r="K47" s="660"/>
      <c r="L47" s="660"/>
      <c r="M47" s="660"/>
      <c r="N47" s="660"/>
      <c r="O47" s="660"/>
      <c r="P47" s="660"/>
      <c r="Q47" s="660"/>
      <c r="R47" s="660"/>
      <c r="S47" s="660"/>
      <c r="T47" s="660"/>
      <c r="U47" s="660"/>
      <c r="V47" s="660"/>
      <c r="W47" s="660"/>
      <c r="X47" s="660"/>
      <c r="Y47" s="660"/>
      <c r="Z47" s="660"/>
    </row>
    <row r="48" spans="1:26" ht="15.75" customHeight="1" x14ac:dyDescent="0.25">
      <c r="A48" s="664" t="s">
        <v>489</v>
      </c>
      <c r="B48" s="665">
        <v>5.5999999999999997E-6</v>
      </c>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row>
    <row r="49" spans="1:26" ht="15.75" customHeight="1" x14ac:dyDescent="0.25">
      <c r="A49" s="664" t="s">
        <v>490</v>
      </c>
      <c r="B49" s="666">
        <v>27600000</v>
      </c>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row>
    <row r="50" spans="1:26" ht="15.75" customHeight="1" x14ac:dyDescent="0.25">
      <c r="A50" s="664" t="s">
        <v>491</v>
      </c>
      <c r="B50" s="667">
        <v>250000</v>
      </c>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row>
    <row r="51" spans="1:26" ht="15.75" customHeight="1" x14ac:dyDescent="0.25">
      <c r="A51" s="664" t="s">
        <v>492</v>
      </c>
      <c r="B51" s="666">
        <f>B49/B50</f>
        <v>110.4</v>
      </c>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row>
    <row r="52" spans="1:26" ht="15.75" customHeight="1" x14ac:dyDescent="0.25">
      <c r="A52" s="668" t="s">
        <v>209</v>
      </c>
      <c r="B52" s="658">
        <v>1.5800000000000002E-2</v>
      </c>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row>
    <row r="53" spans="1:26" ht="15.75" customHeight="1" x14ac:dyDescent="0.25">
      <c r="A53" s="283"/>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row>
    <row r="54" spans="1:26" ht="15.75" customHeight="1" x14ac:dyDescent="0.25">
      <c r="A54" s="283"/>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row>
    <row r="55" spans="1:26" ht="15.75" customHeight="1" x14ac:dyDescent="0.25">
      <c r="A55" s="283"/>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row>
    <row r="56" spans="1:26" ht="15.75" customHeight="1" x14ac:dyDescent="0.3">
      <c r="A56" s="618" t="s">
        <v>493</v>
      </c>
      <c r="B56" s="618"/>
      <c r="C56" s="618"/>
      <c r="D56" s="619"/>
      <c r="E56" s="619"/>
      <c r="F56" s="619"/>
      <c r="G56" s="619"/>
      <c r="H56" s="619"/>
      <c r="I56" s="619"/>
      <c r="J56" s="619"/>
      <c r="K56" s="619"/>
      <c r="L56" s="619"/>
      <c r="M56" s="619"/>
      <c r="N56" s="619"/>
      <c r="O56" s="619"/>
      <c r="P56" s="619"/>
      <c r="Q56" s="619"/>
      <c r="R56" s="619"/>
      <c r="S56" s="619"/>
      <c r="T56" s="619"/>
      <c r="U56" s="619"/>
      <c r="V56" s="619"/>
      <c r="W56" s="619"/>
      <c r="X56" s="619"/>
      <c r="Y56" s="619"/>
      <c r="Z56" s="619"/>
    </row>
    <row r="57" spans="1:26" ht="15.75" customHeight="1" x14ac:dyDescent="0.25">
      <c r="A57" s="660" t="s">
        <v>494</v>
      </c>
      <c r="B57" s="283"/>
      <c r="C57" s="283"/>
      <c r="D57" s="283"/>
      <c r="E57" s="283"/>
      <c r="F57" s="283"/>
      <c r="G57" s="283"/>
      <c r="H57" s="660" t="s">
        <v>495</v>
      </c>
      <c r="I57" s="283"/>
      <c r="J57" s="283"/>
      <c r="K57" s="283"/>
      <c r="L57" s="283"/>
      <c r="M57" s="283"/>
      <c r="N57" s="283"/>
      <c r="O57" s="283"/>
      <c r="P57" s="283"/>
      <c r="Q57" s="283"/>
      <c r="R57" s="283"/>
      <c r="S57" s="283"/>
      <c r="T57" s="283"/>
      <c r="U57" s="283"/>
      <c r="V57" s="283"/>
      <c r="W57" s="283"/>
      <c r="X57" s="283"/>
      <c r="Y57" s="283"/>
      <c r="Z57" s="283"/>
    </row>
    <row r="58" spans="1:26" ht="15.75" customHeight="1" x14ac:dyDescent="0.25">
      <c r="A58" s="635" t="s">
        <v>496</v>
      </c>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row>
    <row r="59" spans="1:26" ht="15.75" customHeight="1" x14ac:dyDescent="0.25">
      <c r="A59" s="669" t="s">
        <v>12</v>
      </c>
      <c r="B59" s="669" t="s">
        <v>497</v>
      </c>
      <c r="C59" s="669" t="s">
        <v>498</v>
      </c>
      <c r="D59" s="650" t="s">
        <v>38</v>
      </c>
      <c r="E59" s="650" t="s">
        <v>12</v>
      </c>
      <c r="F59" s="650" t="s">
        <v>12</v>
      </c>
      <c r="G59" s="670" t="s">
        <v>12</v>
      </c>
      <c r="H59" s="622" t="s">
        <v>12</v>
      </c>
      <c r="I59" s="650" t="s">
        <v>499</v>
      </c>
      <c r="J59" s="650" t="s">
        <v>500</v>
      </c>
      <c r="K59" s="650" t="s">
        <v>38</v>
      </c>
      <c r="L59" s="650" t="s">
        <v>501</v>
      </c>
      <c r="M59" s="650" t="s">
        <v>502</v>
      </c>
      <c r="N59" s="283"/>
      <c r="O59" s="283"/>
      <c r="P59" s="283"/>
      <c r="Q59" s="283"/>
      <c r="R59" s="283"/>
      <c r="S59" s="283"/>
      <c r="T59" s="283"/>
      <c r="U59" s="283"/>
      <c r="V59" s="283"/>
      <c r="W59" s="283"/>
      <c r="X59" s="283"/>
      <c r="Y59" s="283"/>
      <c r="Z59" s="283"/>
    </row>
    <row r="60" spans="1:26" ht="15.75" customHeight="1" x14ac:dyDescent="0.25">
      <c r="A60" s="671">
        <v>2010</v>
      </c>
      <c r="B60" s="672">
        <v>9.1</v>
      </c>
      <c r="C60" s="673"/>
      <c r="D60" s="283"/>
      <c r="E60" s="283"/>
      <c r="F60" s="627"/>
      <c r="G60" s="283"/>
      <c r="H60" s="671">
        <v>2010</v>
      </c>
      <c r="I60" s="672">
        <v>1962</v>
      </c>
      <c r="J60" s="672"/>
      <c r="K60" s="672"/>
      <c r="L60" s="672"/>
      <c r="M60" s="674"/>
      <c r="N60" s="283"/>
      <c r="O60" s="283"/>
      <c r="P60" s="283"/>
      <c r="Q60" s="283"/>
      <c r="R60" s="283"/>
      <c r="S60" s="283"/>
      <c r="T60" s="283"/>
      <c r="U60" s="283"/>
      <c r="V60" s="283"/>
      <c r="W60" s="283"/>
      <c r="X60" s="283"/>
      <c r="Y60" s="283"/>
      <c r="Z60" s="283"/>
    </row>
    <row r="61" spans="1:26" ht="15.75" customHeight="1" x14ac:dyDescent="0.25">
      <c r="A61" s="675">
        <v>2011</v>
      </c>
      <c r="B61" s="676">
        <v>8.8000000000000007</v>
      </c>
      <c r="C61" s="677">
        <f t="shared" ref="C61:C67" si="2">B60-B61</f>
        <v>0.29999999999999893</v>
      </c>
      <c r="D61" s="633">
        <f t="shared" ref="D61:D67" si="3">C61/B60</f>
        <v>3.296703296703285E-2</v>
      </c>
      <c r="E61" s="624" t="s">
        <v>503</v>
      </c>
      <c r="F61" s="678">
        <f>AVERAGE(D61:D67)</f>
        <v>3.4221376448267206E-2</v>
      </c>
      <c r="G61" s="283"/>
      <c r="H61" s="675">
        <v>2011</v>
      </c>
      <c r="I61" s="676">
        <v>1971</v>
      </c>
      <c r="J61" s="676">
        <f>I60+(-I61)</f>
        <v>-9</v>
      </c>
      <c r="K61" s="679">
        <f t="shared" ref="K61:K66" si="4">J61/I60</f>
        <v>-4.5871559633027525E-3</v>
      </c>
      <c r="L61" s="680" t="s">
        <v>501</v>
      </c>
      <c r="M61" s="681">
        <f>K61*100</f>
        <v>-0.45871559633027525</v>
      </c>
      <c r="N61" s="283"/>
      <c r="O61" s="283"/>
      <c r="P61" s="283"/>
      <c r="Q61" s="283"/>
      <c r="R61" s="283"/>
      <c r="S61" s="283"/>
      <c r="T61" s="283"/>
      <c r="U61" s="283"/>
      <c r="V61" s="283"/>
      <c r="W61" s="283"/>
      <c r="X61" s="283"/>
      <c r="Y61" s="283"/>
      <c r="Z61" s="283"/>
    </row>
    <row r="62" spans="1:26" ht="15.75" customHeight="1" x14ac:dyDescent="0.25">
      <c r="A62" s="675">
        <v>2012</v>
      </c>
      <c r="B62" s="676">
        <v>9.1</v>
      </c>
      <c r="C62" s="677">
        <f t="shared" si="2"/>
        <v>-0.29999999999999893</v>
      </c>
      <c r="D62" s="633">
        <f t="shared" si="3"/>
        <v>-3.409090909090897E-2</v>
      </c>
      <c r="E62" s="283"/>
      <c r="F62" s="627"/>
      <c r="G62" s="283"/>
      <c r="H62" s="675">
        <v>2012</v>
      </c>
      <c r="I62" s="676">
        <v>1978</v>
      </c>
      <c r="J62" s="676">
        <f t="shared" ref="J62:J66" si="5">I61-I62</f>
        <v>-7</v>
      </c>
      <c r="K62" s="679">
        <f t="shared" si="4"/>
        <v>-3.5514967021816335E-3</v>
      </c>
      <c r="L62" s="682">
        <f>AVERAGE(K61:K66)</f>
        <v>3.3699298379697464E-3</v>
      </c>
      <c r="M62" s="683"/>
      <c r="N62" s="283"/>
      <c r="O62" s="283"/>
      <c r="P62" s="283"/>
      <c r="Q62" s="283"/>
      <c r="R62" s="283"/>
      <c r="S62" s="283"/>
      <c r="T62" s="283"/>
      <c r="U62" s="283"/>
      <c r="V62" s="283"/>
      <c r="W62" s="283"/>
      <c r="X62" s="283"/>
      <c r="Y62" s="283"/>
      <c r="Z62" s="283"/>
    </row>
    <row r="63" spans="1:26" ht="15.75" customHeight="1" x14ac:dyDescent="0.25">
      <c r="A63" s="675">
        <v>2013</v>
      </c>
      <c r="B63" s="676">
        <v>8.5</v>
      </c>
      <c r="C63" s="677">
        <f t="shared" si="2"/>
        <v>0.59999999999999964</v>
      </c>
      <c r="D63" s="633">
        <f t="shared" si="3"/>
        <v>6.5934065934065894E-2</v>
      </c>
      <c r="E63" s="633"/>
      <c r="F63" s="627"/>
      <c r="G63" s="283"/>
      <c r="H63" s="675">
        <v>2013</v>
      </c>
      <c r="I63" s="676">
        <v>2016</v>
      </c>
      <c r="J63" s="676">
        <f t="shared" si="5"/>
        <v>-38</v>
      </c>
      <c r="K63" s="679">
        <f t="shared" si="4"/>
        <v>-1.9211324570273004E-2</v>
      </c>
      <c r="L63" s="676"/>
      <c r="M63" s="683"/>
      <c r="N63" s="283"/>
      <c r="O63" s="283"/>
      <c r="P63" s="283"/>
      <c r="Q63" s="283"/>
      <c r="R63" s="283"/>
      <c r="S63" s="283"/>
      <c r="T63" s="283"/>
      <c r="U63" s="283"/>
      <c r="V63" s="283"/>
      <c r="W63" s="283"/>
      <c r="X63" s="283"/>
      <c r="Y63" s="283"/>
      <c r="Z63" s="283"/>
    </row>
    <row r="64" spans="1:26" ht="15.75" customHeight="1" x14ac:dyDescent="0.25">
      <c r="A64" s="675">
        <v>2014</v>
      </c>
      <c r="B64" s="676">
        <v>8</v>
      </c>
      <c r="C64" s="677">
        <f t="shared" si="2"/>
        <v>0.5</v>
      </c>
      <c r="D64" s="633">
        <f t="shared" si="3"/>
        <v>5.8823529411764705E-2</v>
      </c>
      <c r="E64" s="633"/>
      <c r="F64" s="627"/>
      <c r="G64" s="283"/>
      <c r="H64" s="675">
        <v>2014</v>
      </c>
      <c r="I64" s="676">
        <v>2057</v>
      </c>
      <c r="J64" s="676">
        <f t="shared" si="5"/>
        <v>-41</v>
      </c>
      <c r="K64" s="679">
        <f t="shared" si="4"/>
        <v>-2.0337301587301588E-2</v>
      </c>
      <c r="L64" s="684">
        <f>AVERAGE(K61:K66)%</f>
        <v>3.3699298379697466E-5</v>
      </c>
      <c r="M64" s="683"/>
      <c r="N64" s="283"/>
      <c r="O64" s="283"/>
      <c r="P64" s="283"/>
      <c r="Q64" s="283"/>
      <c r="R64" s="283"/>
      <c r="S64" s="283"/>
      <c r="T64" s="283"/>
      <c r="U64" s="283"/>
      <c r="V64" s="283"/>
      <c r="W64" s="283"/>
      <c r="X64" s="283"/>
      <c r="Y64" s="283"/>
      <c r="Z64" s="283"/>
    </row>
    <row r="65" spans="1:26" ht="15.75" customHeight="1" x14ac:dyDescent="0.25">
      <c r="A65" s="675">
        <v>2015</v>
      </c>
      <c r="B65" s="676">
        <v>7.4</v>
      </c>
      <c r="C65" s="677">
        <f t="shared" si="2"/>
        <v>0.59999999999999964</v>
      </c>
      <c r="D65" s="633">
        <f t="shared" si="3"/>
        <v>7.4999999999999956E-2</v>
      </c>
      <c r="E65" s="283"/>
      <c r="F65" s="627"/>
      <c r="G65" s="283"/>
      <c r="H65" s="675">
        <v>2015</v>
      </c>
      <c r="I65" s="676">
        <v>1879</v>
      </c>
      <c r="J65" s="676">
        <f t="shared" si="5"/>
        <v>178</v>
      </c>
      <c r="K65" s="679">
        <f t="shared" si="4"/>
        <v>8.6533787068546433E-2</v>
      </c>
      <c r="L65" s="676"/>
      <c r="M65" s="683"/>
      <c r="N65" s="283"/>
      <c r="O65" s="283"/>
      <c r="P65" s="283"/>
      <c r="Q65" s="283"/>
      <c r="R65" s="283"/>
      <c r="S65" s="283"/>
      <c r="T65" s="283"/>
      <c r="U65" s="283"/>
      <c r="V65" s="283"/>
      <c r="W65" s="283"/>
      <c r="X65" s="283"/>
      <c r="Y65" s="283"/>
      <c r="Z65" s="283"/>
    </row>
    <row r="66" spans="1:26" ht="15.75" customHeight="1" x14ac:dyDescent="0.25">
      <c r="A66" s="675">
        <v>2016</v>
      </c>
      <c r="B66" s="676">
        <v>7.2</v>
      </c>
      <c r="C66" s="677">
        <f t="shared" si="2"/>
        <v>0.20000000000000018</v>
      </c>
      <c r="D66" s="633">
        <f t="shared" si="3"/>
        <v>2.7027027027027049E-2</v>
      </c>
      <c r="E66" s="283"/>
      <c r="F66" s="627"/>
      <c r="G66" s="283"/>
      <c r="H66" s="675">
        <v>2016</v>
      </c>
      <c r="I66" s="676">
        <v>1914</v>
      </c>
      <c r="J66" s="676">
        <f t="shared" si="5"/>
        <v>-35</v>
      </c>
      <c r="K66" s="679">
        <f t="shared" si="4"/>
        <v>-1.8626929217668974E-2</v>
      </c>
      <c r="L66" s="676"/>
      <c r="M66" s="683"/>
      <c r="N66" s="283"/>
      <c r="O66" s="283"/>
      <c r="P66" s="283"/>
      <c r="Q66" s="283"/>
      <c r="R66" s="283"/>
      <c r="S66" s="283"/>
      <c r="T66" s="283"/>
      <c r="U66" s="283"/>
      <c r="V66" s="283"/>
      <c r="W66" s="283"/>
      <c r="X66" s="283"/>
      <c r="Y66" s="283"/>
      <c r="Z66" s="283"/>
    </row>
    <row r="67" spans="1:26" ht="15.75" customHeight="1" x14ac:dyDescent="0.25">
      <c r="A67" s="685">
        <v>2017</v>
      </c>
      <c r="B67" s="686">
        <v>7.1</v>
      </c>
      <c r="C67" s="687">
        <f t="shared" si="2"/>
        <v>0.10000000000000053</v>
      </c>
      <c r="D67" s="688">
        <f t="shared" si="3"/>
        <v>1.3888888888888963E-2</v>
      </c>
      <c r="E67" s="638"/>
      <c r="F67" s="639"/>
      <c r="G67" s="283"/>
      <c r="H67" s="685"/>
      <c r="I67" s="686"/>
      <c r="J67" s="686"/>
      <c r="K67" s="686">
        <f>K66*100</f>
        <v>-1.8626929217668973</v>
      </c>
      <c r="L67" s="686"/>
      <c r="M67" s="689"/>
      <c r="N67" s="283"/>
      <c r="O67" s="283"/>
      <c r="P67" s="283"/>
      <c r="Q67" s="283"/>
      <c r="R67" s="283"/>
      <c r="S67" s="283"/>
      <c r="T67" s="283"/>
      <c r="U67" s="283"/>
      <c r="V67" s="283"/>
      <c r="W67" s="283"/>
      <c r="X67" s="283"/>
      <c r="Y67" s="283"/>
      <c r="Z67" s="283"/>
    </row>
    <row r="68" spans="1:26" ht="15.75" customHeight="1" x14ac:dyDescent="0.25">
      <c r="A68" s="283"/>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row>
    <row r="69" spans="1:26" ht="15.75" customHeight="1" x14ac:dyDescent="0.25">
      <c r="A69" s="660" t="s">
        <v>504</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row>
    <row r="70" spans="1:26" ht="15.75" customHeight="1" x14ac:dyDescent="0.25">
      <c r="A70" s="690" t="s">
        <v>505</v>
      </c>
      <c r="B70" s="644">
        <v>4825</v>
      </c>
      <c r="C70" s="644" t="s">
        <v>506</v>
      </c>
      <c r="D70" s="644" t="s">
        <v>507</v>
      </c>
      <c r="E70" s="644"/>
      <c r="F70" s="673"/>
      <c r="G70" s="283"/>
      <c r="H70" s="283"/>
      <c r="I70" s="283"/>
      <c r="J70" s="283"/>
      <c r="K70" s="283"/>
      <c r="L70" s="283"/>
      <c r="M70" s="283"/>
      <c r="N70" s="283"/>
      <c r="O70" s="283"/>
      <c r="P70" s="283"/>
      <c r="Q70" s="283"/>
      <c r="R70" s="283"/>
      <c r="S70" s="283"/>
      <c r="T70" s="283"/>
      <c r="U70" s="283"/>
      <c r="V70" s="283"/>
      <c r="W70" s="283"/>
      <c r="X70" s="283"/>
      <c r="Y70" s="283"/>
      <c r="Z70" s="283"/>
    </row>
    <row r="71" spans="1:26" ht="15.75" customHeight="1" x14ac:dyDescent="0.25">
      <c r="A71" s="691" t="s">
        <v>508</v>
      </c>
      <c r="B71" s="638">
        <v>6950</v>
      </c>
      <c r="C71" s="692">
        <f>SUM(B70:B71)</f>
        <v>11775</v>
      </c>
      <c r="D71" s="693" t="s">
        <v>509</v>
      </c>
      <c r="E71" s="638"/>
      <c r="F71" s="639"/>
      <c r="G71" s="283"/>
      <c r="H71" s="283"/>
      <c r="I71" s="283"/>
      <c r="J71" s="283"/>
      <c r="K71" s="283"/>
      <c r="L71" s="283"/>
      <c r="M71" s="283"/>
      <c r="N71" s="283"/>
      <c r="O71" s="283"/>
      <c r="P71" s="283"/>
      <c r="Q71" s="283"/>
      <c r="R71" s="283"/>
      <c r="S71" s="283"/>
      <c r="T71" s="283"/>
      <c r="U71" s="283"/>
      <c r="V71" s="283"/>
      <c r="W71" s="283"/>
      <c r="X71" s="283"/>
      <c r="Y71" s="283"/>
      <c r="Z71" s="283"/>
    </row>
    <row r="72" spans="1:26" ht="15.75" customHeight="1" x14ac:dyDescent="0.25">
      <c r="A72" s="660" t="s">
        <v>510</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row>
    <row r="73" spans="1:26" ht="15.75" customHeight="1" x14ac:dyDescent="0.25">
      <c r="A73" s="635" t="s">
        <v>511</v>
      </c>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row>
    <row r="74" spans="1:26" ht="15.75" customHeight="1" x14ac:dyDescent="0.25">
      <c r="A74" s="694" t="s">
        <v>512</v>
      </c>
      <c r="B74" s="695">
        <f>C74-1</f>
        <v>0.22222222222222232</v>
      </c>
      <c r="C74" s="696">
        <f>55/45</f>
        <v>1.2222222222222223</v>
      </c>
      <c r="D74" s="644"/>
      <c r="E74" s="673"/>
      <c r="F74" s="283"/>
      <c r="G74" s="283"/>
      <c r="H74" s="283"/>
      <c r="I74" s="283"/>
      <c r="J74" s="283"/>
      <c r="K74" s="283"/>
      <c r="L74" s="283"/>
      <c r="M74" s="283"/>
      <c r="N74" s="283"/>
      <c r="O74" s="283"/>
      <c r="P74" s="283"/>
      <c r="Q74" s="283"/>
      <c r="R74" s="283"/>
      <c r="S74" s="283"/>
      <c r="T74" s="283"/>
      <c r="U74" s="283"/>
      <c r="V74" s="283"/>
      <c r="W74" s="283"/>
      <c r="X74" s="283"/>
      <c r="Y74" s="283"/>
      <c r="Z74" s="283"/>
    </row>
    <row r="75" spans="1:26" ht="15.75" customHeight="1" x14ac:dyDescent="0.25">
      <c r="A75" s="697" t="s">
        <v>513</v>
      </c>
      <c r="B75" s="695">
        <f>B74/2</f>
        <v>0.11111111111111116</v>
      </c>
      <c r="C75" s="638"/>
      <c r="D75" s="624" t="s">
        <v>514</v>
      </c>
      <c r="E75" s="698">
        <f>B74*(1+H89)</f>
        <v>0.31111111111111123</v>
      </c>
      <c r="F75" s="283"/>
      <c r="G75" s="283"/>
      <c r="H75" s="283"/>
      <c r="I75" s="283"/>
      <c r="J75" s="283"/>
      <c r="K75" s="283"/>
      <c r="L75" s="283"/>
      <c r="M75" s="283"/>
      <c r="N75" s="283"/>
      <c r="O75" s="283"/>
      <c r="P75" s="283"/>
      <c r="Q75" s="283"/>
      <c r="R75" s="283"/>
      <c r="S75" s="283"/>
      <c r="T75" s="283"/>
      <c r="U75" s="283"/>
      <c r="V75" s="283"/>
      <c r="W75" s="283"/>
      <c r="X75" s="283"/>
      <c r="Y75" s="283"/>
      <c r="Z75" s="283"/>
    </row>
    <row r="76" spans="1:26" ht="15.75" customHeight="1" x14ac:dyDescent="0.25">
      <c r="A76" s="283"/>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row>
    <row r="77" spans="1:26" ht="15.75" customHeight="1" x14ac:dyDescent="0.25">
      <c r="A77" s="699" t="s">
        <v>515</v>
      </c>
      <c r="B77" s="283"/>
      <c r="C77" s="283"/>
      <c r="D77" s="283"/>
      <c r="E77" s="283"/>
      <c r="F77" s="283"/>
      <c r="G77" s="283"/>
      <c r="H77" s="283"/>
      <c r="I77" s="283"/>
      <c r="J77" s="283"/>
      <c r="K77" s="283"/>
      <c r="L77" s="283"/>
      <c r="M77" s="283"/>
      <c r="N77" s="283"/>
      <c r="O77" s="283"/>
      <c r="P77" s="283"/>
      <c r="Q77" s="283"/>
      <c r="R77" s="283"/>
      <c r="S77" s="283"/>
      <c r="T77" s="283"/>
      <c r="U77" s="283"/>
      <c r="V77" s="283"/>
      <c r="W77" s="283"/>
      <c r="X77" s="283"/>
      <c r="Y77" s="283"/>
      <c r="Z77" s="283"/>
    </row>
    <row r="78" spans="1:26" ht="15.75" customHeight="1" x14ac:dyDescent="0.25">
      <c r="A78" s="635" t="s">
        <v>511</v>
      </c>
      <c r="B78" s="283"/>
      <c r="C78" s="700" t="s">
        <v>516</v>
      </c>
      <c r="D78" s="283"/>
      <c r="E78" s="283"/>
      <c r="F78" s="283"/>
      <c r="G78" s="283"/>
      <c r="H78" s="283"/>
      <c r="I78" s="283"/>
      <c r="J78" s="283"/>
      <c r="K78" s="283"/>
      <c r="L78" s="283"/>
      <c r="M78" s="283"/>
      <c r="N78" s="283"/>
      <c r="O78" s="283"/>
      <c r="P78" s="283"/>
      <c r="Q78" s="283"/>
      <c r="R78" s="283"/>
      <c r="S78" s="283"/>
      <c r="T78" s="283"/>
      <c r="U78" s="283"/>
      <c r="V78" s="283"/>
      <c r="W78" s="283"/>
      <c r="X78" s="283"/>
      <c r="Y78" s="283"/>
      <c r="Z78" s="283"/>
    </row>
    <row r="79" spans="1:26" ht="15.75" customHeight="1" x14ac:dyDescent="0.25">
      <c r="A79" s="701" t="s">
        <v>517</v>
      </c>
      <c r="B79" s="624"/>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row>
    <row r="80" spans="1:26" ht="15.75" customHeight="1" x14ac:dyDescent="0.25">
      <c r="A80" s="702" t="s">
        <v>518</v>
      </c>
      <c r="B80" s="703">
        <v>61937</v>
      </c>
      <c r="D80" s="283"/>
      <c r="E80" s="283"/>
      <c r="F80" s="283"/>
      <c r="G80" s="283"/>
      <c r="H80" s="283"/>
      <c r="I80" s="283"/>
      <c r="J80" s="283"/>
      <c r="K80" s="283"/>
      <c r="L80" s="283"/>
      <c r="M80" s="283"/>
      <c r="N80" s="283"/>
      <c r="O80" s="283"/>
      <c r="P80" s="283"/>
      <c r="Q80" s="283"/>
      <c r="R80" s="283"/>
      <c r="S80" s="283"/>
      <c r="T80" s="283"/>
      <c r="U80" s="283"/>
      <c r="V80" s="283"/>
      <c r="W80" s="283"/>
      <c r="X80" s="283"/>
      <c r="Y80" s="283"/>
      <c r="Z80" s="283"/>
    </row>
    <row r="81" spans="1:26" ht="15.75" customHeight="1" x14ac:dyDescent="0.25">
      <c r="A81" s="702" t="s">
        <v>519</v>
      </c>
      <c r="B81" s="704">
        <f>0.5*B80</f>
        <v>30968.5</v>
      </c>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row>
    <row r="82" spans="1:26" ht="15.75" customHeight="1" x14ac:dyDescent="0.25">
      <c r="A82" s="705" t="s">
        <v>520</v>
      </c>
      <c r="B82" s="706">
        <f>B81/2080</f>
        <v>14.888701923076923</v>
      </c>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row>
    <row r="83" spans="1:26" ht="15.75" customHeight="1" x14ac:dyDescent="0.25">
      <c r="A83" s="707" t="s">
        <v>521</v>
      </c>
      <c r="B83" s="708">
        <v>1.67</v>
      </c>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row>
    <row r="84" spans="1:26" ht="15.75" customHeight="1" x14ac:dyDescent="0.25">
      <c r="A84" s="283"/>
      <c r="B84" s="283"/>
      <c r="C84" s="283"/>
      <c r="D84" s="283"/>
      <c r="E84" s="283"/>
      <c r="F84" s="283"/>
      <c r="G84" s="283"/>
      <c r="H84" s="283"/>
      <c r="I84" s="283"/>
      <c r="J84" s="283"/>
      <c r="K84" s="283"/>
      <c r="L84" s="283"/>
      <c r="M84" s="283"/>
      <c r="N84" s="283"/>
      <c r="O84" s="283"/>
      <c r="P84" s="283"/>
      <c r="Q84" s="283"/>
      <c r="R84" s="283"/>
      <c r="S84" s="283"/>
      <c r="T84" s="283"/>
      <c r="U84" s="283"/>
      <c r="V84" s="283"/>
      <c r="W84" s="283"/>
      <c r="X84" s="283"/>
      <c r="Y84" s="283"/>
      <c r="Z84" s="283"/>
    </row>
    <row r="85" spans="1:26" ht="15.75" customHeight="1" x14ac:dyDescent="0.25">
      <c r="A85" s="781" t="s">
        <v>522</v>
      </c>
      <c r="B85" s="782" t="s">
        <v>523</v>
      </c>
      <c r="C85" s="738"/>
      <c r="D85" s="739"/>
      <c r="E85" s="782" t="s">
        <v>524</v>
      </c>
      <c r="F85" s="738"/>
      <c r="G85" s="739"/>
      <c r="H85" s="283"/>
      <c r="I85" s="283"/>
      <c r="J85" s="283"/>
      <c r="K85" s="283"/>
      <c r="L85" s="283"/>
      <c r="M85" s="283"/>
      <c r="N85" s="283"/>
      <c r="O85" s="283"/>
      <c r="P85" s="283"/>
      <c r="Q85" s="283"/>
      <c r="R85" s="283"/>
      <c r="S85" s="283"/>
      <c r="T85" s="283"/>
      <c r="U85" s="283"/>
      <c r="V85" s="283"/>
      <c r="W85" s="283"/>
      <c r="X85" s="283"/>
      <c r="Y85" s="283"/>
      <c r="Z85" s="283"/>
    </row>
    <row r="86" spans="1:26" ht="15.75" customHeight="1" x14ac:dyDescent="0.25">
      <c r="A86" s="740"/>
      <c r="B86" s="709" t="s">
        <v>525</v>
      </c>
      <c r="C86" s="709" t="s">
        <v>526</v>
      </c>
      <c r="D86" s="709" t="s">
        <v>527</v>
      </c>
      <c r="E86" s="709" t="s">
        <v>525</v>
      </c>
      <c r="F86" s="709" t="s">
        <v>526</v>
      </c>
      <c r="G86" s="709" t="s">
        <v>527</v>
      </c>
      <c r="H86" s="283"/>
      <c r="I86" s="283"/>
      <c r="J86" s="283"/>
      <c r="K86" s="283"/>
      <c r="L86" s="283"/>
      <c r="M86" s="283"/>
      <c r="N86" s="283"/>
      <c r="O86" s="283"/>
      <c r="P86" s="283"/>
      <c r="Q86" s="283"/>
      <c r="R86" s="283"/>
      <c r="S86" s="283"/>
      <c r="T86" s="283"/>
      <c r="U86" s="283"/>
      <c r="V86" s="283"/>
      <c r="W86" s="283"/>
      <c r="X86" s="283"/>
      <c r="Y86" s="283"/>
      <c r="Z86" s="283"/>
    </row>
    <row r="87" spans="1:26" ht="15.75" customHeight="1" x14ac:dyDescent="0.25">
      <c r="A87" s="709">
        <v>0</v>
      </c>
      <c r="B87" s="710">
        <v>0</v>
      </c>
      <c r="C87" s="710">
        <v>0</v>
      </c>
      <c r="D87" s="710">
        <v>0</v>
      </c>
      <c r="E87" s="711">
        <v>0</v>
      </c>
      <c r="F87" s="711">
        <v>0</v>
      </c>
      <c r="G87" s="711">
        <v>0</v>
      </c>
      <c r="H87" s="283"/>
      <c r="I87" s="283"/>
      <c r="J87" s="283"/>
      <c r="K87" s="283"/>
      <c r="L87" s="283"/>
      <c r="M87" s="283"/>
      <c r="N87" s="283"/>
      <c r="O87" s="283"/>
      <c r="P87" s="283"/>
      <c r="Q87" s="283"/>
      <c r="R87" s="283"/>
      <c r="S87" s="283"/>
      <c r="T87" s="283"/>
      <c r="U87" s="283"/>
      <c r="V87" s="283"/>
      <c r="W87" s="283"/>
      <c r="X87" s="283"/>
      <c r="Y87" s="283"/>
      <c r="Z87" s="283"/>
    </row>
    <row r="88" spans="1:26" ht="15.75" customHeight="1" x14ac:dyDescent="0.25">
      <c r="A88" s="709">
        <v>5</v>
      </c>
      <c r="B88" s="710">
        <v>1.02</v>
      </c>
      <c r="C88" s="710">
        <v>0.73</v>
      </c>
      <c r="D88" s="710">
        <v>1.1000000000000001</v>
      </c>
      <c r="E88" s="711">
        <v>3.66</v>
      </c>
      <c r="F88" s="711">
        <v>12.53</v>
      </c>
      <c r="G88" s="711">
        <v>45.53</v>
      </c>
      <c r="H88" s="283"/>
      <c r="I88" s="283"/>
      <c r="J88" s="283"/>
      <c r="K88" s="283"/>
      <c r="L88" s="283"/>
      <c r="M88" s="283"/>
      <c r="N88" s="283"/>
      <c r="O88" s="283"/>
      <c r="P88" s="283"/>
      <c r="Q88" s="283"/>
      <c r="R88" s="283"/>
      <c r="S88" s="283"/>
      <c r="T88" s="283"/>
      <c r="U88" s="283"/>
      <c r="V88" s="283"/>
      <c r="W88" s="283"/>
      <c r="X88" s="283"/>
      <c r="Y88" s="283"/>
      <c r="Z88" s="283"/>
    </row>
    <row r="89" spans="1:26" ht="15.75" customHeight="1" x14ac:dyDescent="0.25">
      <c r="A89" s="712">
        <v>10</v>
      </c>
      <c r="B89" s="710">
        <v>1.51</v>
      </c>
      <c r="C89" s="710">
        <v>1.47</v>
      </c>
      <c r="D89" s="710">
        <v>2.27</v>
      </c>
      <c r="E89" s="711">
        <v>11.96</v>
      </c>
      <c r="F89" s="711">
        <v>28.06</v>
      </c>
      <c r="G89" s="711">
        <v>104.95</v>
      </c>
      <c r="H89" s="283">
        <v>0.4</v>
      </c>
      <c r="I89" s="283"/>
      <c r="J89" s="283"/>
      <c r="K89" s="283"/>
      <c r="L89" s="283"/>
      <c r="M89" s="283"/>
      <c r="N89" s="283"/>
      <c r="O89" s="283"/>
      <c r="P89" s="283"/>
      <c r="Q89" s="283"/>
      <c r="R89" s="283"/>
      <c r="S89" s="283"/>
      <c r="T89" s="283"/>
      <c r="U89" s="283"/>
      <c r="V89" s="283"/>
      <c r="W89" s="283"/>
      <c r="X89" s="283"/>
      <c r="Y89" s="283"/>
      <c r="Z89" s="283"/>
    </row>
    <row r="90" spans="1:26" ht="15.75" customHeight="1" x14ac:dyDescent="0.25">
      <c r="A90" s="709">
        <v>15</v>
      </c>
      <c r="B90" s="710">
        <v>2</v>
      </c>
      <c r="C90" s="710">
        <v>2.2000000000000002</v>
      </c>
      <c r="D90" s="710">
        <v>3.48</v>
      </c>
      <c r="E90" s="711">
        <v>20.53</v>
      </c>
      <c r="F90" s="711">
        <v>45.9</v>
      </c>
      <c r="G90" s="711">
        <v>176.02</v>
      </c>
      <c r="H90" s="283"/>
      <c r="I90" s="283"/>
      <c r="J90" s="283"/>
      <c r="K90" s="283"/>
      <c r="L90" s="283"/>
      <c r="M90" s="283"/>
      <c r="N90" s="283"/>
      <c r="O90" s="283"/>
      <c r="P90" s="283"/>
      <c r="Q90" s="283"/>
      <c r="R90" s="283"/>
      <c r="S90" s="283"/>
      <c r="T90" s="283"/>
      <c r="U90" s="283"/>
      <c r="V90" s="283"/>
      <c r="W90" s="283"/>
      <c r="X90" s="283"/>
      <c r="Y90" s="283"/>
      <c r="Z90" s="283"/>
    </row>
    <row r="91" spans="1:26" ht="15.75" customHeight="1" x14ac:dyDescent="0.25">
      <c r="A91" s="709">
        <v>20</v>
      </c>
      <c r="B91" s="710">
        <v>2.4900000000000002</v>
      </c>
      <c r="C91" s="710">
        <v>2.93</v>
      </c>
      <c r="D91" s="710">
        <v>4.76</v>
      </c>
      <c r="E91" s="711">
        <v>29.44</v>
      </c>
      <c r="F91" s="711">
        <v>65.55</v>
      </c>
      <c r="G91" s="711">
        <v>257.39999999999998</v>
      </c>
      <c r="H91" s="283"/>
      <c r="I91" s="283"/>
      <c r="J91" s="283"/>
      <c r="K91" s="283"/>
      <c r="L91" s="283"/>
      <c r="M91" s="283"/>
      <c r="N91" s="283"/>
      <c r="O91" s="283"/>
      <c r="P91" s="283"/>
      <c r="Q91" s="283"/>
      <c r="R91" s="283"/>
      <c r="S91" s="283"/>
      <c r="T91" s="283"/>
      <c r="U91" s="283"/>
      <c r="V91" s="283"/>
      <c r="W91" s="283"/>
      <c r="X91" s="283"/>
      <c r="Y91" s="283"/>
      <c r="Z91" s="283"/>
    </row>
    <row r="92" spans="1:26" ht="15.75" customHeight="1" x14ac:dyDescent="0.25">
      <c r="A92" s="712">
        <v>25</v>
      </c>
      <c r="B92" s="710">
        <v>2.98</v>
      </c>
      <c r="C92" s="710">
        <v>3.67</v>
      </c>
      <c r="D92" s="710">
        <v>6.1</v>
      </c>
      <c r="E92" s="711">
        <v>38.83</v>
      </c>
      <c r="F92" s="711">
        <v>86.64</v>
      </c>
      <c r="G92" s="711">
        <v>347.44</v>
      </c>
      <c r="H92" s="283"/>
      <c r="I92" s="283"/>
      <c r="J92" s="283"/>
      <c r="K92" s="283"/>
      <c r="L92" s="283"/>
      <c r="M92" s="283"/>
      <c r="N92" s="283"/>
      <c r="O92" s="283"/>
      <c r="P92" s="283"/>
      <c r="Q92" s="283"/>
      <c r="R92" s="283"/>
      <c r="S92" s="283"/>
      <c r="T92" s="283"/>
      <c r="U92" s="283"/>
      <c r="V92" s="283"/>
      <c r="W92" s="283"/>
      <c r="X92" s="283"/>
      <c r="Y92" s="283"/>
      <c r="Z92" s="283"/>
    </row>
    <row r="93" spans="1:26" ht="15.75" customHeight="1" x14ac:dyDescent="0.25">
      <c r="A93" s="709">
        <v>30</v>
      </c>
      <c r="B93" s="710">
        <v>3.46</v>
      </c>
      <c r="C93" s="710">
        <v>4.4000000000000004</v>
      </c>
      <c r="D93" s="710">
        <v>7.56</v>
      </c>
      <c r="E93" s="711">
        <v>48.89</v>
      </c>
      <c r="F93" s="711">
        <v>108.66</v>
      </c>
      <c r="G93" s="711">
        <v>444.5</v>
      </c>
      <c r="H93" s="283"/>
      <c r="I93" s="283"/>
      <c r="J93" s="283"/>
      <c r="K93" s="283"/>
      <c r="L93" s="283"/>
      <c r="M93" s="283"/>
      <c r="N93" s="283"/>
      <c r="O93" s="283"/>
      <c r="P93" s="283"/>
      <c r="Q93" s="283"/>
      <c r="R93" s="283"/>
      <c r="S93" s="283"/>
      <c r="T93" s="283"/>
      <c r="U93" s="283"/>
      <c r="V93" s="283"/>
      <c r="W93" s="283"/>
      <c r="X93" s="283"/>
      <c r="Y93" s="283"/>
      <c r="Z93" s="283"/>
    </row>
    <row r="94" spans="1:26" ht="15.75" customHeight="1" x14ac:dyDescent="0.25">
      <c r="A94" s="709">
        <v>35</v>
      </c>
      <c r="B94" s="710">
        <v>3.94</v>
      </c>
      <c r="C94" s="710">
        <v>5.13</v>
      </c>
      <c r="D94" s="710">
        <v>9.19</v>
      </c>
      <c r="E94" s="711">
        <v>59.67</v>
      </c>
      <c r="F94" s="711">
        <v>131.21</v>
      </c>
      <c r="G94" s="711">
        <v>546.92999999999995</v>
      </c>
      <c r="H94" s="283"/>
      <c r="I94" s="283"/>
      <c r="J94" s="283"/>
      <c r="K94" s="283"/>
      <c r="L94" s="283"/>
      <c r="M94" s="283"/>
      <c r="N94" s="283"/>
      <c r="O94" s="283"/>
      <c r="P94" s="283"/>
      <c r="Q94" s="283"/>
      <c r="R94" s="283"/>
      <c r="S94" s="283"/>
      <c r="T94" s="283"/>
      <c r="U94" s="283"/>
      <c r="V94" s="283"/>
      <c r="W94" s="283"/>
      <c r="X94" s="283"/>
      <c r="Y94" s="283"/>
      <c r="Z94" s="283"/>
    </row>
    <row r="95" spans="1:26" ht="15.75" customHeight="1" x14ac:dyDescent="0.25">
      <c r="A95" s="283"/>
      <c r="B95" s="283"/>
      <c r="C95" s="283"/>
      <c r="D95" s="283"/>
      <c r="E95" s="410"/>
      <c r="F95" s="410"/>
      <c r="G95" s="283"/>
      <c r="H95" s="283"/>
      <c r="I95" s="283"/>
      <c r="J95" s="283"/>
      <c r="K95" s="283"/>
      <c r="L95" s="283"/>
      <c r="M95" s="283"/>
      <c r="N95" s="283"/>
      <c r="O95" s="283"/>
      <c r="P95" s="283"/>
      <c r="Q95" s="283"/>
      <c r="R95" s="283"/>
      <c r="S95" s="283"/>
      <c r="T95" s="283"/>
      <c r="U95" s="283"/>
      <c r="V95" s="283"/>
      <c r="W95" s="283"/>
      <c r="X95" s="283"/>
      <c r="Y95" s="283"/>
      <c r="Z95" s="283"/>
    </row>
    <row r="96" spans="1:26" ht="15.75" customHeight="1" x14ac:dyDescent="0.25">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row>
    <row r="97" spans="1:26" ht="15.75" customHeight="1" x14ac:dyDescent="0.25">
      <c r="A97" s="660" t="s">
        <v>528</v>
      </c>
      <c r="B97" s="283"/>
      <c r="C97" s="283"/>
      <c r="D97" s="283"/>
      <c r="E97" s="283"/>
      <c r="F97" s="283"/>
      <c r="G97" s="283"/>
      <c r="H97" s="283"/>
      <c r="I97" s="283"/>
      <c r="J97" s="283"/>
      <c r="K97" s="283"/>
      <c r="L97" s="283"/>
      <c r="M97" s="283"/>
      <c r="N97" s="283"/>
      <c r="O97" s="283"/>
      <c r="P97" s="283"/>
      <c r="Q97" s="283"/>
      <c r="R97" s="283"/>
      <c r="S97" s="283"/>
      <c r="T97" s="283"/>
      <c r="U97" s="283"/>
      <c r="V97" s="283"/>
      <c r="W97" s="283"/>
      <c r="X97" s="283"/>
      <c r="Y97" s="283"/>
      <c r="Z97" s="283"/>
    </row>
    <row r="98" spans="1:26" ht="15.75" customHeight="1" x14ac:dyDescent="0.25">
      <c r="A98" s="635" t="s">
        <v>529</v>
      </c>
      <c r="B98" s="283"/>
      <c r="C98" s="283"/>
      <c r="D98" s="283"/>
      <c r="E98" s="283"/>
      <c r="F98" s="283"/>
      <c r="G98" s="283"/>
      <c r="H98" s="283"/>
      <c r="I98" s="283"/>
      <c r="J98" s="283"/>
      <c r="K98" s="283"/>
      <c r="L98" s="283"/>
      <c r="M98" s="283"/>
      <c r="N98" s="283"/>
      <c r="O98" s="283"/>
      <c r="P98" s="283"/>
      <c r="Q98" s="283"/>
      <c r="R98" s="283"/>
      <c r="S98" s="283"/>
      <c r="T98" s="283"/>
      <c r="U98" s="283"/>
      <c r="V98" s="283"/>
      <c r="W98" s="283"/>
      <c r="X98" s="283"/>
      <c r="Y98" s="283"/>
      <c r="Z98" s="283"/>
    </row>
    <row r="99" spans="1:26" ht="15.75" customHeight="1" x14ac:dyDescent="0.25">
      <c r="A99" s="701" t="s">
        <v>530</v>
      </c>
      <c r="B99" s="624"/>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row>
    <row r="100" spans="1:26" ht="15.75" customHeight="1" x14ac:dyDescent="0.25">
      <c r="A100" s="702" t="s">
        <v>518</v>
      </c>
      <c r="B100" s="703">
        <v>61937</v>
      </c>
      <c r="C100" s="283"/>
      <c r="D100" s="283"/>
      <c r="E100" s="283"/>
      <c r="F100" s="283"/>
      <c r="G100" s="283"/>
      <c r="H100" s="283"/>
      <c r="I100" s="283"/>
      <c r="J100" s="283"/>
      <c r="K100" s="283"/>
      <c r="L100" s="283"/>
      <c r="M100" s="283"/>
      <c r="N100" s="283"/>
      <c r="O100" s="283"/>
      <c r="P100" s="283"/>
      <c r="Q100" s="283"/>
      <c r="R100" s="283"/>
      <c r="S100" s="283"/>
      <c r="T100" s="283"/>
      <c r="U100" s="283"/>
      <c r="V100" s="283"/>
      <c r="W100" s="283"/>
      <c r="X100" s="283"/>
      <c r="Y100" s="283"/>
      <c r="Z100" s="283"/>
    </row>
    <row r="101" spans="1:26" ht="15.75" customHeight="1" x14ac:dyDescent="0.25">
      <c r="A101" s="702" t="s">
        <v>531</v>
      </c>
      <c r="B101" s="704">
        <f>0.25*B100</f>
        <v>15484.25</v>
      </c>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row>
    <row r="102" spans="1:26" ht="15.75" customHeight="1" x14ac:dyDescent="0.25">
      <c r="A102" s="713" t="s">
        <v>520</v>
      </c>
      <c r="B102" s="714">
        <f>B101/2080</f>
        <v>7.4443509615384613</v>
      </c>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row>
    <row r="103" spans="1:26" ht="15.75" customHeight="1" x14ac:dyDescent="0.25">
      <c r="A103" s="283"/>
      <c r="B103" s="283"/>
      <c r="C103" s="283"/>
      <c r="D103" s="283"/>
      <c r="E103" s="283"/>
      <c r="F103" s="283"/>
      <c r="G103" s="283"/>
      <c r="H103" s="283"/>
      <c r="I103" s="283"/>
      <c r="J103" s="283"/>
      <c r="K103" s="283"/>
      <c r="L103" s="283"/>
      <c r="M103" s="283"/>
      <c r="N103" s="283"/>
      <c r="O103" s="283"/>
      <c r="P103" s="283"/>
      <c r="Q103" s="283"/>
      <c r="R103" s="283"/>
      <c r="S103" s="283"/>
      <c r="T103" s="283"/>
      <c r="U103" s="283"/>
      <c r="V103" s="283"/>
      <c r="W103" s="283"/>
      <c r="X103" s="283"/>
      <c r="Y103" s="283"/>
      <c r="Z103" s="283"/>
    </row>
    <row r="104" spans="1:26" ht="15.75" customHeight="1" x14ac:dyDescent="0.25">
      <c r="A104" s="715" t="s">
        <v>532</v>
      </c>
      <c r="B104" s="644">
        <v>1.25</v>
      </c>
      <c r="C104" s="716" t="s">
        <v>529</v>
      </c>
      <c r="D104" s="67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row>
    <row r="105" spans="1:26" ht="15.75" customHeight="1" x14ac:dyDescent="0.25">
      <c r="A105" s="697" t="s">
        <v>533</v>
      </c>
      <c r="B105" s="638">
        <v>1.56</v>
      </c>
      <c r="C105" s="693" t="s">
        <v>534</v>
      </c>
      <c r="D105" s="639"/>
      <c r="E105" s="283"/>
      <c r="F105" s="283"/>
      <c r="G105" s="283"/>
      <c r="H105" s="283"/>
      <c r="I105" s="283"/>
      <c r="J105" s="283"/>
      <c r="K105" s="283"/>
      <c r="L105" s="283"/>
      <c r="M105" s="283"/>
      <c r="N105" s="283"/>
      <c r="O105" s="283"/>
      <c r="P105" s="283"/>
      <c r="Q105" s="283"/>
      <c r="R105" s="283"/>
      <c r="S105" s="283"/>
      <c r="T105" s="283"/>
      <c r="U105" s="283"/>
      <c r="V105" s="283"/>
      <c r="W105" s="283"/>
      <c r="X105" s="283"/>
      <c r="Y105" s="283"/>
      <c r="Z105" s="283"/>
    </row>
    <row r="106" spans="1:26" ht="15.75" customHeight="1" x14ac:dyDescent="0.25">
      <c r="A106" s="717"/>
      <c r="B106" s="283"/>
      <c r="C106" s="283"/>
      <c r="D106" s="283"/>
      <c r="E106" s="283"/>
      <c r="F106" s="283"/>
      <c r="G106" s="283"/>
      <c r="H106" s="283"/>
      <c r="I106" s="283"/>
      <c r="J106" s="283"/>
      <c r="K106" s="283"/>
      <c r="L106" s="283"/>
      <c r="M106" s="283"/>
      <c r="N106" s="283"/>
      <c r="O106" s="283"/>
      <c r="P106" s="283"/>
      <c r="Q106" s="283"/>
      <c r="R106" s="283"/>
      <c r="S106" s="283"/>
      <c r="T106" s="283"/>
      <c r="U106" s="283"/>
      <c r="V106" s="283"/>
      <c r="W106" s="283"/>
      <c r="X106" s="283"/>
      <c r="Y106" s="283"/>
      <c r="Z106" s="283"/>
    </row>
    <row r="107" spans="1:26" ht="15.75" customHeight="1" x14ac:dyDescent="0.25">
      <c r="A107" s="660" t="s">
        <v>535</v>
      </c>
      <c r="B107" s="283"/>
      <c r="C107" s="283"/>
      <c r="D107" s="283"/>
      <c r="E107" s="283"/>
      <c r="F107" s="283"/>
      <c r="G107" s="283"/>
      <c r="H107" s="283"/>
      <c r="I107" s="283"/>
      <c r="J107" s="283"/>
      <c r="K107" s="283"/>
      <c r="L107" s="283"/>
      <c r="M107" s="283"/>
      <c r="N107" s="283"/>
      <c r="O107" s="283"/>
      <c r="P107" s="283"/>
      <c r="Q107" s="283"/>
      <c r="R107" s="283"/>
      <c r="S107" s="283"/>
      <c r="T107" s="283"/>
      <c r="U107" s="283"/>
      <c r="V107" s="283"/>
      <c r="W107" s="283"/>
      <c r="X107" s="283"/>
      <c r="Y107" s="283"/>
      <c r="Z107" s="283"/>
    </row>
    <row r="108" spans="1:26" ht="15.75" customHeight="1" x14ac:dyDescent="0.25">
      <c r="A108" s="701" t="s">
        <v>536</v>
      </c>
      <c r="B108" s="67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row>
    <row r="109" spans="1:26" ht="15.75" customHeight="1" x14ac:dyDescent="0.25">
      <c r="A109" s="702" t="s">
        <v>518</v>
      </c>
      <c r="B109" s="703">
        <v>61937</v>
      </c>
      <c r="C109" s="283"/>
      <c r="D109" s="283"/>
      <c r="E109" s="283"/>
      <c r="F109" s="283"/>
      <c r="G109" s="283"/>
      <c r="H109" s="283"/>
      <c r="I109" s="283"/>
      <c r="J109" s="283"/>
      <c r="K109" s="283"/>
      <c r="L109" s="283"/>
      <c r="M109" s="283"/>
      <c r="N109" s="283"/>
      <c r="O109" s="283"/>
      <c r="P109" s="283"/>
      <c r="Q109" s="283"/>
      <c r="R109" s="283"/>
      <c r="S109" s="283"/>
      <c r="T109" s="283"/>
      <c r="U109" s="283"/>
      <c r="V109" s="283"/>
      <c r="W109" s="283"/>
      <c r="X109" s="283"/>
      <c r="Y109" s="283"/>
      <c r="Z109" s="283"/>
    </row>
    <row r="110" spans="1:26" ht="15.75" customHeight="1" x14ac:dyDescent="0.25">
      <c r="A110" s="702" t="s">
        <v>531</v>
      </c>
      <c r="B110" s="704">
        <f>0.35*B109</f>
        <v>21677.949999999997</v>
      </c>
      <c r="C110" s="283"/>
      <c r="D110" s="283"/>
      <c r="E110" s="283"/>
      <c r="F110" s="283"/>
      <c r="G110" s="283"/>
      <c r="H110" s="283"/>
      <c r="I110" s="283"/>
      <c r="J110" s="283"/>
      <c r="K110" s="283"/>
      <c r="L110" s="283"/>
      <c r="M110" s="283"/>
      <c r="N110" s="283"/>
      <c r="O110" s="283"/>
      <c r="P110" s="283"/>
      <c r="Q110" s="283"/>
      <c r="R110" s="283"/>
      <c r="S110" s="283"/>
      <c r="T110" s="283"/>
      <c r="U110" s="283"/>
      <c r="V110" s="283"/>
      <c r="W110" s="283"/>
      <c r="X110" s="283"/>
      <c r="Y110" s="283"/>
      <c r="Z110" s="283"/>
    </row>
    <row r="111" spans="1:26" ht="15.75" customHeight="1" x14ac:dyDescent="0.25">
      <c r="A111" s="713" t="s">
        <v>520</v>
      </c>
      <c r="B111" s="714">
        <f>B110/2080</f>
        <v>10.422091346153845</v>
      </c>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row>
    <row r="112" spans="1:26" ht="15.75" customHeight="1" x14ac:dyDescent="0.25">
      <c r="A112" s="283"/>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row>
    <row r="113" spans="1:26" ht="15.75" customHeight="1" x14ac:dyDescent="0.25">
      <c r="A113" s="283"/>
      <c r="B113" s="283"/>
      <c r="C113" s="283"/>
      <c r="D113" s="283"/>
      <c r="E113" s="283"/>
      <c r="F113" s="283"/>
      <c r="G113" s="283"/>
      <c r="H113" s="283"/>
      <c r="I113" s="283"/>
      <c r="J113" s="283"/>
      <c r="K113" s="283"/>
      <c r="L113" s="283"/>
      <c r="M113" s="283"/>
      <c r="N113" s="283"/>
      <c r="O113" s="283"/>
      <c r="P113" s="283"/>
      <c r="Q113" s="283"/>
      <c r="R113" s="283"/>
      <c r="S113" s="283"/>
      <c r="T113" s="283"/>
      <c r="U113" s="283"/>
      <c r="V113" s="283"/>
      <c r="W113" s="283"/>
      <c r="X113" s="283"/>
      <c r="Y113" s="283"/>
      <c r="Z113" s="283"/>
    </row>
    <row r="114" spans="1:26" ht="15.75" customHeight="1" x14ac:dyDescent="0.3">
      <c r="A114" s="618" t="s">
        <v>537</v>
      </c>
      <c r="B114" s="618"/>
      <c r="C114" s="618"/>
      <c r="D114" s="619"/>
      <c r="E114" s="619"/>
      <c r="F114" s="619"/>
      <c r="G114" s="619"/>
      <c r="H114" s="619"/>
      <c r="I114" s="619"/>
      <c r="J114" s="619"/>
      <c r="K114" s="619"/>
      <c r="L114" s="619"/>
      <c r="M114" s="619"/>
      <c r="N114" s="619"/>
      <c r="O114" s="619"/>
      <c r="P114" s="619"/>
      <c r="Q114" s="619"/>
      <c r="R114" s="619"/>
      <c r="S114" s="619"/>
      <c r="T114" s="619"/>
      <c r="U114" s="619"/>
      <c r="V114" s="619"/>
      <c r="W114" s="619"/>
      <c r="X114" s="619"/>
      <c r="Y114" s="619"/>
      <c r="Z114" s="619"/>
    </row>
    <row r="115" spans="1:26" ht="15.75" customHeight="1" x14ac:dyDescent="0.25">
      <c r="A115" s="718" t="s">
        <v>538</v>
      </c>
      <c r="B115" s="719" t="s">
        <v>204</v>
      </c>
      <c r="C115" s="720" t="s">
        <v>539</v>
      </c>
      <c r="D115" s="283"/>
      <c r="E115" s="283"/>
      <c r="F115" s="283"/>
      <c r="G115" s="283"/>
      <c r="H115" s="283"/>
      <c r="I115" s="283"/>
      <c r="J115" s="283"/>
      <c r="K115" s="283"/>
      <c r="L115" s="283"/>
      <c r="M115" s="283"/>
      <c r="N115" s="283"/>
      <c r="O115" s="283"/>
      <c r="P115" s="283"/>
      <c r="Q115" s="283"/>
      <c r="R115" s="283"/>
      <c r="S115" s="283"/>
      <c r="T115" s="283"/>
      <c r="U115" s="283"/>
      <c r="V115" s="283"/>
      <c r="W115" s="283"/>
      <c r="X115" s="283"/>
      <c r="Y115" s="283"/>
      <c r="Z115" s="283"/>
    </row>
    <row r="116" spans="1:26" ht="15.75" customHeight="1" x14ac:dyDescent="0.25">
      <c r="A116" s="715" t="s">
        <v>540</v>
      </c>
      <c r="B116" s="644">
        <v>1019.7</v>
      </c>
      <c r="C116" s="721">
        <f t="shared" ref="C116:C119" si="6">(B117-B116)/B117</f>
        <v>0.17726319186703246</v>
      </c>
      <c r="F116" s="283"/>
      <c r="G116" s="283"/>
      <c r="H116" s="283"/>
      <c r="I116" s="283"/>
      <c r="J116" s="283"/>
      <c r="K116" s="283"/>
      <c r="L116" s="283"/>
      <c r="M116" s="283"/>
      <c r="N116" s="283"/>
      <c r="O116" s="283"/>
      <c r="P116" s="283"/>
      <c r="Q116" s="283"/>
      <c r="R116" s="283"/>
      <c r="S116" s="283"/>
      <c r="T116" s="283"/>
      <c r="U116" s="283"/>
      <c r="V116" s="283"/>
      <c r="W116" s="283"/>
      <c r="X116" s="283"/>
      <c r="Y116" s="283"/>
      <c r="Z116" s="283"/>
    </row>
    <row r="117" spans="1:26" ht="15.75" customHeight="1" x14ac:dyDescent="0.25">
      <c r="A117" s="640" t="s">
        <v>541</v>
      </c>
      <c r="B117" s="283">
        <v>1239.4000000000001</v>
      </c>
      <c r="C117" s="654">
        <f t="shared" si="6"/>
        <v>6.1913412049651798E-2</v>
      </c>
      <c r="F117" s="283"/>
      <c r="G117" s="283"/>
      <c r="H117" s="283"/>
      <c r="I117" s="283"/>
      <c r="J117" s="283"/>
      <c r="K117" s="283"/>
      <c r="L117" s="283"/>
      <c r="M117" s="283"/>
      <c r="N117" s="283"/>
      <c r="O117" s="283"/>
      <c r="P117" s="283"/>
      <c r="Q117" s="283"/>
      <c r="R117" s="283"/>
      <c r="S117" s="283"/>
      <c r="T117" s="283"/>
      <c r="U117" s="283"/>
      <c r="V117" s="283"/>
      <c r="W117" s="283"/>
      <c r="X117" s="283"/>
      <c r="Y117" s="283"/>
      <c r="Z117" s="283"/>
    </row>
    <row r="118" spans="1:26" ht="15.75" customHeight="1" x14ac:dyDescent="0.25">
      <c r="A118" s="640" t="s">
        <v>542</v>
      </c>
      <c r="B118" s="283">
        <v>1321.2</v>
      </c>
      <c r="C118" s="654">
        <f t="shared" si="6"/>
        <v>5.2954081246693802E-4</v>
      </c>
      <c r="D118" s="283"/>
      <c r="E118" s="283"/>
      <c r="F118" s="283"/>
      <c r="G118" s="283"/>
      <c r="H118" s="283"/>
      <c r="I118" s="283"/>
      <c r="J118" s="283"/>
      <c r="K118" s="283"/>
      <c r="L118" s="283"/>
      <c r="M118" s="283"/>
      <c r="N118" s="283"/>
      <c r="O118" s="283"/>
      <c r="P118" s="283"/>
      <c r="Q118" s="283"/>
      <c r="R118" s="283"/>
      <c r="S118" s="283"/>
      <c r="T118" s="283"/>
      <c r="U118" s="283"/>
      <c r="V118" s="283"/>
      <c r="W118" s="283"/>
      <c r="X118" s="283"/>
      <c r="Y118" s="283"/>
      <c r="Z118" s="283"/>
    </row>
    <row r="119" spans="1:26" ht="15.75" customHeight="1" x14ac:dyDescent="0.25">
      <c r="A119" s="640" t="s">
        <v>543</v>
      </c>
      <c r="B119" s="283">
        <v>1321.9</v>
      </c>
      <c r="C119" s="654">
        <f t="shared" si="6"/>
        <v>1.586102719033164E-3</v>
      </c>
      <c r="D119" s="283"/>
      <c r="E119" s="283"/>
      <c r="F119" s="283"/>
      <c r="G119" s="283"/>
      <c r="H119" s="283"/>
      <c r="I119" s="283"/>
      <c r="J119" s="283"/>
      <c r="K119" s="283"/>
      <c r="L119" s="283"/>
      <c r="M119" s="283"/>
      <c r="N119" s="283"/>
      <c r="O119" s="283"/>
      <c r="P119" s="283"/>
      <c r="Q119" s="283"/>
      <c r="R119" s="283"/>
      <c r="S119" s="283"/>
      <c r="T119" s="283"/>
      <c r="U119" s="283"/>
      <c r="V119" s="283"/>
      <c r="W119" s="283"/>
      <c r="X119" s="283"/>
      <c r="Y119" s="283"/>
      <c r="Z119" s="283"/>
    </row>
    <row r="120" spans="1:26" ht="15.75" customHeight="1" x14ac:dyDescent="0.25">
      <c r="A120" s="697" t="s">
        <v>544</v>
      </c>
      <c r="B120" s="638">
        <v>1324</v>
      </c>
      <c r="C120" s="639"/>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row>
    <row r="121" spans="1:26" ht="15.75" customHeight="1" x14ac:dyDescent="0.25">
      <c r="A121" s="722" t="s">
        <v>501</v>
      </c>
      <c r="B121" s="312"/>
      <c r="C121" s="723">
        <f>AVERAGE(C116:C119)</f>
        <v>6.0323061862046098E-2</v>
      </c>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row>
    <row r="122" spans="1:26" ht="15.75" customHeight="1" x14ac:dyDescent="0.25">
      <c r="A122" s="96" t="s">
        <v>545</v>
      </c>
      <c r="B122" s="96" t="s">
        <v>204</v>
      </c>
      <c r="C122" s="96" t="s">
        <v>539</v>
      </c>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row>
    <row r="123" spans="1:26" ht="15.75" customHeight="1" x14ac:dyDescent="0.25">
      <c r="A123" s="715" t="s">
        <v>540</v>
      </c>
      <c r="B123" s="644">
        <v>451</v>
      </c>
      <c r="C123" s="721">
        <f t="shared" ref="C123:C126" si="7">(B124-B123)/B123</f>
        <v>1.1086474501108648E-2</v>
      </c>
      <c r="F123" s="283"/>
      <c r="G123" s="283"/>
      <c r="H123" s="283"/>
      <c r="I123" s="283"/>
      <c r="J123" s="283"/>
      <c r="K123" s="283"/>
      <c r="L123" s="283"/>
      <c r="M123" s="283"/>
      <c r="N123" s="283"/>
      <c r="O123" s="283"/>
      <c r="P123" s="283"/>
      <c r="Q123" s="283"/>
      <c r="R123" s="283"/>
      <c r="S123" s="283"/>
      <c r="T123" s="283"/>
      <c r="U123" s="283"/>
      <c r="V123" s="283"/>
      <c r="W123" s="283"/>
      <c r="X123" s="283"/>
      <c r="Y123" s="283"/>
      <c r="Z123" s="283"/>
    </row>
    <row r="124" spans="1:26" ht="15.75" customHeight="1" x14ac:dyDescent="0.25">
      <c r="A124" s="640" t="s">
        <v>541</v>
      </c>
      <c r="B124" s="283">
        <v>456</v>
      </c>
      <c r="C124" s="654">
        <f t="shared" si="7"/>
        <v>8.771929824561403E-2</v>
      </c>
      <c r="F124" s="283"/>
      <c r="G124" s="283"/>
      <c r="H124" s="283"/>
      <c r="I124" s="283"/>
      <c r="J124" s="283"/>
      <c r="K124" s="283"/>
      <c r="L124" s="283"/>
      <c r="M124" s="283"/>
      <c r="N124" s="283"/>
      <c r="O124" s="283"/>
      <c r="P124" s="283"/>
      <c r="Q124" s="283"/>
      <c r="R124" s="283"/>
      <c r="S124" s="283"/>
      <c r="T124" s="283"/>
      <c r="U124" s="283"/>
      <c r="V124" s="283"/>
      <c r="W124" s="283"/>
      <c r="X124" s="283"/>
      <c r="Y124" s="283"/>
      <c r="Z124" s="283"/>
    </row>
    <row r="125" spans="1:26" ht="15.75" customHeight="1" x14ac:dyDescent="0.25">
      <c r="A125" s="640" t="s">
        <v>542</v>
      </c>
      <c r="B125" s="283">
        <v>496</v>
      </c>
      <c r="C125" s="654">
        <f t="shared" si="7"/>
        <v>1.2096774193548387E-2</v>
      </c>
      <c r="E125" s="283"/>
      <c r="F125" s="283"/>
      <c r="G125" s="283"/>
      <c r="H125" s="283"/>
      <c r="I125" s="283"/>
      <c r="J125" s="283"/>
      <c r="K125" s="283"/>
      <c r="L125" s="283"/>
      <c r="M125" s="283"/>
      <c r="N125" s="283"/>
      <c r="O125" s="283"/>
      <c r="P125" s="283"/>
      <c r="Q125" s="283"/>
      <c r="R125" s="283"/>
      <c r="S125" s="283"/>
      <c r="T125" s="283"/>
      <c r="U125" s="283"/>
      <c r="V125" s="283"/>
      <c r="W125" s="283"/>
      <c r="X125" s="283"/>
      <c r="Y125" s="283"/>
      <c r="Z125" s="283"/>
    </row>
    <row r="126" spans="1:26" ht="15.75" customHeight="1" x14ac:dyDescent="0.25">
      <c r="A126" s="640" t="s">
        <v>543</v>
      </c>
      <c r="B126" s="283">
        <v>502</v>
      </c>
      <c r="C126" s="654">
        <f t="shared" si="7"/>
        <v>0</v>
      </c>
      <c r="E126" s="283"/>
      <c r="F126" s="283"/>
      <c r="G126" s="283"/>
      <c r="H126" s="283"/>
      <c r="I126" s="283"/>
      <c r="J126" s="283"/>
      <c r="K126" s="283"/>
      <c r="L126" s="283"/>
      <c r="M126" s="283"/>
      <c r="N126" s="283"/>
      <c r="O126" s="283"/>
      <c r="P126" s="283"/>
      <c r="Q126" s="283"/>
      <c r="R126" s="283"/>
      <c r="S126" s="283"/>
      <c r="T126" s="283"/>
      <c r="U126" s="283"/>
      <c r="V126" s="283"/>
      <c r="W126" s="283"/>
      <c r="X126" s="283"/>
      <c r="Y126" s="283"/>
      <c r="Z126" s="283"/>
    </row>
    <row r="127" spans="1:26" ht="15.75" customHeight="1" x14ac:dyDescent="0.25">
      <c r="A127" s="640" t="s">
        <v>544</v>
      </c>
      <c r="B127" s="283">
        <v>502</v>
      </c>
      <c r="C127" s="654"/>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row>
    <row r="128" spans="1:26" ht="15.75" customHeight="1" x14ac:dyDescent="0.25">
      <c r="A128" s="722" t="s">
        <v>501</v>
      </c>
      <c r="B128" s="724">
        <f>AVERAGE(B123:B127)</f>
        <v>481.4</v>
      </c>
      <c r="C128" s="725">
        <f>AVERAGE(C123:C126)-2.27%</f>
        <v>5.0256367350677671E-3</v>
      </c>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row>
    <row r="129" spans="1:26" ht="15.75" customHeight="1" x14ac:dyDescent="0.25">
      <c r="A129" s="283"/>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row>
    <row r="130" spans="1:26" ht="15.75" customHeight="1" x14ac:dyDescent="0.25">
      <c r="A130" s="283" t="s">
        <v>546</v>
      </c>
      <c r="B130" s="635" t="s">
        <v>547</v>
      </c>
      <c r="C130" s="283"/>
      <c r="D130" s="283"/>
      <c r="E130" s="283"/>
      <c r="F130" s="283"/>
      <c r="G130" s="283"/>
      <c r="H130" s="283"/>
      <c r="I130" s="283"/>
      <c r="J130" s="283"/>
      <c r="K130" s="283"/>
      <c r="L130" s="283"/>
      <c r="M130" s="283"/>
      <c r="N130" s="283"/>
      <c r="O130" s="283"/>
      <c r="P130" s="283"/>
      <c r="Q130" s="283"/>
      <c r="R130" s="283"/>
      <c r="S130" s="283"/>
      <c r="T130" s="283"/>
      <c r="U130" s="283"/>
      <c r="V130" s="283"/>
      <c r="W130" s="283"/>
      <c r="X130" s="283"/>
      <c r="Y130" s="283"/>
      <c r="Z130" s="283"/>
    </row>
    <row r="131" spans="1:26" ht="15.75" customHeight="1" x14ac:dyDescent="0.25">
      <c r="A131" s="410">
        <f>51700/261 * (1 + 2%)^3</f>
        <v>210.20863448275861</v>
      </c>
      <c r="B131" s="283" t="s">
        <v>548</v>
      </c>
      <c r="C131" s="283" t="s">
        <v>549</v>
      </c>
      <c r="D131" s="283"/>
      <c r="E131" s="283"/>
      <c r="F131" s="283"/>
      <c r="G131" s="283"/>
      <c r="H131" s="283"/>
      <c r="I131" s="283"/>
      <c r="J131" s="283"/>
      <c r="K131" s="283"/>
      <c r="L131" s="283"/>
      <c r="M131" s="283"/>
      <c r="N131" s="283"/>
      <c r="O131" s="283"/>
      <c r="P131" s="283"/>
      <c r="Q131" s="283"/>
      <c r="R131" s="283"/>
      <c r="S131" s="283"/>
      <c r="T131" s="283"/>
      <c r="U131" s="283"/>
      <c r="V131" s="283"/>
      <c r="W131" s="283"/>
      <c r="X131" s="283"/>
      <c r="Y131" s="283"/>
      <c r="Z131" s="283"/>
    </row>
    <row r="132" spans="1:26" ht="15.75" customHeight="1" x14ac:dyDescent="0.25">
      <c r="A132" s="410">
        <f>A131/8</f>
        <v>26.276079310344826</v>
      </c>
      <c r="B132" s="283" t="s">
        <v>550</v>
      </c>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row>
    <row r="133" spans="1:26" ht="15.75" customHeight="1" x14ac:dyDescent="0.25">
      <c r="A133" s="410">
        <f>A131*261</f>
        <v>54864.453600000001</v>
      </c>
      <c r="B133" s="283" t="s">
        <v>12</v>
      </c>
      <c r="C133" s="283"/>
      <c r="D133" s="283"/>
      <c r="E133" s="283"/>
      <c r="F133" s="283"/>
      <c r="G133" s="283"/>
      <c r="H133" s="283"/>
      <c r="I133" s="283"/>
      <c r="J133" s="283"/>
      <c r="K133" s="283"/>
      <c r="L133" s="283"/>
      <c r="M133" s="283"/>
      <c r="N133" s="283"/>
      <c r="O133" s="283"/>
      <c r="P133" s="283"/>
      <c r="Q133" s="283"/>
      <c r="R133" s="283"/>
      <c r="S133" s="283"/>
      <c r="T133" s="283"/>
      <c r="U133" s="283"/>
      <c r="V133" s="283"/>
      <c r="W133" s="283"/>
      <c r="X133" s="283"/>
      <c r="Y133" s="283"/>
      <c r="Z133" s="283"/>
    </row>
    <row r="134" spans="1:26" ht="15.75" customHeight="1" x14ac:dyDescent="0.25">
      <c r="A134" s="283" t="s">
        <v>551</v>
      </c>
      <c r="B134" s="283"/>
      <c r="C134" s="283"/>
      <c r="D134" s="283"/>
      <c r="E134" s="283"/>
      <c r="F134" s="283"/>
      <c r="G134" s="283"/>
      <c r="H134" s="283"/>
      <c r="I134" s="283"/>
      <c r="J134" s="283"/>
      <c r="K134" s="283"/>
      <c r="L134" s="283"/>
      <c r="M134" s="283"/>
      <c r="N134" s="283"/>
      <c r="O134" s="283"/>
      <c r="P134" s="283"/>
      <c r="Q134" s="283"/>
      <c r="R134" s="283"/>
      <c r="S134" s="283"/>
      <c r="T134" s="283"/>
      <c r="U134" s="283"/>
      <c r="V134" s="283"/>
      <c r="W134" s="283"/>
      <c r="X134" s="283"/>
      <c r="Y134" s="283"/>
      <c r="Z134" s="283"/>
    </row>
    <row r="135" spans="1:26" ht="15.75" customHeight="1" x14ac:dyDescent="0.25">
      <c r="A135" s="283"/>
      <c r="B135" s="283" t="s">
        <v>552</v>
      </c>
      <c r="C135" s="283" t="s">
        <v>482</v>
      </c>
      <c r="D135" s="283" t="s">
        <v>501</v>
      </c>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row>
    <row r="136" spans="1:26" ht="15.75" customHeight="1" x14ac:dyDescent="0.25">
      <c r="A136" s="283" t="s">
        <v>553</v>
      </c>
      <c r="B136" s="283">
        <v>4.4000000000000004</v>
      </c>
      <c r="C136" s="283"/>
      <c r="D136" s="633">
        <v>0</v>
      </c>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row>
    <row r="137" spans="1:26" ht="15.75" customHeight="1" x14ac:dyDescent="0.25">
      <c r="A137" s="283" t="s">
        <v>554</v>
      </c>
      <c r="B137" s="283">
        <v>5.4</v>
      </c>
      <c r="C137" s="633">
        <f t="shared" ref="C137:C139" si="8">(B137-B136)/B137</f>
        <v>0.18518518518518517</v>
      </c>
      <c r="D137" s="283"/>
      <c r="E137" s="283"/>
      <c r="F137" s="283"/>
      <c r="G137" s="283"/>
      <c r="H137" s="283"/>
      <c r="I137" s="283"/>
      <c r="J137" s="283"/>
      <c r="K137" s="283"/>
      <c r="L137" s="283"/>
      <c r="M137" s="283"/>
      <c r="N137" s="283"/>
      <c r="O137" s="283"/>
      <c r="P137" s="283"/>
      <c r="Q137" s="283"/>
      <c r="R137" s="283"/>
      <c r="S137" s="283"/>
      <c r="T137" s="283"/>
      <c r="U137" s="283"/>
      <c r="V137" s="283"/>
      <c r="W137" s="283"/>
      <c r="X137" s="283"/>
      <c r="Y137" s="283"/>
      <c r="Z137" s="283"/>
    </row>
    <row r="138" spans="1:26" ht="15.75" customHeight="1" x14ac:dyDescent="0.25">
      <c r="A138" s="283" t="s">
        <v>555</v>
      </c>
      <c r="B138" s="283">
        <v>4.7</v>
      </c>
      <c r="C138" s="633">
        <f t="shared" si="8"/>
        <v>-0.14893617021276598</v>
      </c>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row>
    <row r="139" spans="1:26" ht="15.75" customHeight="1" x14ac:dyDescent="0.25">
      <c r="A139" s="283" t="s">
        <v>556</v>
      </c>
      <c r="B139" s="283">
        <v>5.4</v>
      </c>
      <c r="C139" s="633">
        <f t="shared" si="8"/>
        <v>0.12962962962962965</v>
      </c>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row>
    <row r="140" spans="1:26" ht="15.75" customHeight="1" x14ac:dyDescent="0.25">
      <c r="A140" s="283"/>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row>
    <row r="141" spans="1:26" ht="15.75" customHeight="1" x14ac:dyDescent="0.25">
      <c r="A141" s="283"/>
      <c r="B141" s="283" t="s">
        <v>557</v>
      </c>
      <c r="C141" s="283"/>
      <c r="D141" s="283"/>
      <c r="E141" s="283"/>
      <c r="F141" s="283"/>
      <c r="G141" s="283"/>
      <c r="H141" s="283"/>
      <c r="I141" s="283"/>
      <c r="J141" s="283"/>
      <c r="K141" s="283"/>
      <c r="L141" s="283"/>
      <c r="M141" s="283"/>
      <c r="N141" s="283"/>
      <c r="O141" s="283"/>
      <c r="P141" s="283"/>
      <c r="Q141" s="283"/>
      <c r="R141" s="283"/>
      <c r="S141" s="283"/>
      <c r="T141" s="283"/>
      <c r="U141" s="283"/>
      <c r="V141" s="283"/>
      <c r="W141" s="283"/>
      <c r="X141" s="283"/>
      <c r="Y141" s="283"/>
      <c r="Z141" s="283"/>
    </row>
    <row r="142" spans="1:26" ht="15.75" customHeight="1" x14ac:dyDescent="0.25">
      <c r="A142" s="283"/>
      <c r="B142" s="283" t="s">
        <v>248</v>
      </c>
      <c r="C142" s="283"/>
      <c r="D142" s="283"/>
      <c r="E142" s="283"/>
      <c r="F142" s="283"/>
      <c r="G142" s="283"/>
      <c r="H142" s="283"/>
      <c r="I142" s="283"/>
      <c r="J142" s="283"/>
      <c r="K142" s="283"/>
      <c r="L142" s="283"/>
      <c r="M142" s="283"/>
      <c r="N142" s="283"/>
      <c r="O142" s="283"/>
      <c r="P142" s="283"/>
      <c r="Q142" s="283"/>
      <c r="R142" s="283"/>
      <c r="S142" s="283"/>
      <c r="T142" s="283"/>
      <c r="U142" s="283"/>
      <c r="V142" s="283"/>
      <c r="W142" s="283"/>
      <c r="X142" s="283"/>
      <c r="Y142" s="283"/>
      <c r="Z142" s="283"/>
    </row>
    <row r="143" spans="1:26" ht="15.75" customHeight="1" x14ac:dyDescent="0.25">
      <c r="A143" s="283" t="s">
        <v>558</v>
      </c>
      <c r="B143" s="283">
        <v>563</v>
      </c>
      <c r="C143" s="283">
        <f t="shared" ref="C143:C146" si="9">(B143-B144)/B143</f>
        <v>0.29484902309058614</v>
      </c>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row>
    <row r="144" spans="1:26" ht="15.75" customHeight="1" x14ac:dyDescent="0.25">
      <c r="A144" s="283" t="s">
        <v>540</v>
      </c>
      <c r="B144" s="283">
        <v>397</v>
      </c>
      <c r="C144" s="283">
        <f t="shared" si="9"/>
        <v>-7.8085642317380355E-2</v>
      </c>
      <c r="D144" s="283" t="s">
        <v>501</v>
      </c>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row>
    <row r="145" spans="1:26" ht="15.75" customHeight="1" x14ac:dyDescent="0.25">
      <c r="A145" s="283" t="s">
        <v>541</v>
      </c>
      <c r="B145" s="283">
        <v>428</v>
      </c>
      <c r="C145" s="283">
        <f t="shared" si="9"/>
        <v>-0.21728971962616822</v>
      </c>
      <c r="D145" s="633">
        <v>0</v>
      </c>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row>
    <row r="146" spans="1:26" ht="15.75" customHeight="1" x14ac:dyDescent="0.25">
      <c r="A146" s="283" t="s">
        <v>542</v>
      </c>
      <c r="B146" s="283">
        <v>521</v>
      </c>
      <c r="C146" s="283">
        <f t="shared" si="9"/>
        <v>0.11708253358925144</v>
      </c>
      <c r="D146" s="63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row>
    <row r="147" spans="1:26" ht="15.75" customHeight="1" x14ac:dyDescent="0.25">
      <c r="A147" s="283" t="s">
        <v>543</v>
      </c>
      <c r="B147" s="283">
        <v>460</v>
      </c>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row>
    <row r="148" spans="1:26" ht="15.75" customHeight="1" x14ac:dyDescent="0.25">
      <c r="A148" s="283"/>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row>
    <row r="149" spans="1:26" ht="15.75" customHeight="1" x14ac:dyDescent="0.25">
      <c r="A149" s="283"/>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row>
    <row r="150" spans="1:26" ht="15.75" customHeight="1" x14ac:dyDescent="0.25">
      <c r="A150" s="283"/>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row>
    <row r="151" spans="1:26" ht="15.75" customHeight="1" x14ac:dyDescent="0.25">
      <c r="A151" s="283" t="s">
        <v>559</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row>
    <row r="152" spans="1:26" ht="15.75" customHeight="1" x14ac:dyDescent="0.25">
      <c r="A152" s="283" t="s">
        <v>560</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row>
    <row r="153" spans="1:26" ht="15.75" customHeight="1" x14ac:dyDescent="0.25">
      <c r="A153" s="283" t="s">
        <v>561</v>
      </c>
      <c r="B153" s="726">
        <v>625</v>
      </c>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row>
    <row r="154" spans="1:26" ht="15.75" customHeight="1" x14ac:dyDescent="0.25">
      <c r="A154" s="283"/>
      <c r="B154" s="726">
        <v>1300</v>
      </c>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row>
    <row r="155" spans="1:26" ht="15.75" customHeight="1" x14ac:dyDescent="0.25">
      <c r="A155" s="283"/>
      <c r="B155" s="283"/>
      <c r="C155" s="283"/>
      <c r="D155" s="283"/>
      <c r="E155" s="283"/>
      <c r="F155" s="283"/>
      <c r="G155" s="283"/>
      <c r="H155" s="283"/>
      <c r="I155" s="283"/>
      <c r="J155" s="283"/>
      <c r="K155" s="283"/>
      <c r="L155" s="283"/>
      <c r="M155" s="283"/>
      <c r="N155" s="283"/>
      <c r="O155" s="283"/>
      <c r="P155" s="283"/>
      <c r="Q155" s="283"/>
      <c r="R155" s="283"/>
      <c r="S155" s="283"/>
      <c r="T155" s="283"/>
      <c r="U155" s="283"/>
      <c r="V155" s="283"/>
      <c r="W155" s="283"/>
      <c r="X155" s="283"/>
      <c r="Y155" s="283"/>
      <c r="Z155" s="283"/>
    </row>
    <row r="156" spans="1:26" ht="15.75" customHeight="1" x14ac:dyDescent="0.25">
      <c r="A156" s="283"/>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row>
    <row r="157" spans="1:26" ht="15.75" customHeight="1" x14ac:dyDescent="0.25">
      <c r="A157" s="283"/>
      <c r="B157" s="283"/>
      <c r="C157" s="283"/>
      <c r="D157" s="283"/>
      <c r="E157" s="283"/>
      <c r="F157" s="283"/>
      <c r="G157" s="283"/>
      <c r="H157" s="283"/>
      <c r="I157" s="283"/>
      <c r="J157" s="283"/>
      <c r="K157" s="283"/>
      <c r="L157" s="283"/>
      <c r="M157" s="283"/>
      <c r="N157" s="283"/>
      <c r="O157" s="283"/>
      <c r="P157" s="283"/>
      <c r="Q157" s="283"/>
      <c r="R157" s="283"/>
      <c r="S157" s="283"/>
      <c r="T157" s="283"/>
      <c r="U157" s="283"/>
      <c r="V157" s="283"/>
      <c r="W157" s="283"/>
      <c r="X157" s="283"/>
      <c r="Y157" s="283"/>
      <c r="Z157" s="283"/>
    </row>
    <row r="158" spans="1:26" ht="15.75" customHeight="1" x14ac:dyDescent="0.25">
      <c r="A158" s="283"/>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row>
    <row r="159" spans="1:26" ht="15.75" customHeight="1" x14ac:dyDescent="0.25">
      <c r="A159" s="635" t="s">
        <v>562</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row>
    <row r="160" spans="1:26" ht="15.75" customHeight="1" x14ac:dyDescent="0.25">
      <c r="A160" s="283" t="s">
        <v>563</v>
      </c>
      <c r="B160" s="283">
        <v>1.9E-2</v>
      </c>
      <c r="C160" s="283" t="s">
        <v>278</v>
      </c>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row>
    <row r="161" spans="1:26" ht="15.75" customHeight="1" x14ac:dyDescent="0.25">
      <c r="A161" s="283"/>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row>
    <row r="162" spans="1:26" ht="15.75" customHeight="1" x14ac:dyDescent="0.25">
      <c r="A162" s="283"/>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row>
    <row r="163" spans="1:26" ht="15.75" customHeight="1" x14ac:dyDescent="0.25">
      <c r="A163" s="283"/>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row>
    <row r="164" spans="1:26" ht="15.75" customHeight="1" x14ac:dyDescent="0.25">
      <c r="A164" s="283" t="s">
        <v>564</v>
      </c>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c r="Y164" s="283"/>
      <c r="Z164" s="283"/>
    </row>
    <row r="165" spans="1:26" ht="15.75" customHeight="1" x14ac:dyDescent="0.25">
      <c r="A165" s="283"/>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row>
    <row r="166" spans="1:26" ht="15.75" customHeight="1" x14ac:dyDescent="0.25">
      <c r="A166" s="283"/>
      <c r="B166" s="283"/>
      <c r="C166" s="283"/>
      <c r="D166" s="283"/>
      <c r="E166" s="283"/>
      <c r="F166" s="283"/>
      <c r="G166" s="283"/>
      <c r="H166" s="283"/>
      <c r="I166" s="283"/>
      <c r="J166" s="283"/>
      <c r="K166" s="283"/>
      <c r="L166" s="283"/>
      <c r="M166" s="283"/>
      <c r="N166" s="283"/>
      <c r="O166" s="283"/>
      <c r="P166" s="283"/>
      <c r="Q166" s="283"/>
      <c r="R166" s="283"/>
      <c r="S166" s="283"/>
      <c r="T166" s="283"/>
      <c r="U166" s="283"/>
      <c r="V166" s="283"/>
      <c r="W166" s="283"/>
      <c r="X166" s="283"/>
      <c r="Y166" s="283"/>
      <c r="Z166" s="283"/>
    </row>
    <row r="167" spans="1:26" ht="15.75" customHeight="1" x14ac:dyDescent="0.25">
      <c r="A167" s="283" t="s">
        <v>565</v>
      </c>
      <c r="B167" s="283"/>
      <c r="C167" s="283"/>
      <c r="D167" s="283"/>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row>
    <row r="168" spans="1:26" ht="15.75" customHeight="1" x14ac:dyDescent="0.25">
      <c r="A168" s="283">
        <v>396</v>
      </c>
      <c r="B168" s="283">
        <v>2015</v>
      </c>
      <c r="C168" s="283">
        <f t="shared" ref="C168:C172" si="10">(A169-A168)/A168</f>
        <v>-5.5555555555555552E-2</v>
      </c>
      <c r="D168" s="283" t="s">
        <v>501</v>
      </c>
      <c r="E168" s="283"/>
      <c r="F168" s="283"/>
      <c r="G168" s="283"/>
      <c r="H168" s="283"/>
      <c r="I168" s="283"/>
      <c r="J168" s="283"/>
      <c r="K168" s="283"/>
      <c r="L168" s="283"/>
      <c r="M168" s="283"/>
      <c r="N168" s="283"/>
      <c r="O168" s="283"/>
      <c r="P168" s="283"/>
      <c r="Q168" s="283"/>
      <c r="R168" s="283"/>
      <c r="S168" s="283"/>
      <c r="T168" s="283"/>
      <c r="U168" s="283"/>
      <c r="V168" s="283"/>
      <c r="W168" s="283"/>
      <c r="X168" s="283"/>
      <c r="Y168" s="283"/>
      <c r="Z168" s="283"/>
    </row>
    <row r="169" spans="1:26" ht="15.75" customHeight="1" x14ac:dyDescent="0.25">
      <c r="A169" s="283">
        <v>374</v>
      </c>
      <c r="B169" s="283">
        <f t="shared" ref="B169:B172" si="11">B168+1</f>
        <v>2016</v>
      </c>
      <c r="C169" s="283">
        <f t="shared" si="10"/>
        <v>-0.14171122994652408</v>
      </c>
      <c r="D169" s="283">
        <v>0</v>
      </c>
      <c r="E169" s="283"/>
      <c r="F169" s="283"/>
      <c r="G169" s="283"/>
      <c r="H169" s="283"/>
      <c r="I169" s="283"/>
      <c r="J169" s="283"/>
      <c r="K169" s="283"/>
      <c r="L169" s="283"/>
      <c r="M169" s="283"/>
      <c r="N169" s="283"/>
      <c r="O169" s="283"/>
      <c r="P169" s="283"/>
      <c r="Q169" s="283"/>
      <c r="R169" s="283"/>
      <c r="S169" s="283"/>
      <c r="T169" s="283"/>
      <c r="U169" s="283"/>
      <c r="V169" s="283"/>
      <c r="W169" s="283"/>
      <c r="X169" s="283"/>
      <c r="Y169" s="283"/>
      <c r="Z169" s="283"/>
    </row>
    <row r="170" spans="1:26" ht="15.75" customHeight="1" x14ac:dyDescent="0.25">
      <c r="A170" s="283">
        <v>321</v>
      </c>
      <c r="B170" s="283">
        <f t="shared" si="11"/>
        <v>2017</v>
      </c>
      <c r="C170" s="283">
        <f t="shared" si="10"/>
        <v>0.2554517133956386</v>
      </c>
      <c r="D170" s="283"/>
      <c r="E170" s="283"/>
      <c r="F170" s="283"/>
      <c r="G170" s="283"/>
      <c r="H170" s="283"/>
      <c r="I170" s="283"/>
      <c r="J170" s="283"/>
      <c r="K170" s="283"/>
      <c r="L170" s="283"/>
      <c r="M170" s="283"/>
      <c r="N170" s="283"/>
      <c r="O170" s="283"/>
      <c r="P170" s="283"/>
      <c r="Q170" s="283"/>
      <c r="R170" s="283"/>
      <c r="S170" s="283"/>
      <c r="T170" s="283"/>
      <c r="U170" s="283"/>
      <c r="V170" s="283"/>
      <c r="W170" s="283"/>
      <c r="X170" s="283"/>
      <c r="Y170" s="283"/>
      <c r="Z170" s="283"/>
    </row>
    <row r="171" spans="1:26" ht="15.75" customHeight="1" x14ac:dyDescent="0.25">
      <c r="A171" s="283">
        <v>403</v>
      </c>
      <c r="B171" s="283">
        <f t="shared" si="11"/>
        <v>2018</v>
      </c>
      <c r="C171" s="283">
        <f t="shared" si="10"/>
        <v>0.14888337468982629</v>
      </c>
      <c r="D171" s="283"/>
      <c r="E171" s="283"/>
      <c r="F171" s="283"/>
      <c r="G171" s="283"/>
      <c r="H171" s="283"/>
      <c r="I171" s="283"/>
      <c r="J171" s="283"/>
      <c r="K171" s="283"/>
      <c r="L171" s="283"/>
      <c r="M171" s="283"/>
      <c r="N171" s="283"/>
      <c r="O171" s="283"/>
      <c r="P171" s="283"/>
      <c r="Q171" s="283"/>
      <c r="R171" s="283"/>
      <c r="S171" s="283"/>
      <c r="T171" s="283"/>
      <c r="U171" s="283"/>
      <c r="V171" s="283"/>
      <c r="W171" s="283"/>
      <c r="X171" s="283"/>
      <c r="Y171" s="283"/>
      <c r="Z171" s="283"/>
    </row>
    <row r="172" spans="1:26" ht="15.75" customHeight="1" x14ac:dyDescent="0.25">
      <c r="A172" s="283">
        <v>463</v>
      </c>
      <c r="B172" s="283">
        <f t="shared" si="11"/>
        <v>2019</v>
      </c>
      <c r="C172" s="283">
        <f t="shared" si="10"/>
        <v>-1</v>
      </c>
      <c r="D172" s="283"/>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row>
    <row r="173" spans="1:26" ht="15.75" customHeight="1" x14ac:dyDescent="0.25">
      <c r="A173" s="283"/>
      <c r="B173" s="283"/>
      <c r="C173" s="283"/>
      <c r="D173" s="283"/>
      <c r="E173" s="283"/>
      <c r="F173" s="283"/>
      <c r="G173" s="283"/>
      <c r="H173" s="283"/>
      <c r="I173" s="283"/>
      <c r="J173" s="283"/>
      <c r="K173" s="283"/>
      <c r="L173" s="283"/>
      <c r="M173" s="283"/>
      <c r="N173" s="283"/>
      <c r="O173" s="283"/>
      <c r="P173" s="283"/>
      <c r="Q173" s="283"/>
      <c r="R173" s="283"/>
      <c r="S173" s="283"/>
      <c r="T173" s="283"/>
      <c r="U173" s="283"/>
      <c r="V173" s="283"/>
      <c r="W173" s="283"/>
      <c r="X173" s="283"/>
      <c r="Y173" s="283"/>
      <c r="Z173" s="283"/>
    </row>
    <row r="174" spans="1:26" ht="15.75" customHeight="1" x14ac:dyDescent="0.3">
      <c r="A174" s="618" t="s">
        <v>566</v>
      </c>
      <c r="B174" s="618"/>
      <c r="C174" s="618"/>
      <c r="D174" s="619"/>
      <c r="E174" s="619"/>
      <c r="F174" s="619"/>
      <c r="G174" s="619"/>
      <c r="H174" s="619"/>
      <c r="I174" s="619"/>
      <c r="J174" s="619"/>
      <c r="K174" s="619"/>
      <c r="L174" s="619"/>
      <c r="M174" s="619"/>
      <c r="N174" s="619"/>
      <c r="O174" s="619"/>
      <c r="P174" s="619"/>
      <c r="Q174" s="619"/>
      <c r="R174" s="619"/>
      <c r="S174" s="619"/>
      <c r="T174" s="619"/>
      <c r="U174" s="619"/>
      <c r="V174" s="619"/>
      <c r="W174" s="619"/>
      <c r="X174" s="619"/>
      <c r="Y174" s="619"/>
      <c r="Z174" s="619"/>
    </row>
    <row r="175" spans="1:26" ht="15.75" customHeight="1" x14ac:dyDescent="0.25">
      <c r="A175" s="718" t="s">
        <v>567</v>
      </c>
      <c r="B175" s="727" t="s">
        <v>568</v>
      </c>
      <c r="C175" s="719" t="s">
        <v>46</v>
      </c>
      <c r="D175" s="728" t="s">
        <v>569</v>
      </c>
      <c r="E175" s="283"/>
      <c r="F175" s="283"/>
      <c r="G175" s="283"/>
      <c r="H175" s="283"/>
      <c r="I175" s="283"/>
      <c r="J175" s="283"/>
      <c r="K175" s="283"/>
      <c r="L175" s="283"/>
      <c r="M175" s="283"/>
      <c r="N175" s="283"/>
      <c r="O175" s="283"/>
      <c r="P175" s="283"/>
      <c r="Q175" s="283"/>
      <c r="R175" s="283"/>
      <c r="S175" s="283"/>
      <c r="T175" s="283"/>
      <c r="U175" s="283"/>
      <c r="V175" s="283"/>
      <c r="W175" s="283"/>
      <c r="X175" s="283"/>
      <c r="Y175" s="283"/>
      <c r="Z175" s="283"/>
    </row>
    <row r="176" spans="1:26" ht="15.75" customHeight="1" x14ac:dyDescent="0.25">
      <c r="A176" s="715" t="s">
        <v>570</v>
      </c>
      <c r="B176" s="644">
        <v>90911</v>
      </c>
      <c r="C176" s="721">
        <v>0.26600000000000001</v>
      </c>
      <c r="D176" s="729" t="s">
        <v>571</v>
      </c>
      <c r="G176" s="283"/>
      <c r="H176" s="283"/>
      <c r="I176" s="283"/>
      <c r="J176" s="283"/>
      <c r="K176" s="283"/>
      <c r="L176" s="283"/>
      <c r="M176" s="283"/>
      <c r="N176" s="283"/>
      <c r="O176" s="283"/>
      <c r="P176" s="283"/>
      <c r="Q176" s="283"/>
      <c r="R176" s="283"/>
      <c r="S176" s="283"/>
      <c r="T176" s="283"/>
      <c r="U176" s="283"/>
      <c r="V176" s="283"/>
      <c r="W176" s="283"/>
      <c r="X176" s="283"/>
      <c r="Y176" s="283"/>
      <c r="Z176" s="283"/>
    </row>
    <row r="177" spans="1:26" ht="15.75" customHeight="1" x14ac:dyDescent="0.25">
      <c r="A177" s="640" t="s">
        <v>572</v>
      </c>
      <c r="B177" s="283">
        <v>157851</v>
      </c>
      <c r="C177" s="654">
        <v>0.46200000000000002</v>
      </c>
      <c r="D177" s="508" t="s">
        <v>573</v>
      </c>
      <c r="H177" s="283"/>
      <c r="I177" s="283"/>
      <c r="J177" s="283"/>
      <c r="K177" s="283"/>
      <c r="L177" s="283"/>
      <c r="M177" s="283"/>
      <c r="N177" s="283"/>
      <c r="O177" s="283"/>
      <c r="P177" s="283"/>
      <c r="Q177" s="283"/>
      <c r="R177" s="283"/>
      <c r="S177" s="283"/>
      <c r="T177" s="283"/>
      <c r="U177" s="283"/>
      <c r="V177" s="283"/>
      <c r="W177" s="283"/>
      <c r="X177" s="283"/>
      <c r="Y177" s="283"/>
      <c r="Z177" s="283"/>
    </row>
    <row r="178" spans="1:26" ht="15.75" customHeight="1" x14ac:dyDescent="0.25">
      <c r="A178" s="640" t="s">
        <v>574</v>
      </c>
      <c r="B178" s="283">
        <v>36154</v>
      </c>
      <c r="C178" s="654">
        <v>0.106</v>
      </c>
      <c r="D178" s="729" t="s">
        <v>571</v>
      </c>
      <c r="E178" s="283"/>
      <c r="H178" s="283"/>
      <c r="I178" s="730"/>
      <c r="J178" s="283"/>
      <c r="K178" s="283"/>
      <c r="L178" s="283"/>
      <c r="M178" s="283"/>
      <c r="N178" s="283"/>
      <c r="O178" s="283"/>
      <c r="P178" s="283"/>
      <c r="Q178" s="283"/>
      <c r="R178" s="283"/>
      <c r="S178" s="283"/>
      <c r="T178" s="283"/>
      <c r="U178" s="283"/>
      <c r="V178" s="283"/>
      <c r="W178" s="283"/>
      <c r="X178" s="283"/>
      <c r="Y178" s="283"/>
      <c r="Z178" s="283"/>
    </row>
    <row r="179" spans="1:26" ht="15.75" customHeight="1" x14ac:dyDescent="0.25">
      <c r="A179" s="640" t="s">
        <v>575</v>
      </c>
      <c r="B179" s="283">
        <v>30902</v>
      </c>
      <c r="C179" s="654">
        <v>9.0499999999999997E-2</v>
      </c>
      <c r="D179" s="729" t="s">
        <v>571</v>
      </c>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row>
    <row r="180" spans="1:26" ht="15.75" customHeight="1" x14ac:dyDescent="0.25">
      <c r="A180" s="640" t="s">
        <v>576</v>
      </c>
      <c r="B180" s="283">
        <v>15755</v>
      </c>
      <c r="C180" s="654">
        <v>4.6100000000000002E-2</v>
      </c>
      <c r="D180" s="508" t="s">
        <v>43</v>
      </c>
      <c r="E180" s="283"/>
      <c r="F180" s="283"/>
      <c r="G180" s="283"/>
      <c r="H180" s="283"/>
      <c r="I180" s="283"/>
      <c r="J180" s="283"/>
      <c r="K180" s="283"/>
      <c r="L180" s="283"/>
      <c r="M180" s="283"/>
      <c r="N180" s="283"/>
      <c r="O180" s="283"/>
      <c r="P180" s="283"/>
      <c r="Q180" s="283"/>
      <c r="R180" s="283"/>
      <c r="S180" s="283"/>
      <c r="T180" s="283"/>
      <c r="U180" s="283"/>
      <c r="V180" s="283"/>
      <c r="W180" s="283"/>
      <c r="X180" s="283"/>
      <c r="Y180" s="283"/>
      <c r="Z180" s="283"/>
    </row>
    <row r="181" spans="1:26" ht="15.75" customHeight="1" x14ac:dyDescent="0.25">
      <c r="A181" s="640" t="s">
        <v>577</v>
      </c>
      <c r="B181" s="283">
        <v>8472</v>
      </c>
      <c r="C181" s="654">
        <v>2.4799999999999999E-2</v>
      </c>
      <c r="D181" s="508" t="s">
        <v>48</v>
      </c>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row>
    <row r="182" spans="1:26" ht="15.75" customHeight="1" x14ac:dyDescent="0.25">
      <c r="A182" s="640" t="s">
        <v>463</v>
      </c>
      <c r="B182" s="283">
        <v>50</v>
      </c>
      <c r="C182" s="731">
        <v>1.6000000000000001E-4</v>
      </c>
      <c r="D182" s="729" t="s">
        <v>571</v>
      </c>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row>
    <row r="183" spans="1:26" ht="15.75" customHeight="1" x14ac:dyDescent="0.25">
      <c r="A183" s="640" t="s">
        <v>578</v>
      </c>
      <c r="B183" s="283">
        <v>989</v>
      </c>
      <c r="C183" s="654">
        <v>2.8999999999999998E-3</v>
      </c>
      <c r="D183" s="508" t="s">
        <v>48</v>
      </c>
      <c r="E183" s="283"/>
      <c r="F183" s="283"/>
      <c r="G183" s="283"/>
      <c r="H183" s="283"/>
      <c r="I183" s="283"/>
      <c r="J183" s="283"/>
      <c r="K183" s="283"/>
      <c r="L183" s="283"/>
      <c r="M183" s="283"/>
      <c r="N183" s="283"/>
      <c r="O183" s="283"/>
      <c r="P183" s="283"/>
      <c r="Q183" s="283"/>
      <c r="R183" s="283"/>
      <c r="S183" s="283"/>
      <c r="T183" s="283"/>
      <c r="U183" s="283"/>
      <c r="V183" s="283"/>
      <c r="W183" s="283"/>
      <c r="X183" s="283"/>
      <c r="Y183" s="283"/>
      <c r="Z183" s="283"/>
    </row>
    <row r="184" spans="1:26" ht="15.75" customHeight="1" x14ac:dyDescent="0.25">
      <c r="A184" s="697" t="s">
        <v>579</v>
      </c>
      <c r="B184" s="638">
        <v>525</v>
      </c>
      <c r="C184" s="658">
        <v>1.5399999999999999E-3</v>
      </c>
      <c r="D184" s="508" t="s">
        <v>571</v>
      </c>
      <c r="E184" s="283"/>
      <c r="F184" s="732" t="s">
        <v>571</v>
      </c>
      <c r="G184" s="733">
        <f>C176+C178+C179+C182</f>
        <v>0.46266000000000002</v>
      </c>
      <c r="H184" s="283"/>
      <c r="I184" s="283"/>
      <c r="J184" s="283"/>
      <c r="K184" s="283"/>
      <c r="L184" s="283"/>
      <c r="M184" s="283"/>
      <c r="N184" s="283"/>
      <c r="O184" s="283"/>
      <c r="P184" s="283"/>
      <c r="Q184" s="283"/>
      <c r="R184" s="283"/>
      <c r="S184" s="283"/>
      <c r="T184" s="283"/>
      <c r="U184" s="283"/>
      <c r="V184" s="283"/>
      <c r="W184" s="283"/>
      <c r="X184" s="283"/>
      <c r="Y184" s="283"/>
      <c r="Z184" s="283"/>
    </row>
    <row r="185" spans="1:26" ht="15.75" customHeight="1" x14ac:dyDescent="0.25">
      <c r="A185" s="722" t="s">
        <v>58</v>
      </c>
      <c r="B185" s="724">
        <f t="shared" ref="B185:C185" si="12">SUM(B176:B184)</f>
        <v>341609</v>
      </c>
      <c r="C185" s="725">
        <f t="shared" si="12"/>
        <v>1.0000000000000002</v>
      </c>
      <c r="D185" s="624"/>
      <c r="E185" s="283"/>
      <c r="F185" s="732" t="s">
        <v>573</v>
      </c>
      <c r="G185" s="733">
        <f>C177</f>
        <v>0.46200000000000002</v>
      </c>
      <c r="H185" s="283"/>
      <c r="I185" s="283"/>
      <c r="J185" s="283"/>
      <c r="K185" s="283"/>
      <c r="L185" s="283"/>
      <c r="M185" s="283"/>
      <c r="N185" s="283"/>
      <c r="O185" s="283"/>
      <c r="P185" s="283"/>
      <c r="Q185" s="283"/>
      <c r="R185" s="283"/>
      <c r="S185" s="283"/>
      <c r="T185" s="283"/>
      <c r="U185" s="283"/>
      <c r="V185" s="283"/>
      <c r="W185" s="283"/>
      <c r="X185" s="283"/>
      <c r="Y185" s="283"/>
      <c r="Z185" s="283"/>
    </row>
    <row r="186" spans="1:26" ht="15.75" customHeight="1" x14ac:dyDescent="0.25">
      <c r="A186" s="283"/>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row>
    <row r="187" spans="1:26" ht="15.75" customHeight="1" x14ac:dyDescent="0.25">
      <c r="A187" s="283"/>
      <c r="B187" s="283"/>
      <c r="C187" s="283"/>
      <c r="D187" s="283"/>
      <c r="E187" s="283"/>
      <c r="F187" s="283"/>
      <c r="G187" s="283"/>
      <c r="H187" s="283"/>
      <c r="I187" s="283"/>
      <c r="J187" s="283"/>
      <c r="K187" s="283"/>
      <c r="L187" s="283"/>
      <c r="M187" s="283"/>
      <c r="N187" s="283"/>
      <c r="O187" s="283"/>
      <c r="P187" s="283"/>
      <c r="Q187" s="283"/>
      <c r="R187" s="283"/>
      <c r="S187" s="283"/>
      <c r="T187" s="283"/>
      <c r="U187" s="283"/>
      <c r="V187" s="283"/>
      <c r="W187" s="283"/>
      <c r="X187" s="283"/>
      <c r="Y187" s="283"/>
      <c r="Z187" s="283"/>
    </row>
    <row r="188" spans="1:26" ht="15.75" customHeight="1" x14ac:dyDescent="0.3">
      <c r="A188" s="618"/>
      <c r="B188" s="618"/>
      <c r="C188" s="618"/>
      <c r="D188" s="619"/>
      <c r="E188" s="619"/>
      <c r="F188" s="619"/>
      <c r="G188" s="619"/>
      <c r="H188" s="619"/>
      <c r="I188" s="619"/>
      <c r="J188" s="619"/>
      <c r="K188" s="619"/>
      <c r="L188" s="619"/>
      <c r="M188" s="619"/>
      <c r="N188" s="619"/>
      <c r="O188" s="619"/>
      <c r="P188" s="619"/>
      <c r="Q188" s="619"/>
      <c r="R188" s="619"/>
      <c r="S188" s="619"/>
      <c r="T188" s="619"/>
      <c r="U188" s="619"/>
      <c r="V188" s="619"/>
      <c r="W188" s="619"/>
      <c r="X188" s="619"/>
      <c r="Y188" s="619"/>
      <c r="Z188" s="619"/>
    </row>
    <row r="189" spans="1:26" ht="15.75" customHeight="1" x14ac:dyDescent="0.25">
      <c r="A189" s="374" t="s">
        <v>501</v>
      </c>
      <c r="B189" s="374" t="s">
        <v>580</v>
      </c>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row>
    <row r="190" spans="1:26" ht="15.75" customHeight="1" x14ac:dyDescent="0.25">
      <c r="A190" s="374">
        <v>2013</v>
      </c>
      <c r="B190" s="374">
        <v>1189</v>
      </c>
      <c r="C190" s="283">
        <f>AVERAGE(B190:B196)</f>
        <v>266.28571428571428</v>
      </c>
      <c r="D190" s="283"/>
      <c r="E190" s="283"/>
      <c r="F190" s="283"/>
      <c r="G190" s="283"/>
      <c r="H190" s="283"/>
      <c r="I190" s="283"/>
      <c r="J190" s="283"/>
      <c r="K190" s="283"/>
      <c r="L190" s="283"/>
      <c r="M190" s="283"/>
      <c r="N190" s="283"/>
      <c r="O190" s="283"/>
      <c r="P190" s="283"/>
      <c r="Q190" s="283"/>
      <c r="R190" s="283"/>
      <c r="S190" s="283"/>
      <c r="T190" s="283"/>
      <c r="U190" s="283"/>
      <c r="V190" s="283"/>
      <c r="W190" s="283"/>
      <c r="X190" s="283"/>
      <c r="Y190" s="283"/>
      <c r="Z190" s="283"/>
    </row>
    <row r="191" spans="1:26" ht="15.75" customHeight="1" x14ac:dyDescent="0.25">
      <c r="A191" s="374">
        <v>2014</v>
      </c>
      <c r="B191" s="374">
        <v>13</v>
      </c>
      <c r="C191" s="283"/>
      <c r="D191" s="283"/>
      <c r="E191" s="283"/>
      <c r="F191" s="283"/>
      <c r="G191" s="283"/>
      <c r="H191" s="283"/>
      <c r="I191" s="283"/>
      <c r="J191" s="283"/>
      <c r="K191" s="283"/>
      <c r="L191" s="283"/>
      <c r="M191" s="283"/>
      <c r="N191" s="283"/>
      <c r="O191" s="283"/>
      <c r="P191" s="283"/>
      <c r="Q191" s="283"/>
      <c r="R191" s="283"/>
      <c r="S191" s="283"/>
      <c r="T191" s="283"/>
      <c r="U191" s="283"/>
      <c r="V191" s="283"/>
      <c r="W191" s="283"/>
      <c r="X191" s="283"/>
      <c r="Y191" s="283"/>
      <c r="Z191" s="283"/>
    </row>
    <row r="192" spans="1:26" ht="15.75" customHeight="1" x14ac:dyDescent="0.25">
      <c r="A192" s="374">
        <v>2015</v>
      </c>
      <c r="B192" s="374">
        <v>4</v>
      </c>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row>
    <row r="193" spans="1:26" ht="15.75" customHeight="1" x14ac:dyDescent="0.25">
      <c r="A193" s="374">
        <v>2017</v>
      </c>
      <c r="B193" s="374">
        <v>76</v>
      </c>
      <c r="C193" s="283"/>
      <c r="D193" s="283"/>
      <c r="E193" s="283"/>
      <c r="F193" s="283"/>
      <c r="G193" s="283"/>
      <c r="H193" s="283"/>
      <c r="I193" s="283"/>
      <c r="J193" s="283"/>
      <c r="K193" s="283"/>
      <c r="L193" s="283"/>
      <c r="M193" s="283"/>
      <c r="N193" s="283"/>
      <c r="O193" s="283"/>
      <c r="P193" s="283"/>
      <c r="Q193" s="283"/>
      <c r="R193" s="283"/>
      <c r="S193" s="283"/>
      <c r="T193" s="283"/>
      <c r="U193" s="283"/>
      <c r="V193" s="283"/>
      <c r="W193" s="283"/>
      <c r="X193" s="283"/>
      <c r="Y193" s="283"/>
      <c r="Z193" s="283"/>
    </row>
    <row r="194" spans="1:26" ht="15.75" customHeight="1" x14ac:dyDescent="0.25">
      <c r="A194" s="374">
        <v>2018</v>
      </c>
      <c r="B194" s="374">
        <v>401</v>
      </c>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row>
    <row r="195" spans="1:26" ht="15.75" customHeight="1" x14ac:dyDescent="0.25">
      <c r="A195" s="374">
        <v>2019</v>
      </c>
      <c r="B195" s="374">
        <v>163</v>
      </c>
      <c r="C195" s="283"/>
      <c r="D195" s="283"/>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row>
    <row r="196" spans="1:26" ht="15.75" customHeight="1" x14ac:dyDescent="0.25">
      <c r="A196" s="374">
        <v>2020</v>
      </c>
      <c r="B196" s="374">
        <v>18</v>
      </c>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c r="Y196" s="283"/>
      <c r="Z196" s="283"/>
    </row>
    <row r="197" spans="1:26" ht="15.75" customHeight="1" x14ac:dyDescent="0.25">
      <c r="A197" s="468"/>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row>
    <row r="198" spans="1:26" ht="15.75" customHeight="1" x14ac:dyDescent="0.25">
      <c r="A198" s="283"/>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row>
    <row r="199" spans="1:26" ht="15.75" customHeight="1" x14ac:dyDescent="0.25">
      <c r="A199" s="283"/>
      <c r="B199" s="283"/>
      <c r="C199" s="283"/>
      <c r="D199" s="283"/>
      <c r="E199" s="283"/>
      <c r="F199" s="283"/>
      <c r="G199" s="283"/>
      <c r="H199" s="283"/>
      <c r="I199" s="283"/>
      <c r="J199" s="283"/>
      <c r="K199" s="283"/>
      <c r="L199" s="283"/>
      <c r="M199" s="283"/>
      <c r="N199" s="283"/>
      <c r="O199" s="283"/>
      <c r="P199" s="283"/>
      <c r="Q199" s="283"/>
      <c r="R199" s="283"/>
      <c r="S199" s="283"/>
      <c r="T199" s="283"/>
      <c r="U199" s="283"/>
      <c r="V199" s="283"/>
      <c r="W199" s="283"/>
      <c r="X199" s="283"/>
      <c r="Y199" s="283"/>
      <c r="Z199" s="283"/>
    </row>
    <row r="200" spans="1:26" ht="15.75" customHeight="1" x14ac:dyDescent="0.25">
      <c r="A200" s="283"/>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row>
    <row r="201" spans="1:26" ht="15.75" customHeight="1" x14ac:dyDescent="0.25">
      <c r="A201" s="283"/>
      <c r="B201" s="283"/>
      <c r="C201" s="283"/>
      <c r="D201" s="283"/>
      <c r="E201" s="283"/>
      <c r="F201" s="283"/>
      <c r="G201" s="283"/>
      <c r="H201" s="283"/>
      <c r="I201" s="283"/>
      <c r="J201" s="283"/>
      <c r="K201" s="283"/>
      <c r="L201" s="283"/>
      <c r="M201" s="283"/>
      <c r="N201" s="283"/>
      <c r="O201" s="283"/>
      <c r="P201" s="283"/>
      <c r="Q201" s="283"/>
      <c r="R201" s="283"/>
      <c r="S201" s="283"/>
      <c r="T201" s="283"/>
      <c r="U201" s="283"/>
      <c r="V201" s="283"/>
      <c r="W201" s="283"/>
      <c r="X201" s="283"/>
      <c r="Y201" s="283"/>
      <c r="Z201" s="283"/>
    </row>
    <row r="202" spans="1:26" ht="15.75" customHeight="1" x14ac:dyDescent="0.25">
      <c r="A202" s="283"/>
      <c r="B202" s="283"/>
      <c r="C202" s="283"/>
      <c r="D202" s="283"/>
      <c r="E202" s="283"/>
      <c r="F202" s="283"/>
      <c r="G202" s="283"/>
      <c r="H202" s="283"/>
      <c r="I202" s="283"/>
      <c r="J202" s="283"/>
      <c r="K202" s="283"/>
      <c r="L202" s="283"/>
      <c r="M202" s="283"/>
      <c r="N202" s="283"/>
      <c r="O202" s="283"/>
      <c r="P202" s="283"/>
      <c r="Q202" s="283"/>
      <c r="R202" s="283"/>
      <c r="S202" s="283"/>
      <c r="T202" s="283"/>
      <c r="U202" s="283"/>
      <c r="V202" s="283"/>
      <c r="W202" s="283"/>
      <c r="X202" s="283"/>
      <c r="Y202" s="283"/>
      <c r="Z202" s="283"/>
    </row>
    <row r="203" spans="1:26" ht="15.75" customHeight="1" x14ac:dyDescent="0.25">
      <c r="A203" s="283"/>
      <c r="B203" s="283"/>
      <c r="C203" s="283"/>
      <c r="D203" s="283"/>
      <c r="E203" s="283"/>
      <c r="F203" s="283"/>
      <c r="G203" s="283"/>
      <c r="H203" s="283"/>
      <c r="I203" s="283"/>
      <c r="J203" s="283"/>
      <c r="K203" s="283"/>
      <c r="L203" s="283"/>
      <c r="M203" s="283"/>
      <c r="N203" s="283"/>
      <c r="O203" s="283"/>
      <c r="P203" s="283"/>
      <c r="Q203" s="283"/>
      <c r="R203" s="283"/>
      <c r="S203" s="283"/>
      <c r="T203" s="283"/>
      <c r="U203" s="283"/>
      <c r="V203" s="283"/>
      <c r="W203" s="283"/>
      <c r="X203" s="283"/>
      <c r="Y203" s="283"/>
      <c r="Z203" s="283"/>
    </row>
    <row r="204" spans="1:26" ht="15.75" customHeight="1" x14ac:dyDescent="0.25">
      <c r="A204" s="283"/>
      <c r="B204" s="283"/>
      <c r="C204" s="283"/>
      <c r="D204" s="283"/>
      <c r="E204" s="283"/>
      <c r="F204" s="283"/>
      <c r="G204" s="283"/>
      <c r="H204" s="283"/>
      <c r="I204" s="283"/>
      <c r="J204" s="283"/>
      <c r="K204" s="283"/>
      <c r="L204" s="283"/>
      <c r="M204" s="283"/>
      <c r="N204" s="283"/>
      <c r="O204" s="283"/>
      <c r="P204" s="283"/>
      <c r="Q204" s="283"/>
      <c r="R204" s="283"/>
      <c r="S204" s="283"/>
      <c r="T204" s="283"/>
      <c r="U204" s="283"/>
      <c r="V204" s="283"/>
      <c r="W204" s="283"/>
      <c r="X204" s="283"/>
      <c r="Y204" s="283"/>
      <c r="Z204" s="283"/>
    </row>
    <row r="205" spans="1:26" ht="15.75" customHeight="1" x14ac:dyDescent="0.25">
      <c r="A205" s="283"/>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c r="Y205" s="283"/>
      <c r="Z205" s="283"/>
    </row>
    <row r="206" spans="1:26" ht="15.75" customHeight="1" x14ac:dyDescent="0.25">
      <c r="A206" s="283"/>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row>
    <row r="207" spans="1:26" ht="15.75" customHeight="1" x14ac:dyDescent="0.25">
      <c r="A207" s="283"/>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row>
    <row r="208" spans="1:26" ht="15.75" customHeight="1" x14ac:dyDescent="0.25">
      <c r="A208" s="283"/>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row>
    <row r="209" spans="1:26" ht="15.75" customHeight="1" x14ac:dyDescent="0.25">
      <c r="A209" s="283"/>
      <c r="B209" s="283"/>
      <c r="C209" s="283"/>
      <c r="D209" s="283"/>
      <c r="E209" s="283"/>
      <c r="F209" s="283"/>
      <c r="G209" s="283"/>
      <c r="H209" s="283"/>
      <c r="I209" s="283"/>
      <c r="J209" s="283"/>
      <c r="K209" s="283"/>
      <c r="L209" s="283"/>
      <c r="M209" s="283"/>
      <c r="N209" s="283"/>
      <c r="O209" s="283"/>
      <c r="P209" s="283"/>
      <c r="Q209" s="283"/>
      <c r="R209" s="283"/>
      <c r="S209" s="283"/>
      <c r="T209" s="283"/>
      <c r="U209" s="283"/>
      <c r="V209" s="283"/>
      <c r="W209" s="283"/>
      <c r="X209" s="283"/>
      <c r="Y209" s="283"/>
      <c r="Z209" s="283"/>
    </row>
    <row r="210" spans="1:26" ht="15.75" customHeight="1" x14ac:dyDescent="0.25">
      <c r="A210" s="283"/>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row>
    <row r="211" spans="1:26" ht="15.75" customHeight="1" x14ac:dyDescent="0.25">
      <c r="A211" s="283"/>
      <c r="B211" s="283"/>
      <c r="C211" s="283"/>
      <c r="D211" s="283"/>
      <c r="E211" s="283"/>
      <c r="F211" s="283"/>
      <c r="G211" s="283"/>
      <c r="H211" s="283"/>
      <c r="I211" s="283"/>
      <c r="J211" s="283"/>
      <c r="K211" s="283"/>
      <c r="L211" s="283"/>
      <c r="M211" s="283"/>
      <c r="N211" s="283"/>
      <c r="O211" s="283"/>
      <c r="P211" s="283"/>
      <c r="Q211" s="283"/>
      <c r="R211" s="283"/>
      <c r="S211" s="283"/>
      <c r="T211" s="283"/>
      <c r="U211" s="283"/>
      <c r="V211" s="283"/>
      <c r="W211" s="283"/>
      <c r="X211" s="283"/>
      <c r="Y211" s="283"/>
      <c r="Z211" s="283"/>
    </row>
    <row r="212" spans="1:26" ht="15.75" customHeight="1" x14ac:dyDescent="0.25">
      <c r="A212" s="283"/>
      <c r="B212" s="283"/>
      <c r="C212" s="283"/>
      <c r="D212" s="283"/>
      <c r="E212" s="283"/>
      <c r="F212" s="283"/>
      <c r="G212" s="283"/>
      <c r="H212" s="283"/>
      <c r="I212" s="283"/>
      <c r="J212" s="283"/>
      <c r="K212" s="283"/>
      <c r="L212" s="283"/>
      <c r="M212" s="283"/>
      <c r="N212" s="283"/>
      <c r="O212" s="283"/>
      <c r="P212" s="283"/>
      <c r="Q212" s="283"/>
      <c r="R212" s="283"/>
      <c r="S212" s="283"/>
      <c r="T212" s="283"/>
      <c r="U212" s="283"/>
      <c r="V212" s="283"/>
      <c r="W212" s="283"/>
      <c r="X212" s="283"/>
      <c r="Y212" s="283"/>
      <c r="Z212" s="283"/>
    </row>
    <row r="213" spans="1:26" ht="15.75" customHeight="1" x14ac:dyDescent="0.25">
      <c r="A213" s="283"/>
      <c r="B213" s="283"/>
      <c r="C213" s="283"/>
      <c r="D213" s="283"/>
      <c r="E213" s="283"/>
      <c r="F213" s="283"/>
      <c r="G213" s="283"/>
      <c r="H213" s="283"/>
      <c r="I213" s="283"/>
      <c r="J213" s="283"/>
      <c r="K213" s="283"/>
      <c r="L213" s="283"/>
      <c r="M213" s="283"/>
      <c r="N213" s="283"/>
      <c r="O213" s="283"/>
      <c r="P213" s="283"/>
      <c r="Q213" s="283"/>
      <c r="R213" s="283"/>
      <c r="S213" s="283"/>
      <c r="T213" s="283"/>
      <c r="U213" s="283"/>
      <c r="V213" s="283"/>
      <c r="W213" s="283"/>
      <c r="X213" s="283"/>
      <c r="Y213" s="283"/>
      <c r="Z213" s="283"/>
    </row>
    <row r="214" spans="1:26" ht="15.75" customHeight="1" x14ac:dyDescent="0.25">
      <c r="A214" s="283"/>
      <c r="B214" s="283"/>
      <c r="C214" s="283"/>
      <c r="D214" s="283"/>
      <c r="E214" s="283"/>
      <c r="F214" s="283"/>
      <c r="G214" s="283"/>
      <c r="H214" s="283"/>
      <c r="I214" s="283"/>
      <c r="J214" s="283"/>
      <c r="K214" s="283"/>
      <c r="L214" s="283"/>
      <c r="M214" s="283"/>
      <c r="N214" s="283"/>
      <c r="O214" s="283"/>
      <c r="P214" s="283"/>
      <c r="Q214" s="283"/>
      <c r="R214" s="283"/>
      <c r="S214" s="283"/>
      <c r="T214" s="283"/>
      <c r="U214" s="283"/>
      <c r="V214" s="283"/>
      <c r="W214" s="283"/>
      <c r="X214" s="283"/>
      <c r="Y214" s="283"/>
      <c r="Z214" s="283"/>
    </row>
    <row r="215" spans="1:26" ht="15.75" customHeight="1" x14ac:dyDescent="0.25">
      <c r="A215" s="283"/>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row>
    <row r="216" spans="1:26" ht="15.75" customHeight="1" x14ac:dyDescent="0.25">
      <c r="A216" s="283"/>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row>
    <row r="217" spans="1:26" ht="15.75" customHeight="1" x14ac:dyDescent="0.25">
      <c r="A217" s="283"/>
      <c r="B217" s="283"/>
      <c r="C217" s="283"/>
      <c r="D217" s="283"/>
      <c r="E217" s="283"/>
      <c r="F217" s="283"/>
      <c r="G217" s="283"/>
      <c r="H217" s="283"/>
      <c r="I217" s="283"/>
      <c r="J217" s="283"/>
      <c r="K217" s="283"/>
      <c r="L217" s="283"/>
      <c r="M217" s="283"/>
      <c r="N217" s="283"/>
      <c r="O217" s="283"/>
      <c r="P217" s="283"/>
      <c r="Q217" s="283"/>
      <c r="R217" s="283"/>
      <c r="S217" s="283"/>
      <c r="T217" s="283"/>
      <c r="U217" s="283"/>
      <c r="V217" s="283"/>
      <c r="W217" s="283"/>
      <c r="X217" s="283"/>
      <c r="Y217" s="283"/>
      <c r="Z217" s="283"/>
    </row>
    <row r="218" spans="1:26" ht="15.75" customHeight="1" x14ac:dyDescent="0.25">
      <c r="A218" s="283"/>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row>
    <row r="219" spans="1:26" ht="15.75" customHeight="1" x14ac:dyDescent="0.25">
      <c r="A219" s="283"/>
      <c r="B219" s="283"/>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row>
    <row r="220" spans="1:26" ht="15.75" customHeight="1" x14ac:dyDescent="0.25">
      <c r="A220" s="283"/>
      <c r="B220" s="283"/>
      <c r="C220" s="283"/>
      <c r="D220" s="283"/>
      <c r="E220" s="283"/>
      <c r="F220" s="283"/>
      <c r="G220" s="283"/>
      <c r="H220" s="283"/>
      <c r="I220" s="283"/>
      <c r="J220" s="283"/>
      <c r="K220" s="283"/>
      <c r="L220" s="283"/>
      <c r="M220" s="283"/>
      <c r="N220" s="283"/>
      <c r="O220" s="283"/>
      <c r="P220" s="283"/>
      <c r="Q220" s="283"/>
      <c r="R220" s="283"/>
      <c r="S220" s="283"/>
      <c r="T220" s="283"/>
      <c r="U220" s="283"/>
      <c r="V220" s="283"/>
      <c r="W220" s="283"/>
      <c r="X220" s="283"/>
      <c r="Y220" s="283"/>
      <c r="Z220" s="283"/>
    </row>
    <row r="221" spans="1:26" ht="15.75" customHeight="1" x14ac:dyDescent="0.25">
      <c r="A221" s="283"/>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row>
    <row r="222" spans="1:26" ht="15.75" customHeight="1" x14ac:dyDescent="0.25">
      <c r="A222" s="283"/>
      <c r="B222" s="283"/>
      <c r="C222" s="283"/>
      <c r="D222" s="283"/>
      <c r="E222" s="283"/>
      <c r="F222" s="283"/>
      <c r="G222" s="283"/>
      <c r="H222" s="283"/>
      <c r="I222" s="283"/>
      <c r="J222" s="283"/>
      <c r="K222" s="283"/>
      <c r="L222" s="283"/>
      <c r="M222" s="283"/>
      <c r="N222" s="283"/>
      <c r="O222" s="283"/>
      <c r="P222" s="283"/>
      <c r="Q222" s="283"/>
      <c r="R222" s="283"/>
      <c r="S222" s="283"/>
      <c r="T222" s="283"/>
      <c r="U222" s="283"/>
      <c r="V222" s="283"/>
      <c r="W222" s="283"/>
      <c r="X222" s="283"/>
      <c r="Y222" s="283"/>
      <c r="Z222" s="283"/>
    </row>
    <row r="223" spans="1:26" ht="15.75" customHeight="1" x14ac:dyDescent="0.25">
      <c r="A223" s="283"/>
      <c r="B223" s="283"/>
      <c r="C223" s="283"/>
      <c r="D223" s="283"/>
      <c r="E223" s="283"/>
      <c r="F223" s="283"/>
      <c r="G223" s="283"/>
      <c r="H223" s="283"/>
      <c r="I223" s="283"/>
      <c r="J223" s="283"/>
      <c r="K223" s="283"/>
      <c r="L223" s="283"/>
      <c r="M223" s="283"/>
      <c r="N223" s="283"/>
      <c r="O223" s="283"/>
      <c r="P223" s="283"/>
      <c r="Q223" s="283"/>
      <c r="R223" s="283"/>
      <c r="S223" s="283"/>
      <c r="T223" s="283"/>
      <c r="U223" s="283"/>
      <c r="V223" s="283"/>
      <c r="W223" s="283"/>
      <c r="X223" s="283"/>
      <c r="Y223" s="283"/>
      <c r="Z223" s="283"/>
    </row>
    <row r="224" spans="1:26" ht="15.75" customHeight="1" x14ac:dyDescent="0.25">
      <c r="A224" s="283"/>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row>
    <row r="225" spans="1:26" ht="15.75" customHeight="1" x14ac:dyDescent="0.25">
      <c r="A225" s="283"/>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row>
    <row r="226" spans="1:26" ht="15.75" customHeight="1" x14ac:dyDescent="0.25">
      <c r="A226" s="283"/>
      <c r="B226" s="283"/>
      <c r="C226" s="283"/>
      <c r="D226" s="283"/>
      <c r="E226" s="283"/>
      <c r="F226" s="283"/>
      <c r="G226" s="283"/>
      <c r="H226" s="283"/>
      <c r="I226" s="283"/>
      <c r="J226" s="283"/>
      <c r="K226" s="283"/>
      <c r="L226" s="283"/>
      <c r="M226" s="283"/>
      <c r="N226" s="283"/>
      <c r="O226" s="283"/>
      <c r="P226" s="283"/>
      <c r="Q226" s="283"/>
      <c r="R226" s="283"/>
      <c r="S226" s="283"/>
      <c r="T226" s="283"/>
      <c r="U226" s="283"/>
      <c r="V226" s="283"/>
      <c r="W226" s="283"/>
      <c r="X226" s="283"/>
      <c r="Y226" s="283"/>
      <c r="Z226" s="283"/>
    </row>
    <row r="227" spans="1:26" ht="15.75" customHeight="1" x14ac:dyDescent="0.25">
      <c r="A227" s="283"/>
      <c r="B227" s="283"/>
      <c r="C227" s="283"/>
      <c r="D227" s="283"/>
      <c r="E227" s="283"/>
      <c r="F227" s="283"/>
      <c r="G227" s="283"/>
      <c r="H227" s="283"/>
      <c r="I227" s="283"/>
      <c r="J227" s="283"/>
      <c r="K227" s="283"/>
      <c r="L227" s="283"/>
      <c r="M227" s="283"/>
      <c r="N227" s="283"/>
      <c r="O227" s="283"/>
      <c r="P227" s="283"/>
      <c r="Q227" s="283"/>
      <c r="R227" s="283"/>
      <c r="S227" s="283"/>
      <c r="T227" s="283"/>
      <c r="U227" s="283"/>
      <c r="V227" s="283"/>
      <c r="W227" s="283"/>
      <c r="X227" s="283"/>
      <c r="Y227" s="283"/>
      <c r="Z227" s="283"/>
    </row>
    <row r="228" spans="1:26" ht="15.75" customHeight="1" x14ac:dyDescent="0.25">
      <c r="A228" s="283"/>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row>
    <row r="229" spans="1:26" ht="15.75" customHeight="1" x14ac:dyDescent="0.25">
      <c r="A229" s="283"/>
      <c r="B229" s="283"/>
      <c r="C229" s="283"/>
      <c r="D229" s="283"/>
      <c r="E229" s="283"/>
      <c r="F229" s="283"/>
      <c r="G229" s="283"/>
      <c r="H229" s="283"/>
      <c r="I229" s="283"/>
      <c r="J229" s="283"/>
      <c r="K229" s="283"/>
      <c r="L229" s="283"/>
      <c r="M229" s="283"/>
      <c r="N229" s="283"/>
      <c r="O229" s="283"/>
      <c r="P229" s="283"/>
      <c r="Q229" s="283"/>
      <c r="R229" s="283"/>
      <c r="S229" s="283"/>
      <c r="T229" s="283"/>
      <c r="U229" s="283"/>
      <c r="V229" s="283"/>
      <c r="W229" s="283"/>
      <c r="X229" s="283"/>
      <c r="Y229" s="283"/>
      <c r="Z229" s="283"/>
    </row>
    <row r="230" spans="1:26" ht="15.75" customHeight="1" x14ac:dyDescent="0.25">
      <c r="A230" s="283"/>
      <c r="B230" s="283"/>
      <c r="C230" s="283"/>
      <c r="D230" s="283"/>
      <c r="E230" s="283"/>
      <c r="F230" s="283"/>
      <c r="G230" s="283"/>
      <c r="H230" s="283"/>
      <c r="I230" s="283"/>
      <c r="J230" s="283"/>
      <c r="K230" s="283"/>
      <c r="L230" s="283"/>
      <c r="M230" s="283"/>
      <c r="N230" s="283"/>
      <c r="O230" s="283"/>
      <c r="P230" s="283"/>
      <c r="Q230" s="283"/>
      <c r="R230" s="283"/>
      <c r="S230" s="283"/>
      <c r="T230" s="283"/>
      <c r="U230" s="283"/>
      <c r="V230" s="283"/>
      <c r="W230" s="283"/>
      <c r="X230" s="283"/>
      <c r="Y230" s="283"/>
      <c r="Z230" s="283"/>
    </row>
    <row r="231" spans="1:26" ht="15.75" customHeight="1" x14ac:dyDescent="0.25">
      <c r="A231" s="283"/>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row>
    <row r="232" spans="1:26" ht="15.75" customHeight="1" x14ac:dyDescent="0.25">
      <c r="A232" s="283"/>
      <c r="B232" s="283"/>
      <c r="C232" s="283"/>
      <c r="D232" s="283"/>
      <c r="E232" s="283"/>
      <c r="F232" s="283"/>
      <c r="G232" s="283"/>
      <c r="H232" s="283"/>
      <c r="I232" s="283"/>
      <c r="J232" s="283"/>
      <c r="K232" s="283"/>
      <c r="L232" s="283"/>
      <c r="M232" s="283"/>
      <c r="N232" s="283"/>
      <c r="O232" s="283"/>
      <c r="P232" s="283"/>
      <c r="Q232" s="283"/>
      <c r="R232" s="283"/>
      <c r="S232" s="283"/>
      <c r="T232" s="283"/>
      <c r="U232" s="283"/>
      <c r="V232" s="283"/>
      <c r="W232" s="283"/>
      <c r="X232" s="283"/>
      <c r="Y232" s="283"/>
      <c r="Z232" s="283"/>
    </row>
    <row r="233" spans="1:26" ht="15.75" customHeight="1" x14ac:dyDescent="0.25">
      <c r="A233" s="283"/>
      <c r="B233" s="283"/>
      <c r="C233" s="283"/>
      <c r="D233" s="283"/>
      <c r="E233" s="283"/>
      <c r="F233" s="283"/>
      <c r="G233" s="283"/>
      <c r="H233" s="283"/>
      <c r="I233" s="283"/>
      <c r="J233" s="283"/>
      <c r="K233" s="283"/>
      <c r="L233" s="283"/>
      <c r="M233" s="283"/>
      <c r="N233" s="283"/>
      <c r="O233" s="283"/>
      <c r="P233" s="283"/>
      <c r="Q233" s="283"/>
      <c r="R233" s="283"/>
      <c r="S233" s="283"/>
      <c r="T233" s="283"/>
      <c r="U233" s="283"/>
      <c r="V233" s="283"/>
      <c r="W233" s="283"/>
      <c r="X233" s="283"/>
      <c r="Y233" s="283"/>
      <c r="Z233" s="283"/>
    </row>
    <row r="234" spans="1:26" ht="15.75" customHeight="1" x14ac:dyDescent="0.25">
      <c r="A234" s="283"/>
      <c r="B234" s="283"/>
      <c r="C234" s="283"/>
      <c r="D234" s="283"/>
      <c r="E234" s="283"/>
      <c r="F234" s="283"/>
      <c r="G234" s="283"/>
      <c r="H234" s="283"/>
      <c r="I234" s="283"/>
      <c r="J234" s="283"/>
      <c r="K234" s="283"/>
      <c r="L234" s="283"/>
      <c r="M234" s="283"/>
      <c r="N234" s="283"/>
      <c r="O234" s="283"/>
      <c r="P234" s="283"/>
      <c r="Q234" s="283"/>
      <c r="R234" s="283"/>
      <c r="S234" s="283"/>
      <c r="T234" s="283"/>
      <c r="U234" s="283"/>
      <c r="V234" s="283"/>
      <c r="W234" s="283"/>
      <c r="X234" s="283"/>
      <c r="Y234" s="283"/>
      <c r="Z234" s="283"/>
    </row>
    <row r="235" spans="1:26" ht="15.75" customHeight="1" x14ac:dyDescent="0.25">
      <c r="A235" s="283"/>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row>
    <row r="236" spans="1:26" ht="15.75" customHeight="1" x14ac:dyDescent="0.25">
      <c r="A236" s="283"/>
      <c r="B236" s="283"/>
      <c r="C236" s="283"/>
      <c r="D236" s="283"/>
      <c r="E236" s="283"/>
      <c r="F236" s="283"/>
      <c r="G236" s="283"/>
      <c r="H236" s="283"/>
      <c r="I236" s="283"/>
      <c r="J236" s="283"/>
      <c r="K236" s="283"/>
      <c r="L236" s="283"/>
      <c r="M236" s="283"/>
      <c r="N236" s="283"/>
      <c r="O236" s="283"/>
      <c r="P236" s="283"/>
      <c r="Q236" s="283"/>
      <c r="R236" s="283"/>
      <c r="S236" s="283"/>
      <c r="T236" s="283"/>
      <c r="U236" s="283"/>
      <c r="V236" s="283"/>
      <c r="W236" s="283"/>
      <c r="X236" s="283"/>
      <c r="Y236" s="283"/>
      <c r="Z236" s="283"/>
    </row>
    <row r="237" spans="1:26" ht="15.75" customHeight="1" x14ac:dyDescent="0.25">
      <c r="A237" s="283"/>
      <c r="B237" s="283"/>
      <c r="C237" s="283"/>
      <c r="D237" s="283"/>
      <c r="E237" s="283"/>
      <c r="F237" s="283"/>
      <c r="G237" s="283"/>
      <c r="H237" s="283"/>
      <c r="I237" s="283"/>
      <c r="J237" s="283"/>
      <c r="K237" s="283"/>
      <c r="L237" s="283"/>
      <c r="M237" s="283"/>
      <c r="N237" s="283"/>
      <c r="O237" s="283"/>
      <c r="P237" s="283"/>
      <c r="Q237" s="283"/>
      <c r="R237" s="283"/>
      <c r="S237" s="283"/>
      <c r="T237" s="283"/>
      <c r="U237" s="283"/>
      <c r="V237" s="283"/>
      <c r="W237" s="283"/>
      <c r="X237" s="283"/>
      <c r="Y237" s="283"/>
      <c r="Z237" s="283"/>
    </row>
    <row r="238" spans="1:26" ht="15.75" customHeight="1" x14ac:dyDescent="0.25">
      <c r="A238" s="283"/>
      <c r="B238" s="283"/>
      <c r="C238" s="283"/>
      <c r="D238" s="283"/>
      <c r="E238" s="283"/>
      <c r="F238" s="283"/>
      <c r="G238" s="283"/>
      <c r="H238" s="283"/>
      <c r="I238" s="283"/>
      <c r="J238" s="283"/>
      <c r="K238" s="283"/>
      <c r="L238" s="283"/>
      <c r="M238" s="283"/>
      <c r="N238" s="283"/>
      <c r="O238" s="283"/>
      <c r="P238" s="283"/>
      <c r="Q238" s="283"/>
      <c r="R238" s="283"/>
      <c r="S238" s="283"/>
      <c r="T238" s="283"/>
      <c r="U238" s="283"/>
      <c r="V238" s="283"/>
      <c r="W238" s="283"/>
      <c r="X238" s="283"/>
      <c r="Y238" s="283"/>
      <c r="Z238" s="283"/>
    </row>
    <row r="239" spans="1:26" ht="15.75" customHeight="1" x14ac:dyDescent="0.25">
      <c r="A239" s="283"/>
      <c r="B239" s="283"/>
      <c r="C239" s="283"/>
      <c r="D239" s="283"/>
      <c r="E239" s="283"/>
      <c r="F239" s="283"/>
      <c r="G239" s="283"/>
      <c r="H239" s="283"/>
      <c r="I239" s="283"/>
      <c r="J239" s="283"/>
      <c r="K239" s="283"/>
      <c r="L239" s="283"/>
      <c r="M239" s="283"/>
      <c r="N239" s="283"/>
      <c r="O239" s="283"/>
      <c r="P239" s="283"/>
      <c r="Q239" s="283"/>
      <c r="R239" s="283"/>
      <c r="S239" s="283"/>
      <c r="T239" s="283"/>
      <c r="U239" s="283"/>
      <c r="V239" s="283"/>
      <c r="W239" s="283"/>
      <c r="X239" s="283"/>
      <c r="Y239" s="283"/>
      <c r="Z239" s="283"/>
    </row>
    <row r="240" spans="1:26" ht="15.75" customHeight="1" x14ac:dyDescent="0.25">
      <c r="A240" s="283"/>
      <c r="B240" s="283"/>
      <c r="C240" s="283"/>
      <c r="D240" s="283"/>
      <c r="E240" s="283"/>
      <c r="F240" s="283"/>
      <c r="G240" s="283"/>
      <c r="H240" s="283"/>
      <c r="I240" s="283"/>
      <c r="J240" s="283"/>
      <c r="K240" s="283"/>
      <c r="L240" s="283"/>
      <c r="M240" s="283"/>
      <c r="N240" s="283"/>
      <c r="O240" s="283"/>
      <c r="P240" s="283"/>
      <c r="Q240" s="283"/>
      <c r="R240" s="283"/>
      <c r="S240" s="283"/>
      <c r="T240" s="283"/>
      <c r="U240" s="283"/>
      <c r="V240" s="283"/>
      <c r="W240" s="283"/>
      <c r="X240" s="283"/>
      <c r="Y240" s="283"/>
      <c r="Z240" s="283"/>
    </row>
    <row r="241" spans="1:26" ht="15.75" customHeight="1" x14ac:dyDescent="0.25">
      <c r="A241" s="283"/>
      <c r="B241" s="283"/>
      <c r="C241" s="283"/>
      <c r="D241" s="283"/>
      <c r="E241" s="283"/>
      <c r="F241" s="283"/>
      <c r="G241" s="283"/>
      <c r="H241" s="283"/>
      <c r="I241" s="283"/>
      <c r="J241" s="283"/>
      <c r="K241" s="283"/>
      <c r="L241" s="283"/>
      <c r="M241" s="283"/>
      <c r="N241" s="283"/>
      <c r="O241" s="283"/>
      <c r="P241" s="283"/>
      <c r="Q241" s="283"/>
      <c r="R241" s="283"/>
      <c r="S241" s="283"/>
      <c r="T241" s="283"/>
      <c r="U241" s="283"/>
      <c r="V241" s="283"/>
      <c r="W241" s="283"/>
      <c r="X241" s="283"/>
      <c r="Y241" s="283"/>
      <c r="Z241" s="283"/>
    </row>
    <row r="242" spans="1:26" ht="15.75" customHeight="1" x14ac:dyDescent="0.25">
      <c r="A242" s="283"/>
      <c r="B242" s="283"/>
      <c r="C242" s="283"/>
      <c r="D242" s="283"/>
      <c r="E242" s="283"/>
      <c r="F242" s="283"/>
      <c r="G242" s="283"/>
      <c r="H242" s="283"/>
      <c r="I242" s="283"/>
      <c r="J242" s="283"/>
      <c r="K242" s="283"/>
      <c r="L242" s="283"/>
      <c r="M242" s="283"/>
      <c r="N242" s="283"/>
      <c r="O242" s="283"/>
      <c r="P242" s="283"/>
      <c r="Q242" s="283"/>
      <c r="R242" s="283"/>
      <c r="S242" s="283"/>
      <c r="T242" s="283"/>
      <c r="U242" s="283"/>
      <c r="V242" s="283"/>
      <c r="W242" s="283"/>
      <c r="X242" s="283"/>
      <c r="Y242" s="283"/>
      <c r="Z242" s="283"/>
    </row>
    <row r="243" spans="1:26" ht="15.75" customHeight="1" x14ac:dyDescent="0.25">
      <c r="A243" s="283"/>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row>
    <row r="244" spans="1:26" ht="15.75" customHeight="1" x14ac:dyDescent="0.25">
      <c r="A244" s="283"/>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row>
    <row r="245" spans="1:26" ht="15.75" customHeight="1" x14ac:dyDescent="0.25">
      <c r="A245" s="283"/>
      <c r="B245" s="283"/>
      <c r="C245" s="283"/>
      <c r="D245" s="283"/>
      <c r="E245" s="283"/>
      <c r="F245" s="283"/>
      <c r="G245" s="283"/>
      <c r="H245" s="283"/>
      <c r="I245" s="283"/>
      <c r="J245" s="283"/>
      <c r="K245" s="283"/>
      <c r="L245" s="283"/>
      <c r="M245" s="283"/>
      <c r="N245" s="283"/>
      <c r="O245" s="283"/>
      <c r="P245" s="283"/>
      <c r="Q245" s="283"/>
      <c r="R245" s="283"/>
      <c r="S245" s="283"/>
      <c r="T245" s="283"/>
      <c r="U245" s="283"/>
      <c r="V245" s="283"/>
      <c r="W245" s="283"/>
      <c r="X245" s="283"/>
      <c r="Y245" s="283"/>
      <c r="Z245" s="283"/>
    </row>
    <row r="246" spans="1:26" ht="15.75" customHeight="1" x14ac:dyDescent="0.25">
      <c r="A246" s="283"/>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row>
    <row r="247" spans="1:26" ht="15.75" customHeight="1" x14ac:dyDescent="0.25">
      <c r="A247" s="283"/>
      <c r="B247" s="283"/>
      <c r="C247" s="283"/>
      <c r="D247" s="283"/>
      <c r="E247" s="283"/>
      <c r="F247" s="283"/>
      <c r="G247" s="283"/>
      <c r="H247" s="283"/>
      <c r="I247" s="283"/>
      <c r="J247" s="283"/>
      <c r="K247" s="283"/>
      <c r="L247" s="283"/>
      <c r="M247" s="283"/>
      <c r="N247" s="283"/>
      <c r="O247" s="283"/>
      <c r="P247" s="283"/>
      <c r="Q247" s="283"/>
      <c r="R247" s="283"/>
      <c r="S247" s="283"/>
      <c r="T247" s="283"/>
      <c r="U247" s="283"/>
      <c r="V247" s="283"/>
      <c r="W247" s="283"/>
      <c r="X247" s="283"/>
      <c r="Y247" s="283"/>
      <c r="Z247" s="283"/>
    </row>
    <row r="248" spans="1:26" ht="15.75" customHeight="1" x14ac:dyDescent="0.25">
      <c r="A248" s="283"/>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row>
    <row r="249" spans="1:26" ht="15.75" customHeight="1" x14ac:dyDescent="0.25">
      <c r="A249" s="283"/>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row>
    <row r="250" spans="1:26" ht="15.75" customHeight="1" x14ac:dyDescent="0.25">
      <c r="A250" s="283"/>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row>
    <row r="251" spans="1:26" ht="15.75" customHeight="1" x14ac:dyDescent="0.25">
      <c r="A251" s="283"/>
      <c r="B251" s="283"/>
      <c r="C251" s="283"/>
      <c r="D251" s="283"/>
      <c r="E251" s="283"/>
      <c r="F251" s="283"/>
      <c r="G251" s="283"/>
      <c r="H251" s="283"/>
      <c r="I251" s="283"/>
      <c r="J251" s="283"/>
      <c r="K251" s="283"/>
      <c r="L251" s="283"/>
      <c r="M251" s="283"/>
      <c r="N251" s="283"/>
      <c r="O251" s="283"/>
      <c r="P251" s="283"/>
      <c r="Q251" s="283"/>
      <c r="R251" s="283"/>
      <c r="S251" s="283"/>
      <c r="T251" s="283"/>
      <c r="U251" s="283"/>
      <c r="V251" s="283"/>
      <c r="W251" s="283"/>
      <c r="X251" s="283"/>
      <c r="Y251" s="283"/>
      <c r="Z251" s="283"/>
    </row>
    <row r="252" spans="1:26" ht="15.75" customHeight="1" x14ac:dyDescent="0.25">
      <c r="A252" s="283"/>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row>
    <row r="253" spans="1:26" ht="15.75" customHeight="1" x14ac:dyDescent="0.25">
      <c r="A253" s="283"/>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row>
    <row r="254" spans="1:26" ht="15.75" customHeight="1" x14ac:dyDescent="0.25">
      <c r="A254" s="283"/>
      <c r="B254" s="283"/>
      <c r="C254" s="283"/>
      <c r="D254" s="283"/>
      <c r="E254" s="283"/>
      <c r="F254" s="283"/>
      <c r="G254" s="283"/>
      <c r="H254" s="283"/>
      <c r="I254" s="283"/>
      <c r="J254" s="283"/>
      <c r="K254" s="283"/>
      <c r="L254" s="283"/>
      <c r="M254" s="283"/>
      <c r="N254" s="283"/>
      <c r="O254" s="283"/>
      <c r="P254" s="283"/>
      <c r="Q254" s="283"/>
      <c r="R254" s="283"/>
      <c r="S254" s="283"/>
      <c r="T254" s="283"/>
      <c r="U254" s="283"/>
      <c r="V254" s="283"/>
      <c r="W254" s="283"/>
      <c r="X254" s="283"/>
      <c r="Y254" s="283"/>
      <c r="Z254" s="283"/>
    </row>
    <row r="255" spans="1:26" ht="15.75" customHeight="1" x14ac:dyDescent="0.25">
      <c r="A255" s="283"/>
      <c r="B255" s="283"/>
      <c r="C255" s="283"/>
      <c r="D255" s="283"/>
      <c r="E255" s="283"/>
      <c r="F255" s="283"/>
      <c r="G255" s="283"/>
      <c r="H255" s="283"/>
      <c r="I255" s="283"/>
      <c r="J255" s="283"/>
      <c r="K255" s="283"/>
      <c r="L255" s="283"/>
      <c r="M255" s="283"/>
      <c r="N255" s="283"/>
      <c r="O255" s="283"/>
      <c r="P255" s="283"/>
      <c r="Q255" s="283"/>
      <c r="R255" s="283"/>
      <c r="S255" s="283"/>
      <c r="T255" s="283"/>
      <c r="U255" s="283"/>
      <c r="V255" s="283"/>
      <c r="W255" s="283"/>
      <c r="X255" s="283"/>
      <c r="Y255" s="283"/>
      <c r="Z255" s="283"/>
    </row>
    <row r="256" spans="1:26" ht="15.75" customHeight="1" x14ac:dyDescent="0.25">
      <c r="A256" s="283"/>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row>
    <row r="257" spans="1:26" ht="15.75" customHeight="1" x14ac:dyDescent="0.25">
      <c r="A257" s="283"/>
      <c r="B257" s="283"/>
      <c r="C257" s="283"/>
      <c r="D257" s="283"/>
      <c r="E257" s="283"/>
      <c r="F257" s="283"/>
      <c r="G257" s="283"/>
      <c r="H257" s="283"/>
      <c r="I257" s="283"/>
      <c r="J257" s="283"/>
      <c r="K257" s="283"/>
      <c r="L257" s="283"/>
      <c r="M257" s="283"/>
      <c r="N257" s="283"/>
      <c r="O257" s="283"/>
      <c r="P257" s="283"/>
      <c r="Q257" s="283"/>
      <c r="R257" s="283"/>
      <c r="S257" s="283"/>
      <c r="T257" s="283"/>
      <c r="U257" s="283"/>
      <c r="V257" s="283"/>
      <c r="W257" s="283"/>
      <c r="X257" s="283"/>
      <c r="Y257" s="283"/>
      <c r="Z257" s="283"/>
    </row>
    <row r="258" spans="1:26" ht="15.75" customHeight="1" x14ac:dyDescent="0.25">
      <c r="A258" s="283"/>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row>
    <row r="259" spans="1:26" ht="15.75" customHeight="1" x14ac:dyDescent="0.25">
      <c r="A259" s="283"/>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row>
    <row r="260" spans="1:26" ht="15.75" customHeight="1" x14ac:dyDescent="0.25">
      <c r="A260" s="283"/>
      <c r="B260" s="283"/>
      <c r="C260" s="283"/>
      <c r="D260" s="283"/>
      <c r="E260" s="283"/>
      <c r="F260" s="283"/>
      <c r="G260" s="283"/>
      <c r="H260" s="283"/>
      <c r="I260" s="283"/>
      <c r="J260" s="283"/>
      <c r="K260" s="283"/>
      <c r="L260" s="283"/>
      <c r="M260" s="283"/>
      <c r="N260" s="283"/>
      <c r="O260" s="283"/>
      <c r="P260" s="283"/>
      <c r="Q260" s="283"/>
      <c r="R260" s="283"/>
      <c r="S260" s="283"/>
      <c r="T260" s="283"/>
      <c r="U260" s="283"/>
      <c r="V260" s="283"/>
      <c r="W260" s="283"/>
      <c r="X260" s="283"/>
      <c r="Y260" s="283"/>
      <c r="Z260" s="283"/>
    </row>
    <row r="261" spans="1:26" ht="15.75" customHeight="1" x14ac:dyDescent="0.25">
      <c r="A261" s="283"/>
      <c r="B261" s="283"/>
      <c r="C261" s="283"/>
      <c r="D261" s="283"/>
      <c r="E261" s="283"/>
      <c r="F261" s="283"/>
      <c r="G261" s="283"/>
      <c r="H261" s="283"/>
      <c r="I261" s="283"/>
      <c r="J261" s="283"/>
      <c r="K261" s="283"/>
      <c r="L261" s="283"/>
      <c r="M261" s="283"/>
      <c r="N261" s="283"/>
      <c r="O261" s="283"/>
      <c r="P261" s="283"/>
      <c r="Q261" s="283"/>
      <c r="R261" s="283"/>
      <c r="S261" s="283"/>
      <c r="T261" s="283"/>
      <c r="U261" s="283"/>
      <c r="V261" s="283"/>
      <c r="W261" s="283"/>
      <c r="X261" s="283"/>
      <c r="Y261" s="283"/>
      <c r="Z261" s="283"/>
    </row>
    <row r="262" spans="1:26" ht="15.75" customHeight="1" x14ac:dyDescent="0.25">
      <c r="A262" s="283"/>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row>
    <row r="263" spans="1:26" ht="15.75" customHeight="1" x14ac:dyDescent="0.25">
      <c r="A263" s="283"/>
      <c r="B263" s="283"/>
      <c r="C263" s="283"/>
      <c r="D263" s="283"/>
      <c r="E263" s="283"/>
      <c r="F263" s="283"/>
      <c r="G263" s="283"/>
      <c r="H263" s="283"/>
      <c r="I263" s="283"/>
      <c r="J263" s="283"/>
      <c r="K263" s="283"/>
      <c r="L263" s="283"/>
      <c r="M263" s="283"/>
      <c r="N263" s="283"/>
      <c r="O263" s="283"/>
      <c r="P263" s="283"/>
      <c r="Q263" s="283"/>
      <c r="R263" s="283"/>
      <c r="S263" s="283"/>
      <c r="T263" s="283"/>
      <c r="U263" s="283"/>
      <c r="V263" s="283"/>
      <c r="W263" s="283"/>
      <c r="X263" s="283"/>
      <c r="Y263" s="283"/>
      <c r="Z263" s="283"/>
    </row>
    <row r="264" spans="1:26" ht="15.75" customHeight="1" x14ac:dyDescent="0.25">
      <c r="A264" s="283"/>
      <c r="B264" s="283"/>
      <c r="C264" s="283"/>
      <c r="D264" s="283"/>
      <c r="E264" s="283"/>
      <c r="F264" s="283"/>
      <c r="G264" s="283"/>
      <c r="H264" s="283"/>
      <c r="I264" s="283"/>
      <c r="J264" s="283"/>
      <c r="K264" s="283"/>
      <c r="L264" s="283"/>
      <c r="M264" s="283"/>
      <c r="N264" s="283"/>
      <c r="O264" s="283"/>
      <c r="P264" s="283"/>
      <c r="Q264" s="283"/>
      <c r="R264" s="283"/>
      <c r="S264" s="283"/>
      <c r="T264" s="283"/>
      <c r="U264" s="283"/>
      <c r="V264" s="283"/>
      <c r="W264" s="283"/>
      <c r="X264" s="283"/>
      <c r="Y264" s="283"/>
      <c r="Z264" s="283"/>
    </row>
    <row r="265" spans="1:26" ht="15.75" customHeight="1" x14ac:dyDescent="0.25">
      <c r="A265" s="283"/>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row>
    <row r="266" spans="1:26" ht="15.75" customHeight="1" x14ac:dyDescent="0.25">
      <c r="A266" s="283"/>
      <c r="B266" s="283"/>
      <c r="C266" s="283"/>
      <c r="D266" s="283"/>
      <c r="E266" s="283"/>
      <c r="F266" s="283"/>
      <c r="G266" s="283"/>
      <c r="H266" s="283"/>
      <c r="I266" s="283"/>
      <c r="J266" s="283"/>
      <c r="K266" s="283"/>
      <c r="L266" s="283"/>
      <c r="M266" s="283"/>
      <c r="N266" s="283"/>
      <c r="O266" s="283"/>
      <c r="P266" s="283"/>
      <c r="Q266" s="283"/>
      <c r="R266" s="283"/>
      <c r="S266" s="283"/>
      <c r="T266" s="283"/>
      <c r="U266" s="283"/>
      <c r="V266" s="283"/>
      <c r="W266" s="283"/>
      <c r="X266" s="283"/>
      <c r="Y266" s="283"/>
      <c r="Z266" s="283"/>
    </row>
    <row r="267" spans="1:26" ht="15.75" customHeight="1" x14ac:dyDescent="0.25">
      <c r="A267" s="283"/>
      <c r="B267" s="283"/>
      <c r="C267" s="283"/>
      <c r="D267" s="283"/>
      <c r="E267" s="283"/>
      <c r="F267" s="283"/>
      <c r="G267" s="283"/>
      <c r="H267" s="283"/>
      <c r="I267" s="283"/>
      <c r="J267" s="283"/>
      <c r="K267" s="283"/>
      <c r="L267" s="283"/>
      <c r="M267" s="283"/>
      <c r="N267" s="283"/>
      <c r="O267" s="283"/>
      <c r="P267" s="283"/>
      <c r="Q267" s="283"/>
      <c r="R267" s="283"/>
      <c r="S267" s="283"/>
      <c r="T267" s="283"/>
      <c r="U267" s="283"/>
      <c r="V267" s="283"/>
      <c r="W267" s="283"/>
      <c r="X267" s="283"/>
      <c r="Y267" s="283"/>
      <c r="Z267" s="283"/>
    </row>
    <row r="268" spans="1:26" ht="15.75" customHeight="1" x14ac:dyDescent="0.25">
      <c r="A268" s="283"/>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row>
    <row r="269" spans="1:26" ht="15.75" customHeight="1" x14ac:dyDescent="0.25">
      <c r="A269" s="283"/>
      <c r="B269" s="283"/>
      <c r="C269" s="283"/>
      <c r="D269" s="283"/>
      <c r="E269" s="283"/>
      <c r="F269" s="283"/>
      <c r="G269" s="283"/>
      <c r="H269" s="283"/>
      <c r="I269" s="283"/>
      <c r="J269" s="283"/>
      <c r="K269" s="283"/>
      <c r="L269" s="283"/>
      <c r="M269" s="283"/>
      <c r="N269" s="283"/>
      <c r="O269" s="283"/>
      <c r="P269" s="283"/>
      <c r="Q269" s="283"/>
      <c r="R269" s="283"/>
      <c r="S269" s="283"/>
      <c r="T269" s="283"/>
      <c r="U269" s="283"/>
      <c r="V269" s="283"/>
      <c r="W269" s="283"/>
      <c r="X269" s="283"/>
      <c r="Y269" s="283"/>
      <c r="Z269" s="283"/>
    </row>
    <row r="270" spans="1:26" ht="15.75" customHeight="1" x14ac:dyDescent="0.25">
      <c r="A270" s="283"/>
      <c r="B270" s="283"/>
      <c r="C270" s="283"/>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row>
    <row r="271" spans="1:26" ht="15.75" customHeight="1" x14ac:dyDescent="0.25">
      <c r="A271" s="283"/>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c r="Y271" s="283"/>
      <c r="Z271" s="283"/>
    </row>
    <row r="272" spans="1:26" ht="15.75" customHeight="1" x14ac:dyDescent="0.25">
      <c r="A272" s="283"/>
      <c r="B272" s="283"/>
      <c r="C272" s="283"/>
      <c r="D272" s="283"/>
      <c r="E272" s="283"/>
      <c r="F272" s="283"/>
      <c r="G272" s="283"/>
      <c r="H272" s="283"/>
      <c r="I272" s="283"/>
      <c r="J272" s="283"/>
      <c r="K272" s="283"/>
      <c r="L272" s="283"/>
      <c r="M272" s="283"/>
      <c r="N272" s="283"/>
      <c r="O272" s="283"/>
      <c r="P272" s="283"/>
      <c r="Q272" s="283"/>
      <c r="R272" s="283"/>
      <c r="S272" s="283"/>
      <c r="T272" s="283"/>
      <c r="U272" s="283"/>
      <c r="V272" s="283"/>
      <c r="W272" s="283"/>
      <c r="X272" s="283"/>
      <c r="Y272" s="283"/>
      <c r="Z272" s="283"/>
    </row>
    <row r="273" spans="1:26" ht="15.75" customHeight="1" x14ac:dyDescent="0.25">
      <c r="A273" s="283"/>
      <c r="B273" s="283"/>
      <c r="C273" s="283"/>
      <c r="D273" s="283"/>
      <c r="E273" s="283"/>
      <c r="F273" s="283"/>
      <c r="G273" s="283"/>
      <c r="H273" s="283"/>
      <c r="I273" s="283"/>
      <c r="J273" s="283"/>
      <c r="K273" s="283"/>
      <c r="L273" s="283"/>
      <c r="M273" s="283"/>
      <c r="N273" s="283"/>
      <c r="O273" s="283"/>
      <c r="P273" s="283"/>
      <c r="Q273" s="283"/>
      <c r="R273" s="283"/>
      <c r="S273" s="283"/>
      <c r="T273" s="283"/>
      <c r="U273" s="283"/>
      <c r="V273" s="283"/>
      <c r="W273" s="283"/>
      <c r="X273" s="283"/>
      <c r="Y273" s="283"/>
      <c r="Z273" s="283"/>
    </row>
    <row r="274" spans="1:26" ht="15.75" customHeight="1" x14ac:dyDescent="0.25">
      <c r="A274" s="283"/>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c r="Y274" s="283"/>
      <c r="Z274" s="283"/>
    </row>
    <row r="275" spans="1:26" ht="15.75" customHeight="1" x14ac:dyDescent="0.25">
      <c r="A275" s="283"/>
      <c r="B275" s="283"/>
      <c r="C275" s="283"/>
      <c r="D275" s="283"/>
      <c r="E275" s="283"/>
      <c r="F275" s="283"/>
      <c r="G275" s="283"/>
      <c r="H275" s="283"/>
      <c r="I275" s="283"/>
      <c r="J275" s="283"/>
      <c r="K275" s="283"/>
      <c r="L275" s="283"/>
      <c r="M275" s="283"/>
      <c r="N275" s="283"/>
      <c r="O275" s="283"/>
      <c r="P275" s="283"/>
      <c r="Q275" s="283"/>
      <c r="R275" s="283"/>
      <c r="S275" s="283"/>
      <c r="T275" s="283"/>
      <c r="U275" s="283"/>
      <c r="V275" s="283"/>
      <c r="W275" s="283"/>
      <c r="X275" s="283"/>
      <c r="Y275" s="283"/>
      <c r="Z275" s="283"/>
    </row>
    <row r="276" spans="1:26" ht="15.75" customHeight="1" x14ac:dyDescent="0.25">
      <c r="A276" s="283"/>
      <c r="B276" s="283"/>
      <c r="C276" s="283"/>
      <c r="D276" s="283"/>
      <c r="E276" s="283"/>
      <c r="F276" s="283"/>
      <c r="G276" s="283"/>
      <c r="H276" s="283"/>
      <c r="I276" s="283"/>
      <c r="J276" s="283"/>
      <c r="K276" s="283"/>
      <c r="L276" s="283"/>
      <c r="M276" s="283"/>
      <c r="N276" s="283"/>
      <c r="O276" s="283"/>
      <c r="P276" s="283"/>
      <c r="Q276" s="283"/>
      <c r="R276" s="283"/>
      <c r="S276" s="283"/>
      <c r="T276" s="283"/>
      <c r="U276" s="283"/>
      <c r="V276" s="283"/>
      <c r="W276" s="283"/>
      <c r="X276" s="283"/>
      <c r="Y276" s="283"/>
      <c r="Z276" s="283"/>
    </row>
    <row r="277" spans="1:26" ht="15.75" customHeight="1" x14ac:dyDescent="0.25">
      <c r="A277" s="283"/>
      <c r="B277" s="283"/>
      <c r="C277" s="283"/>
      <c r="D277" s="283"/>
      <c r="E277" s="283"/>
      <c r="F277" s="283"/>
      <c r="G277" s="283"/>
      <c r="H277" s="283"/>
      <c r="I277" s="283"/>
      <c r="J277" s="283"/>
      <c r="K277" s="283"/>
      <c r="L277" s="283"/>
      <c r="M277" s="283"/>
      <c r="N277" s="283"/>
      <c r="O277" s="283"/>
      <c r="P277" s="283"/>
      <c r="Q277" s="283"/>
      <c r="R277" s="283"/>
      <c r="S277" s="283"/>
      <c r="T277" s="283"/>
      <c r="U277" s="283"/>
      <c r="V277" s="283"/>
      <c r="W277" s="283"/>
      <c r="X277" s="283"/>
      <c r="Y277" s="283"/>
      <c r="Z277" s="283"/>
    </row>
    <row r="278" spans="1:26" ht="15.75" customHeight="1" x14ac:dyDescent="0.25">
      <c r="A278" s="283"/>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c r="Y278" s="283"/>
      <c r="Z278" s="283"/>
    </row>
    <row r="279" spans="1:26" ht="15.75" customHeight="1" x14ac:dyDescent="0.25">
      <c r="A279" s="283"/>
      <c r="B279" s="283"/>
      <c r="C279" s="283"/>
      <c r="D279" s="283"/>
      <c r="E279" s="283"/>
      <c r="F279" s="283"/>
      <c r="G279" s="283"/>
      <c r="H279" s="283"/>
      <c r="I279" s="283"/>
      <c r="J279" s="283"/>
      <c r="K279" s="283"/>
      <c r="L279" s="283"/>
      <c r="M279" s="283"/>
      <c r="N279" s="283"/>
      <c r="O279" s="283"/>
      <c r="P279" s="283"/>
      <c r="Q279" s="283"/>
      <c r="R279" s="283"/>
      <c r="S279" s="283"/>
      <c r="T279" s="283"/>
      <c r="U279" s="283"/>
      <c r="V279" s="283"/>
      <c r="W279" s="283"/>
      <c r="X279" s="283"/>
      <c r="Y279" s="283"/>
      <c r="Z279" s="283"/>
    </row>
    <row r="280" spans="1:26" ht="15.75" customHeight="1" x14ac:dyDescent="0.25">
      <c r="A280" s="283"/>
      <c r="B280" s="283"/>
      <c r="C280" s="283"/>
      <c r="D280" s="283"/>
      <c r="E280" s="283"/>
      <c r="F280" s="283"/>
      <c r="G280" s="283"/>
      <c r="H280" s="283"/>
      <c r="I280" s="283"/>
      <c r="J280" s="283"/>
      <c r="K280" s="283"/>
      <c r="L280" s="283"/>
      <c r="M280" s="283"/>
      <c r="N280" s="283"/>
      <c r="O280" s="283"/>
      <c r="P280" s="283"/>
      <c r="Q280" s="283"/>
      <c r="R280" s="283"/>
      <c r="S280" s="283"/>
      <c r="T280" s="283"/>
      <c r="U280" s="283"/>
      <c r="V280" s="283"/>
      <c r="W280" s="283"/>
      <c r="X280" s="283"/>
      <c r="Y280" s="283"/>
      <c r="Z280" s="283"/>
    </row>
    <row r="281" spans="1:26" ht="15.75" customHeight="1" x14ac:dyDescent="0.25">
      <c r="A281" s="283"/>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row>
    <row r="282" spans="1:26" ht="15.75" customHeight="1" x14ac:dyDescent="0.25">
      <c r="A282" s="283"/>
      <c r="B282" s="283"/>
      <c r="C282" s="283"/>
      <c r="D282" s="283"/>
      <c r="E282" s="283"/>
      <c r="F282" s="283"/>
      <c r="G282" s="283"/>
      <c r="H282" s="283"/>
      <c r="I282" s="283"/>
      <c r="J282" s="283"/>
      <c r="K282" s="283"/>
      <c r="L282" s="283"/>
      <c r="M282" s="283"/>
      <c r="N282" s="283"/>
      <c r="O282" s="283"/>
      <c r="P282" s="283"/>
      <c r="Q282" s="283"/>
      <c r="R282" s="283"/>
      <c r="S282" s="283"/>
      <c r="T282" s="283"/>
      <c r="U282" s="283"/>
      <c r="V282" s="283"/>
      <c r="W282" s="283"/>
      <c r="X282" s="283"/>
      <c r="Y282" s="283"/>
      <c r="Z282" s="283"/>
    </row>
    <row r="283" spans="1:26" ht="15.75" customHeight="1" x14ac:dyDescent="0.25">
      <c r="A283" s="283"/>
      <c r="B283" s="283"/>
      <c r="C283" s="283"/>
      <c r="D283" s="283"/>
      <c r="E283" s="283"/>
      <c r="F283" s="283"/>
      <c r="G283" s="283"/>
      <c r="H283" s="283"/>
      <c r="I283" s="283"/>
      <c r="J283" s="283"/>
      <c r="K283" s="283"/>
      <c r="L283" s="283"/>
      <c r="M283" s="283"/>
      <c r="N283" s="283"/>
      <c r="O283" s="283"/>
      <c r="P283" s="283"/>
      <c r="Q283" s="283"/>
      <c r="R283" s="283"/>
      <c r="S283" s="283"/>
      <c r="T283" s="283"/>
      <c r="U283" s="283"/>
      <c r="V283" s="283"/>
      <c r="W283" s="283"/>
      <c r="X283" s="283"/>
      <c r="Y283" s="283"/>
      <c r="Z283" s="283"/>
    </row>
    <row r="284" spans="1:26" ht="15.75" customHeight="1" x14ac:dyDescent="0.25">
      <c r="A284" s="283"/>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c r="Y284" s="283"/>
      <c r="Z284" s="283"/>
    </row>
    <row r="285" spans="1:26" ht="15.75" customHeight="1" x14ac:dyDescent="0.25">
      <c r="A285" s="283"/>
      <c r="B285" s="283"/>
      <c r="C285" s="283"/>
      <c r="D285" s="283"/>
      <c r="E285" s="283"/>
      <c r="F285" s="283"/>
      <c r="G285" s="283"/>
      <c r="H285" s="283"/>
      <c r="I285" s="283"/>
      <c r="J285" s="283"/>
      <c r="K285" s="283"/>
      <c r="L285" s="283"/>
      <c r="M285" s="283"/>
      <c r="N285" s="283"/>
      <c r="O285" s="283"/>
      <c r="P285" s="283"/>
      <c r="Q285" s="283"/>
      <c r="R285" s="283"/>
      <c r="S285" s="283"/>
      <c r="T285" s="283"/>
      <c r="U285" s="283"/>
      <c r="V285" s="283"/>
      <c r="W285" s="283"/>
      <c r="X285" s="283"/>
      <c r="Y285" s="283"/>
      <c r="Z285" s="283"/>
    </row>
    <row r="286" spans="1:26" ht="15.75" customHeight="1" x14ac:dyDescent="0.25">
      <c r="A286" s="283"/>
      <c r="B286" s="283"/>
      <c r="C286" s="283"/>
      <c r="D286" s="283"/>
      <c r="E286" s="283"/>
      <c r="F286" s="283"/>
      <c r="G286" s="283"/>
      <c r="H286" s="283"/>
      <c r="I286" s="283"/>
      <c r="J286" s="283"/>
      <c r="K286" s="283"/>
      <c r="L286" s="283"/>
      <c r="M286" s="283"/>
      <c r="N286" s="283"/>
      <c r="O286" s="283"/>
      <c r="P286" s="283"/>
      <c r="Q286" s="283"/>
      <c r="R286" s="283"/>
      <c r="S286" s="283"/>
      <c r="T286" s="283"/>
      <c r="U286" s="283"/>
      <c r="V286" s="283"/>
      <c r="W286" s="283"/>
      <c r="X286" s="283"/>
      <c r="Y286" s="283"/>
      <c r="Z286" s="283"/>
    </row>
    <row r="287" spans="1:26" ht="15.75" customHeight="1" x14ac:dyDescent="0.25">
      <c r="A287" s="283"/>
      <c r="B287" s="283"/>
      <c r="C287" s="283"/>
      <c r="D287" s="283"/>
      <c r="E287" s="283"/>
      <c r="F287" s="283"/>
      <c r="G287" s="283"/>
      <c r="H287" s="283"/>
      <c r="I287" s="283"/>
      <c r="J287" s="283"/>
      <c r="K287" s="283"/>
      <c r="L287" s="283"/>
      <c r="M287" s="283"/>
      <c r="N287" s="283"/>
      <c r="O287" s="283"/>
      <c r="P287" s="283"/>
      <c r="Q287" s="283"/>
      <c r="R287" s="283"/>
      <c r="S287" s="283"/>
      <c r="T287" s="283"/>
      <c r="U287" s="283"/>
      <c r="V287" s="283"/>
      <c r="W287" s="283"/>
      <c r="X287" s="283"/>
      <c r="Y287" s="283"/>
      <c r="Z287" s="283"/>
    </row>
    <row r="288" spans="1:26" ht="15.75" customHeight="1" x14ac:dyDescent="0.25">
      <c r="A288" s="283"/>
      <c r="B288" s="283"/>
      <c r="C288" s="283"/>
      <c r="D288" s="283"/>
      <c r="E288" s="283"/>
      <c r="F288" s="283"/>
      <c r="G288" s="283"/>
      <c r="H288" s="283"/>
      <c r="I288" s="283"/>
      <c r="J288" s="283"/>
      <c r="K288" s="283"/>
      <c r="L288" s="283"/>
      <c r="M288" s="283"/>
      <c r="N288" s="283"/>
      <c r="O288" s="283"/>
      <c r="P288" s="283"/>
      <c r="Q288" s="283"/>
      <c r="R288" s="283"/>
      <c r="S288" s="283"/>
      <c r="T288" s="283"/>
      <c r="U288" s="283"/>
      <c r="V288" s="283"/>
      <c r="W288" s="283"/>
      <c r="X288" s="283"/>
      <c r="Y288" s="283"/>
      <c r="Z288" s="283"/>
    </row>
    <row r="289" spans="1:26" ht="15.75" customHeight="1" x14ac:dyDescent="0.25">
      <c r="A289" s="283"/>
      <c r="B289" s="283"/>
      <c r="C289" s="283"/>
      <c r="D289" s="283"/>
      <c r="E289" s="283"/>
      <c r="F289" s="283"/>
      <c r="G289" s="283"/>
      <c r="H289" s="283"/>
      <c r="I289" s="283"/>
      <c r="J289" s="283"/>
      <c r="K289" s="283"/>
      <c r="L289" s="283"/>
      <c r="M289" s="283"/>
      <c r="N289" s="283"/>
      <c r="O289" s="283"/>
      <c r="P289" s="283"/>
      <c r="Q289" s="283"/>
      <c r="R289" s="283"/>
      <c r="S289" s="283"/>
      <c r="T289" s="283"/>
      <c r="U289" s="283"/>
      <c r="V289" s="283"/>
      <c r="W289" s="283"/>
      <c r="X289" s="283"/>
      <c r="Y289" s="283"/>
      <c r="Z289" s="283"/>
    </row>
    <row r="290" spans="1:26" ht="15.75" customHeight="1" x14ac:dyDescent="0.25">
      <c r="A290" s="283"/>
      <c r="B290" s="283"/>
      <c r="C290" s="283"/>
      <c r="D290" s="283"/>
      <c r="E290" s="283"/>
      <c r="F290" s="283"/>
      <c r="G290" s="283"/>
      <c r="H290" s="283"/>
      <c r="I290" s="283"/>
      <c r="J290" s="283"/>
      <c r="K290" s="283"/>
      <c r="L290" s="283"/>
      <c r="M290" s="283"/>
      <c r="N290" s="283"/>
      <c r="O290" s="283"/>
      <c r="P290" s="283"/>
      <c r="Q290" s="283"/>
      <c r="R290" s="283"/>
      <c r="S290" s="283"/>
      <c r="T290" s="283"/>
      <c r="U290" s="283"/>
      <c r="V290" s="283"/>
      <c r="W290" s="283"/>
      <c r="X290" s="283"/>
      <c r="Y290" s="283"/>
      <c r="Z290" s="283"/>
    </row>
    <row r="291" spans="1:26" ht="15.75" customHeight="1" x14ac:dyDescent="0.25">
      <c r="A291" s="283"/>
      <c r="B291" s="283"/>
      <c r="C291" s="283"/>
      <c r="D291" s="283"/>
      <c r="E291" s="283"/>
      <c r="F291" s="283"/>
      <c r="G291" s="283"/>
      <c r="H291" s="283"/>
      <c r="I291" s="283"/>
      <c r="J291" s="283"/>
      <c r="K291" s="283"/>
      <c r="L291" s="283"/>
      <c r="M291" s="283"/>
      <c r="N291" s="283"/>
      <c r="O291" s="283"/>
      <c r="P291" s="283"/>
      <c r="Q291" s="283"/>
      <c r="R291" s="283"/>
      <c r="S291" s="283"/>
      <c r="T291" s="283"/>
      <c r="U291" s="283"/>
      <c r="V291" s="283"/>
      <c r="W291" s="283"/>
      <c r="X291" s="283"/>
      <c r="Y291" s="283"/>
      <c r="Z291" s="283"/>
    </row>
    <row r="292" spans="1:26" ht="15.75" customHeight="1" x14ac:dyDescent="0.25">
      <c r="A292" s="283"/>
      <c r="B292" s="283"/>
      <c r="C292" s="283"/>
      <c r="D292" s="283"/>
      <c r="E292" s="283"/>
      <c r="F292" s="283"/>
      <c r="G292" s="283"/>
      <c r="H292" s="283"/>
      <c r="I292" s="283"/>
      <c r="J292" s="283"/>
      <c r="K292" s="283"/>
      <c r="L292" s="283"/>
      <c r="M292" s="283"/>
      <c r="N292" s="283"/>
      <c r="O292" s="283"/>
      <c r="P292" s="283"/>
      <c r="Q292" s="283"/>
      <c r="R292" s="283"/>
      <c r="S292" s="283"/>
      <c r="T292" s="283"/>
      <c r="U292" s="283"/>
      <c r="V292" s="283"/>
      <c r="W292" s="283"/>
      <c r="X292" s="283"/>
      <c r="Y292" s="283"/>
      <c r="Z292" s="283"/>
    </row>
    <row r="293" spans="1:26" ht="15.75" customHeight="1" x14ac:dyDescent="0.25">
      <c r="A293" s="283"/>
      <c r="B293" s="283"/>
      <c r="C293" s="283"/>
      <c r="D293" s="283"/>
      <c r="E293" s="283"/>
      <c r="F293" s="283"/>
      <c r="G293" s="283"/>
      <c r="H293" s="283"/>
      <c r="I293" s="283"/>
      <c r="J293" s="283"/>
      <c r="K293" s="283"/>
      <c r="L293" s="283"/>
      <c r="M293" s="283"/>
      <c r="N293" s="283"/>
      <c r="O293" s="283"/>
      <c r="P293" s="283"/>
      <c r="Q293" s="283"/>
      <c r="R293" s="283"/>
      <c r="S293" s="283"/>
      <c r="T293" s="283"/>
      <c r="U293" s="283"/>
      <c r="V293" s="283"/>
      <c r="W293" s="283"/>
      <c r="X293" s="283"/>
      <c r="Y293" s="283"/>
      <c r="Z293" s="283"/>
    </row>
    <row r="294" spans="1:26" ht="15.75" customHeight="1" x14ac:dyDescent="0.25">
      <c r="A294" s="283"/>
      <c r="B294" s="283"/>
      <c r="C294" s="283"/>
      <c r="D294" s="283"/>
      <c r="E294" s="283"/>
      <c r="F294" s="283"/>
      <c r="G294" s="283"/>
      <c r="H294" s="283"/>
      <c r="I294" s="283"/>
      <c r="J294" s="283"/>
      <c r="K294" s="283"/>
      <c r="L294" s="283"/>
      <c r="M294" s="283"/>
      <c r="N294" s="283"/>
      <c r="O294" s="283"/>
      <c r="P294" s="283"/>
      <c r="Q294" s="283"/>
      <c r="R294" s="283"/>
      <c r="S294" s="283"/>
      <c r="T294" s="283"/>
      <c r="U294" s="283"/>
      <c r="V294" s="283"/>
      <c r="W294" s="283"/>
      <c r="X294" s="283"/>
      <c r="Y294" s="283"/>
      <c r="Z294" s="283"/>
    </row>
    <row r="295" spans="1:26" ht="15.75" customHeight="1" x14ac:dyDescent="0.25">
      <c r="A295" s="283"/>
      <c r="B295" s="283"/>
      <c r="C295" s="283"/>
      <c r="D295" s="283"/>
      <c r="E295" s="283"/>
      <c r="F295" s="283"/>
      <c r="G295" s="283"/>
      <c r="H295" s="283"/>
      <c r="I295" s="283"/>
      <c r="J295" s="283"/>
      <c r="K295" s="283"/>
      <c r="L295" s="283"/>
      <c r="M295" s="283"/>
      <c r="N295" s="283"/>
      <c r="O295" s="283"/>
      <c r="P295" s="283"/>
      <c r="Q295" s="283"/>
      <c r="R295" s="283"/>
      <c r="S295" s="283"/>
      <c r="T295" s="283"/>
      <c r="U295" s="283"/>
      <c r="V295" s="283"/>
      <c r="W295" s="283"/>
      <c r="X295" s="283"/>
      <c r="Y295" s="283"/>
      <c r="Z295" s="283"/>
    </row>
    <row r="296" spans="1:26" ht="15.75" customHeight="1" x14ac:dyDescent="0.25">
      <c r="A296" s="283"/>
      <c r="B296" s="283"/>
      <c r="C296" s="283"/>
      <c r="D296" s="283"/>
      <c r="E296" s="283"/>
      <c r="F296" s="283"/>
      <c r="G296" s="283"/>
      <c r="H296" s="283"/>
      <c r="I296" s="283"/>
      <c r="J296" s="283"/>
      <c r="K296" s="283"/>
      <c r="L296" s="283"/>
      <c r="M296" s="283"/>
      <c r="N296" s="283"/>
      <c r="O296" s="283"/>
      <c r="P296" s="283"/>
      <c r="Q296" s="283"/>
      <c r="R296" s="283"/>
      <c r="S296" s="283"/>
      <c r="T296" s="283"/>
      <c r="U296" s="283"/>
      <c r="V296" s="283"/>
      <c r="W296" s="283"/>
      <c r="X296" s="283"/>
      <c r="Y296" s="283"/>
      <c r="Z296" s="283"/>
    </row>
    <row r="297" spans="1:26" ht="15.75" customHeight="1" x14ac:dyDescent="0.25">
      <c r="A297" s="283"/>
      <c r="B297" s="283"/>
      <c r="C297" s="283"/>
      <c r="D297" s="283"/>
      <c r="E297" s="283"/>
      <c r="F297" s="283"/>
      <c r="G297" s="283"/>
      <c r="H297" s="283"/>
      <c r="I297" s="283"/>
      <c r="J297" s="283"/>
      <c r="K297" s="283"/>
      <c r="L297" s="283"/>
      <c r="M297" s="283"/>
      <c r="N297" s="283"/>
      <c r="O297" s="283"/>
      <c r="P297" s="283"/>
      <c r="Q297" s="283"/>
      <c r="R297" s="283"/>
      <c r="S297" s="283"/>
      <c r="T297" s="283"/>
      <c r="U297" s="283"/>
      <c r="V297" s="283"/>
      <c r="W297" s="283"/>
      <c r="X297" s="283"/>
      <c r="Y297" s="283"/>
      <c r="Z297" s="283"/>
    </row>
    <row r="298" spans="1:26" ht="15.75" customHeight="1" x14ac:dyDescent="0.25">
      <c r="A298" s="283"/>
      <c r="B298" s="283"/>
      <c r="C298" s="283"/>
      <c r="D298" s="283"/>
      <c r="E298" s="283"/>
      <c r="F298" s="283"/>
      <c r="G298" s="283"/>
      <c r="H298" s="283"/>
      <c r="I298" s="283"/>
      <c r="J298" s="283"/>
      <c r="K298" s="283"/>
      <c r="L298" s="283"/>
      <c r="M298" s="283"/>
      <c r="N298" s="283"/>
      <c r="O298" s="283"/>
      <c r="P298" s="283"/>
      <c r="Q298" s="283"/>
      <c r="R298" s="283"/>
      <c r="S298" s="283"/>
      <c r="T298" s="283"/>
      <c r="U298" s="283"/>
      <c r="V298" s="283"/>
      <c r="W298" s="283"/>
      <c r="X298" s="283"/>
      <c r="Y298" s="283"/>
      <c r="Z298" s="283"/>
    </row>
    <row r="299" spans="1:26" ht="15.75" customHeight="1" x14ac:dyDescent="0.25">
      <c r="A299" s="283"/>
      <c r="B299" s="283"/>
      <c r="C299" s="283"/>
      <c r="D299" s="283"/>
      <c r="E299" s="283"/>
      <c r="F299" s="283"/>
      <c r="G299" s="283"/>
      <c r="H299" s="283"/>
      <c r="I299" s="283"/>
      <c r="J299" s="283"/>
      <c r="K299" s="283"/>
      <c r="L299" s="283"/>
      <c r="M299" s="283"/>
      <c r="N299" s="283"/>
      <c r="O299" s="283"/>
      <c r="P299" s="283"/>
      <c r="Q299" s="283"/>
      <c r="R299" s="283"/>
      <c r="S299" s="283"/>
      <c r="T299" s="283"/>
      <c r="U299" s="283"/>
      <c r="V299" s="283"/>
      <c r="W299" s="283"/>
      <c r="X299" s="283"/>
      <c r="Y299" s="283"/>
      <c r="Z299" s="283"/>
    </row>
    <row r="300" spans="1:26" ht="15.75" customHeight="1" x14ac:dyDescent="0.25">
      <c r="A300" s="283"/>
      <c r="B300" s="283"/>
      <c r="C300" s="283"/>
      <c r="D300" s="283"/>
      <c r="E300" s="283"/>
      <c r="F300" s="283"/>
      <c r="G300" s="283"/>
      <c r="H300" s="283"/>
      <c r="I300" s="283"/>
      <c r="J300" s="283"/>
      <c r="K300" s="283"/>
      <c r="L300" s="283"/>
      <c r="M300" s="283"/>
      <c r="N300" s="283"/>
      <c r="O300" s="283"/>
      <c r="P300" s="283"/>
      <c r="Q300" s="283"/>
      <c r="R300" s="283"/>
      <c r="S300" s="283"/>
      <c r="T300" s="283"/>
      <c r="U300" s="283"/>
      <c r="V300" s="283"/>
      <c r="W300" s="283"/>
      <c r="X300" s="283"/>
      <c r="Y300" s="283"/>
      <c r="Z300" s="283"/>
    </row>
    <row r="301" spans="1:26" ht="15.75" customHeight="1" x14ac:dyDescent="0.25">
      <c r="A301" s="283"/>
      <c r="B301" s="283"/>
      <c r="C301" s="283"/>
      <c r="D301" s="283"/>
      <c r="E301" s="283"/>
      <c r="F301" s="283"/>
      <c r="G301" s="283"/>
      <c r="H301" s="283"/>
      <c r="I301" s="283"/>
      <c r="J301" s="283"/>
      <c r="K301" s="283"/>
      <c r="L301" s="283"/>
      <c r="M301" s="283"/>
      <c r="N301" s="283"/>
      <c r="O301" s="283"/>
      <c r="P301" s="283"/>
      <c r="Q301" s="283"/>
      <c r="R301" s="283"/>
      <c r="S301" s="283"/>
      <c r="T301" s="283"/>
      <c r="U301" s="283"/>
      <c r="V301" s="283"/>
      <c r="W301" s="283"/>
      <c r="X301" s="283"/>
      <c r="Y301" s="283"/>
      <c r="Z301" s="283"/>
    </row>
    <row r="302" spans="1:26" ht="15.75" customHeight="1" x14ac:dyDescent="0.25">
      <c r="A302" s="283"/>
      <c r="B302" s="283"/>
      <c r="C302" s="283"/>
      <c r="D302" s="283"/>
      <c r="E302" s="283"/>
      <c r="F302" s="283"/>
      <c r="G302" s="283"/>
      <c r="H302" s="283"/>
      <c r="I302" s="283"/>
      <c r="J302" s="283"/>
      <c r="K302" s="283"/>
      <c r="L302" s="283"/>
      <c r="M302" s="283"/>
      <c r="N302" s="283"/>
      <c r="O302" s="283"/>
      <c r="P302" s="283"/>
      <c r="Q302" s="283"/>
      <c r="R302" s="283"/>
      <c r="S302" s="283"/>
      <c r="T302" s="283"/>
      <c r="U302" s="283"/>
      <c r="V302" s="283"/>
      <c r="W302" s="283"/>
      <c r="X302" s="283"/>
      <c r="Y302" s="283"/>
      <c r="Z302" s="283"/>
    </row>
    <row r="303" spans="1:26" ht="15.75" customHeight="1" x14ac:dyDescent="0.25">
      <c r="A303" s="283"/>
      <c r="B303" s="283"/>
      <c r="C303" s="283"/>
      <c r="D303" s="283"/>
      <c r="E303" s="283"/>
      <c r="F303" s="283"/>
      <c r="G303" s="283"/>
      <c r="H303" s="283"/>
      <c r="I303" s="283"/>
      <c r="J303" s="283"/>
      <c r="K303" s="283"/>
      <c r="L303" s="283"/>
      <c r="M303" s="283"/>
      <c r="N303" s="283"/>
      <c r="O303" s="283"/>
      <c r="P303" s="283"/>
      <c r="Q303" s="283"/>
      <c r="R303" s="283"/>
      <c r="S303" s="283"/>
      <c r="T303" s="283"/>
      <c r="U303" s="283"/>
      <c r="V303" s="283"/>
      <c r="W303" s="283"/>
      <c r="X303" s="283"/>
      <c r="Y303" s="283"/>
      <c r="Z303" s="283"/>
    </row>
    <row r="304" spans="1:26" ht="15.75" customHeight="1" x14ac:dyDescent="0.25">
      <c r="A304" s="283"/>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c r="Y304" s="283"/>
      <c r="Z304" s="283"/>
    </row>
    <row r="305" spans="1:26" ht="15.75" customHeight="1" x14ac:dyDescent="0.25">
      <c r="A305" s="283"/>
      <c r="B305" s="283"/>
      <c r="C305" s="283"/>
      <c r="D305" s="283"/>
      <c r="E305" s="283"/>
      <c r="F305" s="283"/>
      <c r="G305" s="283"/>
      <c r="H305" s="283"/>
      <c r="I305" s="283"/>
      <c r="J305" s="283"/>
      <c r="K305" s="283"/>
      <c r="L305" s="283"/>
      <c r="M305" s="283"/>
      <c r="N305" s="283"/>
      <c r="O305" s="283"/>
      <c r="P305" s="283"/>
      <c r="Q305" s="283"/>
      <c r="R305" s="283"/>
      <c r="S305" s="283"/>
      <c r="T305" s="283"/>
      <c r="U305" s="283"/>
      <c r="V305" s="283"/>
      <c r="W305" s="283"/>
      <c r="X305" s="283"/>
      <c r="Y305" s="283"/>
      <c r="Z305" s="283"/>
    </row>
    <row r="306" spans="1:26" ht="15.75" customHeight="1" x14ac:dyDescent="0.25">
      <c r="A306" s="283"/>
      <c r="B306" s="283"/>
      <c r="C306" s="283"/>
      <c r="D306" s="283"/>
      <c r="E306" s="283"/>
      <c r="F306" s="283"/>
      <c r="G306" s="283"/>
      <c r="H306" s="283"/>
      <c r="I306" s="283"/>
      <c r="J306" s="283"/>
      <c r="K306" s="283"/>
      <c r="L306" s="283"/>
      <c r="M306" s="283"/>
      <c r="N306" s="283"/>
      <c r="O306" s="283"/>
      <c r="P306" s="283"/>
      <c r="Q306" s="283"/>
      <c r="R306" s="283"/>
      <c r="S306" s="283"/>
      <c r="T306" s="283"/>
      <c r="U306" s="283"/>
      <c r="V306" s="283"/>
      <c r="W306" s="283"/>
      <c r="X306" s="283"/>
      <c r="Y306" s="283"/>
      <c r="Z306" s="283"/>
    </row>
    <row r="307" spans="1:26" ht="15.75" customHeight="1" x14ac:dyDescent="0.25">
      <c r="A307" s="283"/>
      <c r="B307" s="283"/>
      <c r="C307" s="283"/>
      <c r="D307" s="283"/>
      <c r="E307" s="283"/>
      <c r="F307" s="283"/>
      <c r="G307" s="283"/>
      <c r="H307" s="283"/>
      <c r="I307" s="283"/>
      <c r="J307" s="283"/>
      <c r="K307" s="283"/>
      <c r="L307" s="283"/>
      <c r="M307" s="283"/>
      <c r="N307" s="283"/>
      <c r="O307" s="283"/>
      <c r="P307" s="283"/>
      <c r="Q307" s="283"/>
      <c r="R307" s="283"/>
      <c r="S307" s="283"/>
      <c r="T307" s="283"/>
      <c r="U307" s="283"/>
      <c r="V307" s="283"/>
      <c r="W307" s="283"/>
      <c r="X307" s="283"/>
      <c r="Y307" s="283"/>
      <c r="Z307" s="283"/>
    </row>
    <row r="308" spans="1:26" ht="15.75" customHeight="1" x14ac:dyDescent="0.25">
      <c r="A308" s="283"/>
      <c r="B308" s="283"/>
      <c r="C308" s="283"/>
      <c r="D308" s="283"/>
      <c r="E308" s="283"/>
      <c r="F308" s="283"/>
      <c r="G308" s="283"/>
      <c r="H308" s="283"/>
      <c r="I308" s="283"/>
      <c r="J308" s="283"/>
      <c r="K308" s="283"/>
      <c r="L308" s="283"/>
      <c r="M308" s="283"/>
      <c r="N308" s="283"/>
      <c r="O308" s="283"/>
      <c r="P308" s="283"/>
      <c r="Q308" s="283"/>
      <c r="R308" s="283"/>
      <c r="S308" s="283"/>
      <c r="T308" s="283"/>
      <c r="U308" s="283"/>
      <c r="V308" s="283"/>
      <c r="W308" s="283"/>
      <c r="X308" s="283"/>
      <c r="Y308" s="283"/>
      <c r="Z308" s="283"/>
    </row>
    <row r="309" spans="1:26" ht="15.75" customHeight="1" x14ac:dyDescent="0.25">
      <c r="A309" s="283"/>
      <c r="B309" s="283"/>
      <c r="C309" s="283"/>
      <c r="D309" s="283"/>
      <c r="E309" s="283"/>
      <c r="F309" s="283"/>
      <c r="G309" s="283"/>
      <c r="H309" s="283"/>
      <c r="I309" s="283"/>
      <c r="J309" s="283"/>
      <c r="K309" s="283"/>
      <c r="L309" s="283"/>
      <c r="M309" s="283"/>
      <c r="N309" s="283"/>
      <c r="O309" s="283"/>
      <c r="P309" s="283"/>
      <c r="Q309" s="283"/>
      <c r="R309" s="283"/>
      <c r="S309" s="283"/>
      <c r="T309" s="283"/>
      <c r="U309" s="283"/>
      <c r="V309" s="283"/>
      <c r="W309" s="283"/>
      <c r="X309" s="283"/>
      <c r="Y309" s="283"/>
      <c r="Z309" s="283"/>
    </row>
    <row r="310" spans="1:26" ht="15.75" customHeight="1" x14ac:dyDescent="0.25">
      <c r="A310" s="283"/>
      <c r="B310" s="283"/>
      <c r="C310" s="283"/>
      <c r="D310" s="283"/>
      <c r="E310" s="283"/>
      <c r="F310" s="283"/>
      <c r="G310" s="283"/>
      <c r="H310" s="283"/>
      <c r="I310" s="283"/>
      <c r="J310" s="283"/>
      <c r="K310" s="283"/>
      <c r="L310" s="283"/>
      <c r="M310" s="283"/>
      <c r="N310" s="283"/>
      <c r="O310" s="283"/>
      <c r="P310" s="283"/>
      <c r="Q310" s="283"/>
      <c r="R310" s="283"/>
      <c r="S310" s="283"/>
      <c r="T310" s="283"/>
      <c r="U310" s="283"/>
      <c r="V310" s="283"/>
      <c r="W310" s="283"/>
      <c r="X310" s="283"/>
      <c r="Y310" s="283"/>
      <c r="Z310" s="283"/>
    </row>
    <row r="311" spans="1:26" ht="15.75" customHeight="1" x14ac:dyDescent="0.25">
      <c r="A311" s="283"/>
      <c r="B311" s="283"/>
      <c r="C311" s="283"/>
      <c r="D311" s="283"/>
      <c r="E311" s="283"/>
      <c r="F311" s="283"/>
      <c r="G311" s="283"/>
      <c r="H311" s="283"/>
      <c r="I311" s="283"/>
      <c r="J311" s="283"/>
      <c r="K311" s="283"/>
      <c r="L311" s="283"/>
      <c r="M311" s="283"/>
      <c r="N311" s="283"/>
      <c r="O311" s="283"/>
      <c r="P311" s="283"/>
      <c r="Q311" s="283"/>
      <c r="R311" s="283"/>
      <c r="S311" s="283"/>
      <c r="T311" s="283"/>
      <c r="U311" s="283"/>
      <c r="V311" s="283"/>
      <c r="W311" s="283"/>
      <c r="X311" s="283"/>
      <c r="Y311" s="283"/>
      <c r="Z311" s="283"/>
    </row>
    <row r="312" spans="1:26" ht="15.75" customHeight="1" x14ac:dyDescent="0.25">
      <c r="A312" s="283"/>
      <c r="B312" s="283"/>
      <c r="C312" s="283"/>
      <c r="D312" s="283"/>
      <c r="E312" s="283"/>
      <c r="F312" s="283"/>
      <c r="G312" s="283"/>
      <c r="H312" s="283"/>
      <c r="I312" s="283"/>
      <c r="J312" s="283"/>
      <c r="K312" s="283"/>
      <c r="L312" s="283"/>
      <c r="M312" s="283"/>
      <c r="N312" s="283"/>
      <c r="O312" s="283"/>
      <c r="P312" s="283"/>
      <c r="Q312" s="283"/>
      <c r="R312" s="283"/>
      <c r="S312" s="283"/>
      <c r="T312" s="283"/>
      <c r="U312" s="283"/>
      <c r="V312" s="283"/>
      <c r="W312" s="283"/>
      <c r="X312" s="283"/>
      <c r="Y312" s="283"/>
      <c r="Z312" s="283"/>
    </row>
    <row r="313" spans="1:26" ht="15.75" customHeight="1" x14ac:dyDescent="0.25">
      <c r="A313" s="283"/>
      <c r="B313" s="283"/>
      <c r="C313" s="283"/>
      <c r="D313" s="283"/>
      <c r="E313" s="283"/>
      <c r="F313" s="283"/>
      <c r="G313" s="283"/>
      <c r="H313" s="283"/>
      <c r="I313" s="283"/>
      <c r="J313" s="283"/>
      <c r="K313" s="283"/>
      <c r="L313" s="283"/>
      <c r="M313" s="283"/>
      <c r="N313" s="283"/>
      <c r="O313" s="283"/>
      <c r="P313" s="283"/>
      <c r="Q313" s="283"/>
      <c r="R313" s="283"/>
      <c r="S313" s="283"/>
      <c r="T313" s="283"/>
      <c r="U313" s="283"/>
      <c r="V313" s="283"/>
      <c r="W313" s="283"/>
      <c r="X313" s="283"/>
      <c r="Y313" s="283"/>
      <c r="Z313" s="283"/>
    </row>
    <row r="314" spans="1:26" ht="15.75" customHeight="1" x14ac:dyDescent="0.25">
      <c r="A314" s="283"/>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row>
    <row r="315" spans="1:26" ht="15.75" customHeight="1" x14ac:dyDescent="0.25">
      <c r="A315" s="283"/>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row>
    <row r="316" spans="1:26" ht="15.75" customHeight="1" x14ac:dyDescent="0.25">
      <c r="A316" s="283"/>
      <c r="B316" s="283"/>
      <c r="C316" s="283"/>
      <c r="D316" s="283"/>
      <c r="E316" s="283"/>
      <c r="F316" s="283"/>
      <c r="G316" s="283"/>
      <c r="H316" s="283"/>
      <c r="I316" s="283"/>
      <c r="J316" s="283"/>
      <c r="K316" s="283"/>
      <c r="L316" s="283"/>
      <c r="M316" s="283"/>
      <c r="N316" s="283"/>
      <c r="O316" s="283"/>
      <c r="P316" s="283"/>
      <c r="Q316" s="283"/>
      <c r="R316" s="283"/>
      <c r="S316" s="283"/>
      <c r="T316" s="283"/>
      <c r="U316" s="283"/>
      <c r="V316" s="283"/>
      <c r="W316" s="283"/>
      <c r="X316" s="283"/>
      <c r="Y316" s="283"/>
      <c r="Z316" s="283"/>
    </row>
    <row r="317" spans="1:26" ht="15.75" customHeight="1" x14ac:dyDescent="0.25">
      <c r="A317" s="283"/>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row>
    <row r="318" spans="1:26" ht="15.75" customHeight="1" x14ac:dyDescent="0.25">
      <c r="A318" s="283"/>
      <c r="B318" s="283"/>
      <c r="C318" s="283"/>
      <c r="D318" s="283"/>
      <c r="E318" s="283"/>
      <c r="F318" s="283"/>
      <c r="G318" s="283"/>
      <c r="H318" s="283"/>
      <c r="I318" s="283"/>
      <c r="J318" s="283"/>
      <c r="K318" s="283"/>
      <c r="L318" s="283"/>
      <c r="M318" s="283"/>
      <c r="N318" s="283"/>
      <c r="O318" s="283"/>
      <c r="P318" s="283"/>
      <c r="Q318" s="283"/>
      <c r="R318" s="283"/>
      <c r="S318" s="283"/>
      <c r="T318" s="283"/>
      <c r="U318" s="283"/>
      <c r="V318" s="283"/>
      <c r="W318" s="283"/>
      <c r="X318" s="283"/>
      <c r="Y318" s="283"/>
      <c r="Z318" s="283"/>
    </row>
    <row r="319" spans="1:26" ht="15.75" customHeight="1" x14ac:dyDescent="0.25">
      <c r="A319" s="283"/>
      <c r="B319" s="283"/>
      <c r="C319" s="283"/>
      <c r="D319" s="283"/>
      <c r="E319" s="283"/>
      <c r="F319" s="283"/>
      <c r="G319" s="283"/>
      <c r="H319" s="283"/>
      <c r="I319" s="283"/>
      <c r="J319" s="283"/>
      <c r="K319" s="283"/>
      <c r="L319" s="283"/>
      <c r="M319" s="283"/>
      <c r="N319" s="283"/>
      <c r="O319" s="283"/>
      <c r="P319" s="283"/>
      <c r="Q319" s="283"/>
      <c r="R319" s="283"/>
      <c r="S319" s="283"/>
      <c r="T319" s="283"/>
      <c r="U319" s="283"/>
      <c r="V319" s="283"/>
      <c r="W319" s="283"/>
      <c r="X319" s="283"/>
      <c r="Y319" s="283"/>
      <c r="Z319" s="283"/>
    </row>
    <row r="320" spans="1:26" ht="15.75" customHeight="1" x14ac:dyDescent="0.25">
      <c r="A320" s="283"/>
      <c r="B320" s="283"/>
      <c r="C320" s="283"/>
      <c r="D320" s="283"/>
      <c r="E320" s="283"/>
      <c r="F320" s="283"/>
      <c r="G320" s="283"/>
      <c r="H320" s="283"/>
      <c r="I320" s="283"/>
      <c r="J320" s="283"/>
      <c r="K320" s="283"/>
      <c r="L320" s="283"/>
      <c r="M320" s="283"/>
      <c r="N320" s="283"/>
      <c r="O320" s="283"/>
      <c r="P320" s="283"/>
      <c r="Q320" s="283"/>
      <c r="R320" s="283"/>
      <c r="S320" s="283"/>
      <c r="T320" s="283"/>
      <c r="U320" s="283"/>
      <c r="V320" s="283"/>
      <c r="W320" s="283"/>
      <c r="X320" s="283"/>
      <c r="Y320" s="283"/>
      <c r="Z320" s="283"/>
    </row>
    <row r="321" spans="1:26" ht="15.75" customHeight="1" x14ac:dyDescent="0.25">
      <c r="A321" s="283"/>
      <c r="B321" s="283"/>
      <c r="C321" s="283"/>
      <c r="D321" s="283"/>
      <c r="E321" s="283"/>
      <c r="F321" s="283"/>
      <c r="G321" s="283"/>
      <c r="H321" s="283"/>
      <c r="I321" s="283"/>
      <c r="J321" s="283"/>
      <c r="K321" s="283"/>
      <c r="L321" s="283"/>
      <c r="M321" s="283"/>
      <c r="N321" s="283"/>
      <c r="O321" s="283"/>
      <c r="P321" s="283"/>
      <c r="Q321" s="283"/>
      <c r="R321" s="283"/>
      <c r="S321" s="283"/>
      <c r="T321" s="283"/>
      <c r="U321" s="283"/>
      <c r="V321" s="283"/>
      <c r="W321" s="283"/>
      <c r="X321" s="283"/>
      <c r="Y321" s="283"/>
      <c r="Z321" s="283"/>
    </row>
    <row r="322" spans="1:26" ht="15.75" customHeight="1" x14ac:dyDescent="0.25">
      <c r="A322" s="283"/>
      <c r="B322" s="283"/>
      <c r="C322" s="283"/>
      <c r="D322" s="283"/>
      <c r="E322" s="283"/>
      <c r="F322" s="283"/>
      <c r="G322" s="283"/>
      <c r="H322" s="283"/>
      <c r="I322" s="283"/>
      <c r="J322" s="283"/>
      <c r="K322" s="283"/>
      <c r="L322" s="283"/>
      <c r="M322" s="283"/>
      <c r="N322" s="283"/>
      <c r="O322" s="283"/>
      <c r="P322" s="283"/>
      <c r="Q322" s="283"/>
      <c r="R322" s="283"/>
      <c r="S322" s="283"/>
      <c r="T322" s="283"/>
      <c r="U322" s="283"/>
      <c r="V322" s="283"/>
      <c r="W322" s="283"/>
      <c r="X322" s="283"/>
      <c r="Y322" s="283"/>
      <c r="Z322" s="283"/>
    </row>
    <row r="323" spans="1:26" ht="15.75" customHeight="1" x14ac:dyDescent="0.25">
      <c r="A323" s="283"/>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row>
    <row r="324" spans="1:26" ht="15.75" customHeight="1" x14ac:dyDescent="0.25">
      <c r="A324" s="283"/>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row>
    <row r="325" spans="1:26" ht="15.75" customHeight="1" x14ac:dyDescent="0.25">
      <c r="A325" s="283"/>
      <c r="B325" s="283"/>
      <c r="C325" s="283"/>
      <c r="D325" s="283"/>
      <c r="E325" s="283"/>
      <c r="F325" s="283"/>
      <c r="G325" s="283"/>
      <c r="H325" s="283"/>
      <c r="I325" s="283"/>
      <c r="J325" s="283"/>
      <c r="K325" s="283"/>
      <c r="L325" s="283"/>
      <c r="M325" s="283"/>
      <c r="N325" s="283"/>
      <c r="O325" s="283"/>
      <c r="P325" s="283"/>
      <c r="Q325" s="283"/>
      <c r="R325" s="283"/>
      <c r="S325" s="283"/>
      <c r="T325" s="283"/>
      <c r="U325" s="283"/>
      <c r="V325" s="283"/>
      <c r="W325" s="283"/>
      <c r="X325" s="283"/>
      <c r="Y325" s="283"/>
      <c r="Z325" s="283"/>
    </row>
    <row r="326" spans="1:26" ht="15.75" customHeight="1" x14ac:dyDescent="0.25">
      <c r="A326" s="283"/>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row>
    <row r="327" spans="1:26" ht="15.75" customHeight="1" x14ac:dyDescent="0.25">
      <c r="A327" s="283"/>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row>
    <row r="328" spans="1:26" ht="15.75" customHeight="1" x14ac:dyDescent="0.25">
      <c r="A328" s="283"/>
      <c r="B328" s="283"/>
      <c r="C328" s="283"/>
      <c r="D328" s="283"/>
      <c r="E328" s="283"/>
      <c r="F328" s="283"/>
      <c r="G328" s="283"/>
      <c r="H328" s="283"/>
      <c r="I328" s="283"/>
      <c r="J328" s="283"/>
      <c r="K328" s="283"/>
      <c r="L328" s="283"/>
      <c r="M328" s="283"/>
      <c r="N328" s="283"/>
      <c r="O328" s="283"/>
      <c r="P328" s="283"/>
      <c r="Q328" s="283"/>
      <c r="R328" s="283"/>
      <c r="S328" s="283"/>
      <c r="T328" s="283"/>
      <c r="U328" s="283"/>
      <c r="V328" s="283"/>
      <c r="W328" s="283"/>
      <c r="X328" s="283"/>
      <c r="Y328" s="283"/>
      <c r="Z328" s="283"/>
    </row>
    <row r="329" spans="1:26" ht="15.75" customHeight="1" x14ac:dyDescent="0.25">
      <c r="A329" s="283"/>
      <c r="B329" s="283"/>
      <c r="C329" s="283"/>
      <c r="D329" s="283"/>
      <c r="E329" s="283"/>
      <c r="F329" s="283"/>
      <c r="G329" s="283"/>
      <c r="H329" s="283"/>
      <c r="I329" s="283"/>
      <c r="J329" s="283"/>
      <c r="K329" s="283"/>
      <c r="L329" s="283"/>
      <c r="M329" s="283"/>
      <c r="N329" s="283"/>
      <c r="O329" s="283"/>
      <c r="P329" s="283"/>
      <c r="Q329" s="283"/>
      <c r="R329" s="283"/>
      <c r="S329" s="283"/>
      <c r="T329" s="283"/>
      <c r="U329" s="283"/>
      <c r="V329" s="283"/>
      <c r="W329" s="283"/>
      <c r="X329" s="283"/>
      <c r="Y329" s="283"/>
      <c r="Z329" s="283"/>
    </row>
    <row r="330" spans="1:26" ht="15.75" customHeight="1" x14ac:dyDescent="0.25">
      <c r="A330" s="283"/>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row>
    <row r="331" spans="1:26" ht="15.75" customHeight="1" x14ac:dyDescent="0.25">
      <c r="A331" s="283"/>
      <c r="B331" s="283"/>
      <c r="C331" s="283"/>
      <c r="D331" s="283"/>
      <c r="E331" s="283"/>
      <c r="F331" s="283"/>
      <c r="G331" s="283"/>
      <c r="H331" s="283"/>
      <c r="I331" s="283"/>
      <c r="J331" s="283"/>
      <c r="K331" s="283"/>
      <c r="L331" s="283"/>
      <c r="M331" s="283"/>
      <c r="N331" s="283"/>
      <c r="O331" s="283"/>
      <c r="P331" s="283"/>
      <c r="Q331" s="283"/>
      <c r="R331" s="283"/>
      <c r="S331" s="283"/>
      <c r="T331" s="283"/>
      <c r="U331" s="283"/>
      <c r="V331" s="283"/>
      <c r="W331" s="283"/>
      <c r="X331" s="283"/>
      <c r="Y331" s="283"/>
      <c r="Z331" s="283"/>
    </row>
    <row r="332" spans="1:26" ht="15.75" customHeight="1" x14ac:dyDescent="0.25">
      <c r="A332" s="283"/>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row>
    <row r="333" spans="1:26" ht="15.75" customHeight="1" x14ac:dyDescent="0.25">
      <c r="A333" s="283"/>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row>
    <row r="334" spans="1:26" ht="15.75" customHeight="1" x14ac:dyDescent="0.25">
      <c r="A334" s="283"/>
      <c r="B334" s="283"/>
      <c r="C334" s="283"/>
      <c r="D334" s="283"/>
      <c r="E334" s="283"/>
      <c r="F334" s="283"/>
      <c r="G334" s="283"/>
      <c r="H334" s="283"/>
      <c r="I334" s="283"/>
      <c r="J334" s="283"/>
      <c r="K334" s="283"/>
      <c r="L334" s="283"/>
      <c r="M334" s="283"/>
      <c r="N334" s="283"/>
      <c r="O334" s="283"/>
      <c r="P334" s="283"/>
      <c r="Q334" s="283"/>
      <c r="R334" s="283"/>
      <c r="S334" s="283"/>
      <c r="T334" s="283"/>
      <c r="U334" s="283"/>
      <c r="V334" s="283"/>
      <c r="W334" s="283"/>
      <c r="X334" s="283"/>
      <c r="Y334" s="283"/>
      <c r="Z334" s="283"/>
    </row>
    <row r="335" spans="1:26" ht="15.75" customHeight="1" x14ac:dyDescent="0.25">
      <c r="A335" s="283"/>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row>
    <row r="336" spans="1:26" ht="15.75" customHeight="1" x14ac:dyDescent="0.25">
      <c r="A336" s="283"/>
      <c r="B336" s="283"/>
      <c r="C336" s="283"/>
      <c r="D336" s="283"/>
      <c r="E336" s="283"/>
      <c r="F336" s="283"/>
      <c r="G336" s="283"/>
      <c r="H336" s="283"/>
      <c r="I336" s="283"/>
      <c r="J336" s="283"/>
      <c r="K336" s="283"/>
      <c r="L336" s="283"/>
      <c r="M336" s="283"/>
      <c r="N336" s="283"/>
      <c r="O336" s="283"/>
      <c r="P336" s="283"/>
      <c r="Q336" s="283"/>
      <c r="R336" s="283"/>
      <c r="S336" s="283"/>
      <c r="T336" s="283"/>
      <c r="U336" s="283"/>
      <c r="V336" s="283"/>
      <c r="W336" s="283"/>
      <c r="X336" s="283"/>
      <c r="Y336" s="283"/>
      <c r="Z336" s="283"/>
    </row>
    <row r="337" spans="1:26" ht="15.75" customHeight="1" x14ac:dyDescent="0.25">
      <c r="A337" s="283"/>
      <c r="B337" s="283"/>
      <c r="C337" s="283"/>
      <c r="D337" s="283"/>
      <c r="E337" s="283"/>
      <c r="F337" s="283"/>
      <c r="G337" s="283"/>
      <c r="H337" s="283"/>
      <c r="I337" s="283"/>
      <c r="J337" s="283"/>
      <c r="K337" s="283"/>
      <c r="L337" s="283"/>
      <c r="M337" s="283"/>
      <c r="N337" s="283"/>
      <c r="O337" s="283"/>
      <c r="P337" s="283"/>
      <c r="Q337" s="283"/>
      <c r="R337" s="283"/>
      <c r="S337" s="283"/>
      <c r="T337" s="283"/>
      <c r="U337" s="283"/>
      <c r="V337" s="283"/>
      <c r="W337" s="283"/>
      <c r="X337" s="283"/>
      <c r="Y337" s="283"/>
      <c r="Z337" s="283"/>
    </row>
    <row r="338" spans="1:26" ht="15.75" customHeight="1" x14ac:dyDescent="0.25">
      <c r="A338" s="283"/>
      <c r="B338" s="283"/>
      <c r="C338" s="283"/>
      <c r="D338" s="283"/>
      <c r="E338" s="283"/>
      <c r="F338" s="283"/>
      <c r="G338" s="283"/>
      <c r="H338" s="283"/>
      <c r="I338" s="283"/>
      <c r="J338" s="283"/>
      <c r="K338" s="283"/>
      <c r="L338" s="283"/>
      <c r="M338" s="283"/>
      <c r="N338" s="283"/>
      <c r="O338" s="283"/>
      <c r="P338" s="283"/>
      <c r="Q338" s="283"/>
      <c r="R338" s="283"/>
      <c r="S338" s="283"/>
      <c r="T338" s="283"/>
      <c r="U338" s="283"/>
      <c r="V338" s="283"/>
      <c r="W338" s="283"/>
      <c r="X338" s="283"/>
      <c r="Y338" s="283"/>
      <c r="Z338" s="283"/>
    </row>
    <row r="339" spans="1:26" ht="15.75" customHeight="1" x14ac:dyDescent="0.25">
      <c r="A339" s="283"/>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row>
    <row r="340" spans="1:26" ht="15.75" customHeight="1" x14ac:dyDescent="0.25">
      <c r="A340" s="283"/>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row>
    <row r="341" spans="1:26" ht="15.75" customHeight="1" x14ac:dyDescent="0.25">
      <c r="A341" s="283"/>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row>
    <row r="342" spans="1:26" ht="15.75" customHeight="1" x14ac:dyDescent="0.25">
      <c r="A342" s="283"/>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row>
    <row r="343" spans="1:26" ht="15.75" customHeight="1" x14ac:dyDescent="0.25">
      <c r="A343" s="283"/>
      <c r="B343" s="283"/>
      <c r="C343" s="283"/>
      <c r="D343" s="283"/>
      <c r="E343" s="283"/>
      <c r="F343" s="283"/>
      <c r="G343" s="283"/>
      <c r="H343" s="283"/>
      <c r="I343" s="283"/>
      <c r="J343" s="283"/>
      <c r="K343" s="283"/>
      <c r="L343" s="283"/>
      <c r="M343" s="283"/>
      <c r="N343" s="283"/>
      <c r="O343" s="283"/>
      <c r="P343" s="283"/>
      <c r="Q343" s="283"/>
      <c r="R343" s="283"/>
      <c r="S343" s="283"/>
      <c r="T343" s="283"/>
      <c r="U343" s="283"/>
      <c r="V343" s="283"/>
      <c r="W343" s="283"/>
      <c r="X343" s="283"/>
      <c r="Y343" s="283"/>
      <c r="Z343" s="283"/>
    </row>
    <row r="344" spans="1:26" ht="15.75" customHeight="1" x14ac:dyDescent="0.25">
      <c r="A344" s="283"/>
      <c r="B344" s="283"/>
      <c r="C344" s="283"/>
      <c r="D344" s="283"/>
      <c r="E344" s="283"/>
      <c r="F344" s="283"/>
      <c r="G344" s="283"/>
      <c r="H344" s="283"/>
      <c r="I344" s="283"/>
      <c r="J344" s="283"/>
      <c r="K344" s="283"/>
      <c r="L344" s="283"/>
      <c r="M344" s="283"/>
      <c r="N344" s="283"/>
      <c r="O344" s="283"/>
      <c r="P344" s="283"/>
      <c r="Q344" s="283"/>
      <c r="R344" s="283"/>
      <c r="S344" s="283"/>
      <c r="T344" s="283"/>
      <c r="U344" s="283"/>
      <c r="V344" s="283"/>
      <c r="W344" s="283"/>
      <c r="X344" s="283"/>
      <c r="Y344" s="283"/>
      <c r="Z344" s="283"/>
    </row>
    <row r="345" spans="1:26" ht="15.75" customHeight="1" x14ac:dyDescent="0.25">
      <c r="A345" s="283"/>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row>
    <row r="346" spans="1:26" ht="15.75" customHeight="1" x14ac:dyDescent="0.25">
      <c r="A346" s="283"/>
      <c r="B346" s="283"/>
      <c r="C346" s="283"/>
      <c r="D346" s="283"/>
      <c r="E346" s="283"/>
      <c r="F346" s="283"/>
      <c r="G346" s="283"/>
      <c r="H346" s="283"/>
      <c r="I346" s="283"/>
      <c r="J346" s="283"/>
      <c r="K346" s="283"/>
      <c r="L346" s="283"/>
      <c r="M346" s="283"/>
      <c r="N346" s="283"/>
      <c r="O346" s="283"/>
      <c r="P346" s="283"/>
      <c r="Q346" s="283"/>
      <c r="R346" s="283"/>
      <c r="S346" s="283"/>
      <c r="T346" s="283"/>
      <c r="U346" s="283"/>
      <c r="V346" s="283"/>
      <c r="W346" s="283"/>
      <c r="X346" s="283"/>
      <c r="Y346" s="283"/>
      <c r="Z346" s="283"/>
    </row>
    <row r="347" spans="1:26" ht="15.75" customHeight="1" x14ac:dyDescent="0.25">
      <c r="A347" s="283"/>
      <c r="B347" s="283"/>
      <c r="C347" s="283"/>
      <c r="D347" s="283"/>
      <c r="E347" s="283"/>
      <c r="F347" s="283"/>
      <c r="G347" s="283"/>
      <c r="H347" s="283"/>
      <c r="I347" s="283"/>
      <c r="J347" s="283"/>
      <c r="K347" s="283"/>
      <c r="L347" s="283"/>
      <c r="M347" s="283"/>
      <c r="N347" s="283"/>
      <c r="O347" s="283"/>
      <c r="P347" s="283"/>
      <c r="Q347" s="283"/>
      <c r="R347" s="283"/>
      <c r="S347" s="283"/>
      <c r="T347" s="283"/>
      <c r="U347" s="283"/>
      <c r="V347" s="283"/>
      <c r="W347" s="283"/>
      <c r="X347" s="283"/>
      <c r="Y347" s="283"/>
      <c r="Z347" s="283"/>
    </row>
    <row r="348" spans="1:26" ht="15.75" customHeight="1" x14ac:dyDescent="0.25">
      <c r="A348" s="283"/>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row>
    <row r="349" spans="1:26" ht="15.75" customHeight="1" x14ac:dyDescent="0.25">
      <c r="A349" s="283"/>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row>
    <row r="350" spans="1:26" ht="15.75" customHeight="1" x14ac:dyDescent="0.25">
      <c r="A350" s="283"/>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c r="Y350" s="283"/>
      <c r="Z350" s="283"/>
    </row>
    <row r="351" spans="1:26" ht="15.75" customHeight="1" x14ac:dyDescent="0.25">
      <c r="A351" s="283"/>
      <c r="B351" s="283"/>
      <c r="C351" s="283"/>
      <c r="D351" s="283"/>
      <c r="E351" s="283"/>
      <c r="F351" s="283"/>
      <c r="G351" s="283"/>
      <c r="H351" s="283"/>
      <c r="I351" s="283"/>
      <c r="J351" s="283"/>
      <c r="K351" s="283"/>
      <c r="L351" s="283"/>
      <c r="M351" s="283"/>
      <c r="N351" s="283"/>
      <c r="O351" s="283"/>
      <c r="P351" s="283"/>
      <c r="Q351" s="283"/>
      <c r="R351" s="283"/>
      <c r="S351" s="283"/>
      <c r="T351" s="283"/>
      <c r="U351" s="283"/>
      <c r="V351" s="283"/>
      <c r="W351" s="283"/>
      <c r="X351" s="283"/>
      <c r="Y351" s="283"/>
      <c r="Z351" s="283"/>
    </row>
    <row r="352" spans="1:26" ht="15.75" customHeight="1" x14ac:dyDescent="0.25">
      <c r="A352" s="283"/>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row>
    <row r="353" spans="1:26" ht="15.75" customHeight="1" x14ac:dyDescent="0.25">
      <c r="A353" s="283"/>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row>
    <row r="354" spans="1:26" ht="15.75" customHeight="1" x14ac:dyDescent="0.25">
      <c r="A354" s="283"/>
      <c r="B354" s="283"/>
      <c r="C354" s="283"/>
      <c r="D354" s="283"/>
      <c r="E354" s="283"/>
      <c r="F354" s="283"/>
      <c r="G354" s="283"/>
      <c r="H354" s="283"/>
      <c r="I354" s="283"/>
      <c r="J354" s="283"/>
      <c r="K354" s="283"/>
      <c r="L354" s="283"/>
      <c r="M354" s="283"/>
      <c r="N354" s="283"/>
      <c r="O354" s="283"/>
      <c r="P354" s="283"/>
      <c r="Q354" s="283"/>
      <c r="R354" s="283"/>
      <c r="S354" s="283"/>
      <c r="T354" s="283"/>
      <c r="U354" s="283"/>
      <c r="V354" s="283"/>
      <c r="W354" s="283"/>
      <c r="X354" s="283"/>
      <c r="Y354" s="283"/>
      <c r="Z354" s="283"/>
    </row>
    <row r="355" spans="1:26" ht="15.75" customHeight="1" x14ac:dyDescent="0.25">
      <c r="A355" s="283"/>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c r="Y355" s="283"/>
      <c r="Z355" s="283"/>
    </row>
    <row r="356" spans="1:26" ht="15.75" customHeight="1" x14ac:dyDescent="0.25">
      <c r="A356" s="283"/>
      <c r="B356" s="283"/>
      <c r="C356" s="283"/>
      <c r="D356" s="283"/>
      <c r="E356" s="283"/>
      <c r="F356" s="283"/>
      <c r="G356" s="283"/>
      <c r="H356" s="283"/>
      <c r="I356" s="283"/>
      <c r="J356" s="283"/>
      <c r="K356" s="283"/>
      <c r="L356" s="283"/>
      <c r="M356" s="283"/>
      <c r="N356" s="283"/>
      <c r="O356" s="283"/>
      <c r="P356" s="283"/>
      <c r="Q356" s="283"/>
      <c r="R356" s="283"/>
      <c r="S356" s="283"/>
      <c r="T356" s="283"/>
      <c r="U356" s="283"/>
      <c r="V356" s="283"/>
      <c r="W356" s="283"/>
      <c r="X356" s="283"/>
      <c r="Y356" s="283"/>
      <c r="Z356" s="283"/>
    </row>
    <row r="357" spans="1:26" ht="15.75" customHeight="1" x14ac:dyDescent="0.25">
      <c r="A357" s="283"/>
      <c r="B357" s="283"/>
      <c r="C357" s="283"/>
      <c r="D357" s="283"/>
      <c r="E357" s="283"/>
      <c r="F357" s="283"/>
      <c r="G357" s="283"/>
      <c r="H357" s="283"/>
      <c r="I357" s="283"/>
      <c r="J357" s="283"/>
      <c r="K357" s="283"/>
      <c r="L357" s="283"/>
      <c r="M357" s="283"/>
      <c r="N357" s="283"/>
      <c r="O357" s="283"/>
      <c r="P357" s="283"/>
      <c r="Q357" s="283"/>
      <c r="R357" s="283"/>
      <c r="S357" s="283"/>
      <c r="T357" s="283"/>
      <c r="U357" s="283"/>
      <c r="V357" s="283"/>
      <c r="W357" s="283"/>
      <c r="X357" s="283"/>
      <c r="Y357" s="283"/>
      <c r="Z357" s="283"/>
    </row>
    <row r="358" spans="1:26" ht="15.75" customHeight="1" x14ac:dyDescent="0.25">
      <c r="A358" s="283"/>
      <c r="B358" s="283"/>
      <c r="C358" s="283"/>
      <c r="D358" s="283"/>
      <c r="E358" s="283"/>
      <c r="F358" s="283"/>
      <c r="G358" s="283"/>
      <c r="H358" s="283"/>
      <c r="I358" s="283"/>
      <c r="J358" s="283"/>
      <c r="K358" s="283"/>
      <c r="L358" s="283"/>
      <c r="M358" s="283"/>
      <c r="N358" s="283"/>
      <c r="O358" s="283"/>
      <c r="P358" s="283"/>
      <c r="Q358" s="283"/>
      <c r="R358" s="283"/>
      <c r="S358" s="283"/>
      <c r="T358" s="283"/>
      <c r="U358" s="283"/>
      <c r="V358" s="283"/>
      <c r="W358" s="283"/>
      <c r="X358" s="283"/>
      <c r="Y358" s="283"/>
      <c r="Z358" s="283"/>
    </row>
    <row r="359" spans="1:26" ht="15.75" customHeight="1" x14ac:dyDescent="0.25">
      <c r="A359" s="283"/>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c r="Y359" s="283"/>
      <c r="Z359" s="283"/>
    </row>
    <row r="360" spans="1:26" ht="15.75" customHeight="1" x14ac:dyDescent="0.25">
      <c r="A360" s="283"/>
      <c r="B360" s="283"/>
      <c r="C360" s="283"/>
      <c r="D360" s="283"/>
      <c r="E360" s="283"/>
      <c r="F360" s="283"/>
      <c r="G360" s="283"/>
      <c r="H360" s="283"/>
      <c r="I360" s="283"/>
      <c r="J360" s="283"/>
      <c r="K360" s="283"/>
      <c r="L360" s="283"/>
      <c r="M360" s="283"/>
      <c r="N360" s="283"/>
      <c r="O360" s="283"/>
      <c r="P360" s="283"/>
      <c r="Q360" s="283"/>
      <c r="R360" s="283"/>
      <c r="S360" s="283"/>
      <c r="T360" s="283"/>
      <c r="U360" s="283"/>
      <c r="V360" s="283"/>
      <c r="W360" s="283"/>
      <c r="X360" s="283"/>
      <c r="Y360" s="283"/>
      <c r="Z360" s="283"/>
    </row>
    <row r="361" spans="1:26" ht="15.75" customHeight="1" x14ac:dyDescent="0.25">
      <c r="A361" s="283"/>
      <c r="B361" s="283"/>
      <c r="C361" s="283"/>
      <c r="D361" s="283"/>
      <c r="E361" s="283"/>
      <c r="F361" s="283"/>
      <c r="G361" s="283"/>
      <c r="H361" s="283"/>
      <c r="I361" s="283"/>
      <c r="J361" s="283"/>
      <c r="K361" s="283"/>
      <c r="L361" s="283"/>
      <c r="M361" s="283"/>
      <c r="N361" s="283"/>
      <c r="O361" s="283"/>
      <c r="P361" s="283"/>
      <c r="Q361" s="283"/>
      <c r="R361" s="283"/>
      <c r="S361" s="283"/>
      <c r="T361" s="283"/>
      <c r="U361" s="283"/>
      <c r="V361" s="283"/>
      <c r="W361" s="283"/>
      <c r="X361" s="283"/>
      <c r="Y361" s="283"/>
      <c r="Z361" s="283"/>
    </row>
    <row r="362" spans="1:26" ht="15.75" customHeight="1" x14ac:dyDescent="0.25">
      <c r="A362" s="283"/>
      <c r="B362" s="283"/>
      <c r="C362" s="283"/>
      <c r="D362" s="283"/>
      <c r="E362" s="283"/>
      <c r="F362" s="283"/>
      <c r="G362" s="283"/>
      <c r="H362" s="283"/>
      <c r="I362" s="283"/>
      <c r="J362" s="283"/>
      <c r="K362" s="283"/>
      <c r="L362" s="283"/>
      <c r="M362" s="283"/>
      <c r="N362" s="283"/>
      <c r="O362" s="283"/>
      <c r="P362" s="283"/>
      <c r="Q362" s="283"/>
      <c r="R362" s="283"/>
      <c r="S362" s="283"/>
      <c r="T362" s="283"/>
      <c r="U362" s="283"/>
      <c r="V362" s="283"/>
      <c r="W362" s="283"/>
      <c r="X362" s="283"/>
      <c r="Y362" s="283"/>
      <c r="Z362" s="283"/>
    </row>
    <row r="363" spans="1:26" ht="15.75" customHeight="1" x14ac:dyDescent="0.25">
      <c r="A363" s="283"/>
      <c r="B363" s="283"/>
      <c r="C363" s="283"/>
      <c r="D363" s="283"/>
      <c r="E363" s="283"/>
      <c r="F363" s="283"/>
      <c r="G363" s="283"/>
      <c r="H363" s="283"/>
      <c r="I363" s="283"/>
      <c r="J363" s="283"/>
      <c r="K363" s="283"/>
      <c r="L363" s="283"/>
      <c r="M363" s="283"/>
      <c r="N363" s="283"/>
      <c r="O363" s="283"/>
      <c r="P363" s="283"/>
      <c r="Q363" s="283"/>
      <c r="R363" s="283"/>
      <c r="S363" s="283"/>
      <c r="T363" s="283"/>
      <c r="U363" s="283"/>
      <c r="V363" s="283"/>
      <c r="W363" s="283"/>
      <c r="X363" s="283"/>
      <c r="Y363" s="283"/>
      <c r="Z363" s="283"/>
    </row>
    <row r="364" spans="1:26" ht="15.75" customHeight="1" x14ac:dyDescent="0.25">
      <c r="A364" s="283"/>
      <c r="B364" s="283"/>
      <c r="C364" s="283"/>
      <c r="D364" s="283"/>
      <c r="E364" s="283"/>
      <c r="F364" s="283"/>
      <c r="G364" s="283"/>
      <c r="H364" s="283"/>
      <c r="I364" s="283"/>
      <c r="J364" s="283"/>
      <c r="K364" s="283"/>
      <c r="L364" s="283"/>
      <c r="M364" s="283"/>
      <c r="N364" s="283"/>
      <c r="O364" s="283"/>
      <c r="P364" s="283"/>
      <c r="Q364" s="283"/>
      <c r="R364" s="283"/>
      <c r="S364" s="283"/>
      <c r="T364" s="283"/>
      <c r="U364" s="283"/>
      <c r="V364" s="283"/>
      <c r="W364" s="283"/>
      <c r="X364" s="283"/>
      <c r="Y364" s="283"/>
      <c r="Z364" s="283"/>
    </row>
    <row r="365" spans="1:26" ht="15.75" customHeight="1" x14ac:dyDescent="0.25">
      <c r="A365" s="283"/>
      <c r="B365" s="283"/>
      <c r="C365" s="283"/>
      <c r="D365" s="283"/>
      <c r="E365" s="283"/>
      <c r="F365" s="283"/>
      <c r="G365" s="283"/>
      <c r="H365" s="283"/>
      <c r="I365" s="283"/>
      <c r="J365" s="283"/>
      <c r="K365" s="283"/>
      <c r="L365" s="283"/>
      <c r="M365" s="283"/>
      <c r="N365" s="283"/>
      <c r="O365" s="283"/>
      <c r="P365" s="283"/>
      <c r="Q365" s="283"/>
      <c r="R365" s="283"/>
      <c r="S365" s="283"/>
      <c r="T365" s="283"/>
      <c r="U365" s="283"/>
      <c r="V365" s="283"/>
      <c r="W365" s="283"/>
      <c r="X365" s="283"/>
      <c r="Y365" s="283"/>
      <c r="Z365" s="283"/>
    </row>
    <row r="366" spans="1:26" ht="15.75" customHeight="1" x14ac:dyDescent="0.25">
      <c r="A366" s="283"/>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row>
    <row r="367" spans="1:26" ht="15.75" customHeight="1" x14ac:dyDescent="0.25">
      <c r="A367" s="283"/>
      <c r="B367" s="283"/>
      <c r="C367" s="283"/>
      <c r="D367" s="283"/>
      <c r="E367" s="283"/>
      <c r="F367" s="283"/>
      <c r="G367" s="283"/>
      <c r="H367" s="283"/>
      <c r="I367" s="283"/>
      <c r="J367" s="283"/>
      <c r="K367" s="283"/>
      <c r="L367" s="283"/>
      <c r="M367" s="283"/>
      <c r="N367" s="283"/>
      <c r="O367" s="283"/>
      <c r="P367" s="283"/>
      <c r="Q367" s="283"/>
      <c r="R367" s="283"/>
      <c r="S367" s="283"/>
      <c r="T367" s="283"/>
      <c r="U367" s="283"/>
      <c r="V367" s="283"/>
      <c r="W367" s="283"/>
      <c r="X367" s="283"/>
      <c r="Y367" s="283"/>
      <c r="Z367" s="283"/>
    </row>
    <row r="368" spans="1:26" ht="15.75" customHeight="1" x14ac:dyDescent="0.25">
      <c r="A368" s="283"/>
      <c r="B368" s="283"/>
      <c r="C368" s="283"/>
      <c r="D368" s="283"/>
      <c r="E368" s="283"/>
      <c r="F368" s="283"/>
      <c r="G368" s="283"/>
      <c r="H368" s="283"/>
      <c r="I368" s="283"/>
      <c r="J368" s="283"/>
      <c r="K368" s="283"/>
      <c r="L368" s="283"/>
      <c r="M368" s="283"/>
      <c r="N368" s="283"/>
      <c r="O368" s="283"/>
      <c r="P368" s="283"/>
      <c r="Q368" s="283"/>
      <c r="R368" s="283"/>
      <c r="S368" s="283"/>
      <c r="T368" s="283"/>
      <c r="U368" s="283"/>
      <c r="V368" s="283"/>
      <c r="W368" s="283"/>
      <c r="X368" s="283"/>
      <c r="Y368" s="283"/>
      <c r="Z368" s="283"/>
    </row>
    <row r="369" spans="1:26" ht="15.75" customHeight="1" x14ac:dyDescent="0.25">
      <c r="A369" s="283"/>
      <c r="B369" s="283"/>
      <c r="C369" s="283"/>
      <c r="D369" s="283"/>
      <c r="E369" s="283"/>
      <c r="F369" s="283"/>
      <c r="G369" s="283"/>
      <c r="H369" s="283"/>
      <c r="I369" s="283"/>
      <c r="J369" s="283"/>
      <c r="K369" s="283"/>
      <c r="L369" s="283"/>
      <c r="M369" s="283"/>
      <c r="N369" s="283"/>
      <c r="O369" s="283"/>
      <c r="P369" s="283"/>
      <c r="Q369" s="283"/>
      <c r="R369" s="283"/>
      <c r="S369" s="283"/>
      <c r="T369" s="283"/>
      <c r="U369" s="283"/>
      <c r="V369" s="283"/>
      <c r="W369" s="283"/>
      <c r="X369" s="283"/>
      <c r="Y369" s="283"/>
      <c r="Z369" s="283"/>
    </row>
    <row r="370" spans="1:26" ht="15.75" customHeight="1" x14ac:dyDescent="0.25">
      <c r="A370" s="283"/>
      <c r="B370" s="283"/>
      <c r="C370" s="283"/>
      <c r="D370" s="283"/>
      <c r="E370" s="283"/>
      <c r="F370" s="283"/>
      <c r="G370" s="283"/>
      <c r="H370" s="283"/>
      <c r="I370" s="283"/>
      <c r="J370" s="283"/>
      <c r="K370" s="283"/>
      <c r="L370" s="283"/>
      <c r="M370" s="283"/>
      <c r="N370" s="283"/>
      <c r="O370" s="283"/>
      <c r="P370" s="283"/>
      <c r="Q370" s="283"/>
      <c r="R370" s="283"/>
      <c r="S370" s="283"/>
      <c r="T370" s="283"/>
      <c r="U370" s="283"/>
      <c r="V370" s="283"/>
      <c r="W370" s="283"/>
      <c r="X370" s="283"/>
      <c r="Y370" s="283"/>
      <c r="Z370" s="283"/>
    </row>
    <row r="371" spans="1:26" ht="15.75" customHeight="1" x14ac:dyDescent="0.25">
      <c r="A371" s="283"/>
      <c r="B371" s="283"/>
      <c r="C371" s="283"/>
      <c r="D371" s="283"/>
      <c r="E371" s="283"/>
      <c r="F371" s="283"/>
      <c r="G371" s="283"/>
      <c r="H371" s="283"/>
      <c r="I371" s="283"/>
      <c r="J371" s="283"/>
      <c r="K371" s="283"/>
      <c r="L371" s="283"/>
      <c r="M371" s="283"/>
      <c r="N371" s="283"/>
      <c r="O371" s="283"/>
      <c r="P371" s="283"/>
      <c r="Q371" s="283"/>
      <c r="R371" s="283"/>
      <c r="S371" s="283"/>
      <c r="T371" s="283"/>
      <c r="U371" s="283"/>
      <c r="V371" s="283"/>
      <c r="W371" s="283"/>
      <c r="X371" s="283"/>
      <c r="Y371" s="283"/>
      <c r="Z371" s="283"/>
    </row>
    <row r="372" spans="1:26" ht="15.75" customHeight="1" x14ac:dyDescent="0.25">
      <c r="A372" s="283"/>
      <c r="B372" s="283"/>
      <c r="C372" s="283"/>
      <c r="D372" s="283"/>
      <c r="E372" s="283"/>
      <c r="F372" s="283"/>
      <c r="G372" s="283"/>
      <c r="H372" s="283"/>
      <c r="I372" s="283"/>
      <c r="J372" s="283"/>
      <c r="K372" s="283"/>
      <c r="L372" s="283"/>
      <c r="M372" s="283"/>
      <c r="N372" s="283"/>
      <c r="O372" s="283"/>
      <c r="P372" s="283"/>
      <c r="Q372" s="283"/>
      <c r="R372" s="283"/>
      <c r="S372" s="283"/>
      <c r="T372" s="283"/>
      <c r="U372" s="283"/>
      <c r="V372" s="283"/>
      <c r="W372" s="283"/>
      <c r="X372" s="283"/>
      <c r="Y372" s="283"/>
      <c r="Z372" s="283"/>
    </row>
    <row r="373" spans="1:26" ht="15.75" customHeight="1" x14ac:dyDescent="0.25">
      <c r="A373" s="283"/>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row>
    <row r="374" spans="1:26" ht="15.75" customHeight="1" x14ac:dyDescent="0.25">
      <c r="A374" s="283"/>
      <c r="B374" s="283"/>
      <c r="C374" s="283"/>
      <c r="D374" s="283"/>
      <c r="E374" s="283"/>
      <c r="F374" s="283"/>
      <c r="G374" s="283"/>
      <c r="H374" s="283"/>
      <c r="I374" s="283"/>
      <c r="J374" s="283"/>
      <c r="K374" s="283"/>
      <c r="L374" s="283"/>
      <c r="M374" s="283"/>
      <c r="N374" s="283"/>
      <c r="O374" s="283"/>
      <c r="P374" s="283"/>
      <c r="Q374" s="283"/>
      <c r="R374" s="283"/>
      <c r="S374" s="283"/>
      <c r="T374" s="283"/>
      <c r="U374" s="283"/>
      <c r="V374" s="283"/>
      <c r="W374" s="283"/>
      <c r="X374" s="283"/>
      <c r="Y374" s="283"/>
      <c r="Z374" s="283"/>
    </row>
    <row r="375" spans="1:26" ht="15.75" customHeight="1" x14ac:dyDescent="0.25">
      <c r="A375" s="283"/>
      <c r="B375" s="283"/>
      <c r="C375" s="283"/>
      <c r="D375" s="283"/>
      <c r="E375" s="283"/>
      <c r="F375" s="283"/>
      <c r="G375" s="283"/>
      <c r="H375" s="283"/>
      <c r="I375" s="283"/>
      <c r="J375" s="283"/>
      <c r="K375" s="283"/>
      <c r="L375" s="283"/>
      <c r="M375" s="283"/>
      <c r="N375" s="283"/>
      <c r="O375" s="283"/>
      <c r="P375" s="283"/>
      <c r="Q375" s="283"/>
      <c r="R375" s="283"/>
      <c r="S375" s="283"/>
      <c r="T375" s="283"/>
      <c r="U375" s="283"/>
      <c r="V375" s="283"/>
      <c r="W375" s="283"/>
      <c r="X375" s="283"/>
      <c r="Y375" s="283"/>
      <c r="Z375" s="283"/>
    </row>
    <row r="376" spans="1:26" ht="15.75" customHeight="1" x14ac:dyDescent="0.25">
      <c r="A376" s="283"/>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row>
    <row r="377" spans="1:26" ht="15.75" customHeight="1" x14ac:dyDescent="0.25">
      <c r="A377" s="283"/>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row>
    <row r="378" spans="1:26" ht="15.75" customHeight="1" x14ac:dyDescent="0.25">
      <c r="A378" s="283"/>
      <c r="B378" s="283"/>
      <c r="C378" s="283"/>
      <c r="D378" s="283"/>
      <c r="E378" s="283"/>
      <c r="F378" s="283"/>
      <c r="G378" s="283"/>
      <c r="H378" s="283"/>
      <c r="I378" s="283"/>
      <c r="J378" s="283"/>
      <c r="K378" s="283"/>
      <c r="L378" s="283"/>
      <c r="M378" s="283"/>
      <c r="N378" s="283"/>
      <c r="O378" s="283"/>
      <c r="P378" s="283"/>
      <c r="Q378" s="283"/>
      <c r="R378" s="283"/>
      <c r="S378" s="283"/>
      <c r="T378" s="283"/>
      <c r="U378" s="283"/>
      <c r="V378" s="283"/>
      <c r="W378" s="283"/>
      <c r="X378" s="283"/>
      <c r="Y378" s="283"/>
      <c r="Z378" s="283"/>
    </row>
    <row r="379" spans="1:26" ht="15.75" customHeight="1" x14ac:dyDescent="0.25">
      <c r="A379" s="283"/>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row>
    <row r="380" spans="1:26" ht="15.75" customHeight="1" x14ac:dyDescent="0.25">
      <c r="A380" s="283"/>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row>
    <row r="381" spans="1:26" ht="15.75" customHeight="1" x14ac:dyDescent="0.25">
      <c r="A381" s="283"/>
      <c r="B381" s="283"/>
      <c r="C381" s="283"/>
      <c r="D381" s="283"/>
      <c r="E381" s="283"/>
      <c r="F381" s="283"/>
      <c r="G381" s="283"/>
      <c r="H381" s="283"/>
      <c r="I381" s="283"/>
      <c r="J381" s="283"/>
      <c r="K381" s="283"/>
      <c r="L381" s="283"/>
      <c r="M381" s="283"/>
      <c r="N381" s="283"/>
      <c r="O381" s="283"/>
      <c r="P381" s="283"/>
      <c r="Q381" s="283"/>
      <c r="R381" s="283"/>
      <c r="S381" s="283"/>
      <c r="T381" s="283"/>
      <c r="U381" s="283"/>
      <c r="V381" s="283"/>
      <c r="W381" s="283"/>
      <c r="X381" s="283"/>
      <c r="Y381" s="283"/>
      <c r="Z381" s="283"/>
    </row>
    <row r="382" spans="1:26" ht="15.75" customHeight="1" x14ac:dyDescent="0.25">
      <c r="A382" s="283"/>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row>
    <row r="383" spans="1:26" ht="15.75" customHeight="1" x14ac:dyDescent="0.25">
      <c r="A383" s="283"/>
      <c r="B383" s="283"/>
      <c r="C383" s="283"/>
      <c r="D383" s="283"/>
      <c r="E383" s="283"/>
      <c r="F383" s="283"/>
      <c r="G383" s="283"/>
      <c r="H383" s="283"/>
      <c r="I383" s="283"/>
      <c r="J383" s="283"/>
      <c r="K383" s="283"/>
      <c r="L383" s="283"/>
      <c r="M383" s="283"/>
      <c r="N383" s="283"/>
      <c r="O383" s="283"/>
      <c r="P383" s="283"/>
      <c r="Q383" s="283"/>
      <c r="R383" s="283"/>
      <c r="S383" s="283"/>
      <c r="T383" s="283"/>
      <c r="U383" s="283"/>
      <c r="V383" s="283"/>
      <c r="W383" s="283"/>
      <c r="X383" s="283"/>
      <c r="Y383" s="283"/>
      <c r="Z383" s="283"/>
    </row>
    <row r="384" spans="1:26" ht="15.75" customHeight="1" x14ac:dyDescent="0.25">
      <c r="A384" s="283"/>
      <c r="B384" s="283"/>
      <c r="C384" s="283"/>
      <c r="D384" s="283"/>
      <c r="E384" s="283"/>
      <c r="F384" s="283"/>
      <c r="G384" s="283"/>
      <c r="H384" s="283"/>
      <c r="I384" s="283"/>
      <c r="J384" s="283"/>
      <c r="K384" s="283"/>
      <c r="L384" s="283"/>
      <c r="M384" s="283"/>
      <c r="N384" s="283"/>
      <c r="O384" s="283"/>
      <c r="P384" s="283"/>
      <c r="Q384" s="283"/>
      <c r="R384" s="283"/>
      <c r="S384" s="283"/>
      <c r="T384" s="283"/>
      <c r="U384" s="283"/>
      <c r="V384" s="283"/>
      <c r="W384" s="283"/>
      <c r="X384" s="283"/>
      <c r="Y384" s="283"/>
      <c r="Z384" s="283"/>
    </row>
    <row r="385" spans="1:26" ht="15.75" customHeight="1" x14ac:dyDescent="0.25">
      <c r="A385" s="283"/>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row>
    <row r="386" spans="1:26" ht="15.75" customHeight="1" x14ac:dyDescent="0.25">
      <c r="A386" s="283"/>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row>
    <row r="387" spans="1:26" ht="15.75" customHeight="1" x14ac:dyDescent="0.25">
      <c r="A387" s="283"/>
      <c r="B387" s="283"/>
      <c r="C387" s="283"/>
      <c r="D387" s="283"/>
      <c r="E387" s="283"/>
      <c r="F387" s="283"/>
      <c r="G387" s="283"/>
      <c r="H387" s="283"/>
      <c r="I387" s="283"/>
      <c r="J387" s="283"/>
      <c r="K387" s="283"/>
      <c r="L387" s="283"/>
      <c r="M387" s="283"/>
      <c r="N387" s="283"/>
      <c r="O387" s="283"/>
      <c r="P387" s="283"/>
      <c r="Q387" s="283"/>
      <c r="R387" s="283"/>
      <c r="S387" s="283"/>
      <c r="T387" s="283"/>
      <c r="U387" s="283"/>
      <c r="V387" s="283"/>
      <c r="W387" s="283"/>
      <c r="X387" s="283"/>
      <c r="Y387" s="283"/>
      <c r="Z387" s="283"/>
    </row>
    <row r="388" spans="1:26" ht="15.75" customHeight="1" x14ac:dyDescent="0.25">
      <c r="A388" s="283"/>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row>
    <row r="389" spans="1:26" ht="15.75" customHeight="1" x14ac:dyDescent="0.25">
      <c r="A389" s="283"/>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row>
    <row r="390" spans="1:26" ht="15.75" customHeight="1" x14ac:dyDescent="0.25">
      <c r="A390" s="283"/>
      <c r="B390" s="283"/>
      <c r="C390" s="283"/>
      <c r="D390" s="283"/>
      <c r="E390" s="283"/>
      <c r="F390" s="283"/>
      <c r="G390" s="283"/>
      <c r="H390" s="283"/>
      <c r="I390" s="283"/>
      <c r="J390" s="283"/>
      <c r="K390" s="283"/>
      <c r="L390" s="283"/>
      <c r="M390" s="283"/>
      <c r="N390" s="283"/>
      <c r="O390" s="283"/>
      <c r="P390" s="283"/>
      <c r="Q390" s="283"/>
      <c r="R390" s="283"/>
      <c r="S390" s="283"/>
      <c r="T390" s="283"/>
      <c r="U390" s="283"/>
      <c r="V390" s="283"/>
      <c r="W390" s="283"/>
      <c r="X390" s="283"/>
      <c r="Y390" s="283"/>
      <c r="Z390" s="283"/>
    </row>
    <row r="391" spans="1:26" ht="15.75" customHeight="1" x14ac:dyDescent="0.25">
      <c r="A391" s="283"/>
      <c r="B391" s="283"/>
      <c r="C391" s="283"/>
      <c r="D391" s="283"/>
      <c r="E391" s="283"/>
      <c r="F391" s="283"/>
      <c r="G391" s="283"/>
      <c r="H391" s="283"/>
      <c r="I391" s="283"/>
      <c r="J391" s="283"/>
      <c r="K391" s="283"/>
      <c r="L391" s="283"/>
      <c r="M391" s="283"/>
      <c r="N391" s="283"/>
      <c r="O391" s="283"/>
      <c r="P391" s="283"/>
      <c r="Q391" s="283"/>
      <c r="R391" s="283"/>
      <c r="S391" s="283"/>
      <c r="T391" s="283"/>
      <c r="U391" s="283"/>
      <c r="V391" s="283"/>
      <c r="W391" s="283"/>
      <c r="X391" s="283"/>
      <c r="Y391" s="283"/>
      <c r="Z391" s="283"/>
    </row>
    <row r="392" spans="1:26" ht="15.75" customHeight="1" x14ac:dyDescent="0.25">
      <c r="A392" s="283"/>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row>
    <row r="393" spans="1:26" ht="15.75" customHeight="1" x14ac:dyDescent="0.25">
      <c r="A393" s="283"/>
      <c r="B393" s="283"/>
      <c r="C393" s="283"/>
      <c r="D393" s="283"/>
      <c r="E393" s="283"/>
      <c r="F393" s="283"/>
      <c r="G393" s="283"/>
      <c r="H393" s="283"/>
      <c r="I393" s="283"/>
      <c r="J393" s="283"/>
      <c r="K393" s="283"/>
      <c r="L393" s="283"/>
      <c r="M393" s="283"/>
      <c r="N393" s="283"/>
      <c r="O393" s="283"/>
      <c r="P393" s="283"/>
      <c r="Q393" s="283"/>
      <c r="R393" s="283"/>
      <c r="S393" s="283"/>
      <c r="T393" s="283"/>
      <c r="U393" s="283"/>
      <c r="V393" s="283"/>
      <c r="W393" s="283"/>
      <c r="X393" s="283"/>
      <c r="Y393" s="283"/>
      <c r="Z393" s="283"/>
    </row>
    <row r="394" spans="1:26" ht="15.75" customHeight="1" x14ac:dyDescent="0.25">
      <c r="A394" s="283"/>
      <c r="B394" s="283"/>
      <c r="C394" s="283"/>
      <c r="D394" s="283"/>
      <c r="E394" s="283"/>
      <c r="F394" s="283"/>
      <c r="G394" s="283"/>
      <c r="H394" s="283"/>
      <c r="I394" s="283"/>
      <c r="J394" s="283"/>
      <c r="K394" s="283"/>
      <c r="L394" s="283"/>
      <c r="M394" s="283"/>
      <c r="N394" s="283"/>
      <c r="O394" s="283"/>
      <c r="P394" s="283"/>
      <c r="Q394" s="283"/>
      <c r="R394" s="283"/>
      <c r="S394" s="283"/>
      <c r="T394" s="283"/>
      <c r="U394" s="283"/>
      <c r="V394" s="283"/>
      <c r="W394" s="283"/>
      <c r="X394" s="283"/>
      <c r="Y394" s="283"/>
      <c r="Z394" s="283"/>
    </row>
    <row r="395" spans="1:26" ht="15.75" customHeight="1" x14ac:dyDescent="0.25">
      <c r="A395" s="283"/>
      <c r="B395" s="283"/>
      <c r="C395" s="283"/>
      <c r="D395" s="283"/>
      <c r="E395" s="283"/>
      <c r="F395" s="283"/>
      <c r="G395" s="283"/>
      <c r="H395" s="283"/>
      <c r="I395" s="283"/>
      <c r="J395" s="283"/>
      <c r="K395" s="283"/>
      <c r="L395" s="283"/>
      <c r="M395" s="283"/>
      <c r="N395" s="283"/>
      <c r="O395" s="283"/>
      <c r="P395" s="283"/>
      <c r="Q395" s="283"/>
      <c r="R395" s="283"/>
      <c r="S395" s="283"/>
      <c r="T395" s="283"/>
      <c r="U395" s="283"/>
      <c r="V395" s="283"/>
      <c r="W395" s="283"/>
      <c r="X395" s="283"/>
      <c r="Y395" s="283"/>
      <c r="Z395" s="283"/>
    </row>
    <row r="396" spans="1:26" ht="15.75" customHeight="1" x14ac:dyDescent="0.25">
      <c r="A396" s="283"/>
      <c r="B396" s="283"/>
      <c r="C396" s="283"/>
      <c r="D396" s="283"/>
      <c r="E396" s="283"/>
      <c r="F396" s="283"/>
      <c r="G396" s="283"/>
      <c r="H396" s="283"/>
      <c r="I396" s="283"/>
      <c r="J396" s="283"/>
      <c r="K396" s="283"/>
      <c r="L396" s="283"/>
      <c r="M396" s="283"/>
      <c r="N396" s="283"/>
      <c r="O396" s="283"/>
      <c r="P396" s="283"/>
      <c r="Q396" s="283"/>
      <c r="R396" s="283"/>
      <c r="S396" s="283"/>
      <c r="T396" s="283"/>
      <c r="U396" s="283"/>
      <c r="V396" s="283"/>
      <c r="W396" s="283"/>
      <c r="X396" s="283"/>
      <c r="Y396" s="283"/>
      <c r="Z396" s="283"/>
    </row>
    <row r="397" spans="1:26" ht="15.75" customHeight="1" x14ac:dyDescent="0.2"/>
    <row r="398" spans="1:26" ht="15.75" customHeight="1" x14ac:dyDescent="0.2"/>
    <row r="399" spans="1:26" ht="15.75" customHeight="1" x14ac:dyDescent="0.2"/>
    <row r="400" spans="1:26"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A17:B19"/>
    <mergeCell ref="E18:H19"/>
    <mergeCell ref="A85:A86"/>
    <mergeCell ref="B85:D85"/>
    <mergeCell ref="E85:G85"/>
  </mergeCells>
  <hyperlinks>
    <hyperlink ref="J15" r:id="rId1" xr:uid="{00000000-0004-0000-0700-000000000000}"/>
    <hyperlink ref="J16" r:id="rId2" xr:uid="{00000000-0004-0000-0700-000001000000}"/>
    <hyperlink ref="A29" r:id="rId3" xr:uid="{00000000-0004-0000-0700-000002000000}"/>
    <hyperlink ref="A46" r:id="rId4" xr:uid="{00000000-0004-0000-0700-000003000000}"/>
    <hyperlink ref="A58" r:id="rId5" xr:uid="{00000000-0004-0000-0700-000004000000}"/>
    <hyperlink ref="D71" r:id="rId6" xr:uid="{00000000-0004-0000-0700-000005000000}"/>
    <hyperlink ref="A73" r:id="rId7" xr:uid="{00000000-0004-0000-0700-000006000000}"/>
    <hyperlink ref="A78" r:id="rId8" xr:uid="{00000000-0004-0000-0700-000007000000}"/>
    <hyperlink ref="C78" r:id="rId9" xr:uid="{00000000-0004-0000-0700-000008000000}"/>
    <hyperlink ref="A98" r:id="rId10" xr:uid="{00000000-0004-0000-0700-000009000000}"/>
    <hyperlink ref="C104" r:id="rId11" xr:uid="{00000000-0004-0000-0700-00000A000000}"/>
    <hyperlink ref="C105" r:id="rId12" xr:uid="{00000000-0004-0000-0700-00000B000000}"/>
    <hyperlink ref="B130" r:id="rId13" xr:uid="{00000000-0004-0000-0700-00000C000000}"/>
    <hyperlink ref="A159" r:id="rId14" xr:uid="{00000000-0004-0000-0700-00000D000000}"/>
  </hyperlinks>
  <pageMargins left="0.7" right="0.7" top="0.75" bottom="0.75" header="0" footer="0"/>
  <pageSetup orientation="landscape"/>
  <legacyDrawing r:id="rId1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Summary of CBA</vt:lpstr>
      <vt:lpstr>Sensitivity Analysis</vt:lpstr>
      <vt:lpstr>Financial Modeling</vt:lpstr>
      <vt:lpstr>Evol of Costs and Rev</vt:lpstr>
      <vt:lpstr>Cost (Counterfactual)</vt:lpstr>
      <vt:lpstr>Cost (Model)</vt:lpstr>
      <vt:lpstr>Utilidor Construction &amp; Mainten</vt:lpstr>
      <vt:lpstr>Unit Costs and Indicators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Suzanne Hollmann</dc:creator>
  <cp:lastModifiedBy>Matthews, Terri</cp:lastModifiedBy>
  <dcterms:created xsi:type="dcterms:W3CDTF">2020-06-18T12:54:06Z</dcterms:created>
  <dcterms:modified xsi:type="dcterms:W3CDTF">2023-09-19T21:34:34Z</dcterms:modified>
</cp:coreProperties>
</file>