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kim\Downloads\"/>
    </mc:Choice>
  </mc:AlternateContent>
  <xr:revisionPtr revIDLastSave="0" documentId="13_ncr:1_{16136929-A8EA-471E-B3FF-EC695C34C21E}" xr6:coauthVersionLast="47" xr6:coauthVersionMax="47" xr10:uidLastSave="{00000000-0000-0000-0000-000000000000}"/>
  <bookViews>
    <workbookView xWindow="-120" yWindow="-120" windowWidth="29040" windowHeight="15840" tabRatio="1000" xr2:uid="{00000000-000D-0000-FFFF-FFFF00000000}"/>
  </bookViews>
  <sheets>
    <sheet name="Instructions" sheetId="99" r:id="rId1"/>
    <sheet name="Color legend" sheetId="31" r:id="rId2"/>
    <sheet name="Version Control" sheetId="75" state="hidden" r:id="rId3"/>
    <sheet name="1,2,3 Information" sheetId="38" r:id="rId4"/>
    <sheet name="4a.1 Utility Bills - Electric" sheetId="81" r:id="rId5"/>
    <sheet name="4a.2 Utility Bills - Elec add'l" sheetId="103" r:id="rId6"/>
    <sheet name="4b. Utility Bills - Nat.Gas" sheetId="86" r:id="rId7"/>
    <sheet name="4c. Utility Bills - Steam,Other" sheetId="87" r:id="rId8"/>
    <sheet name="4d. Utility Bills - Other" sheetId="107" r:id="rId9"/>
    <sheet name="4e-f. Usage to GHG" sheetId="105" r:id="rId10"/>
    <sheet name="5a-b. Special Circ End Use" sheetId="88" r:id="rId11"/>
    <sheet name="5c-d. Special Circ Usage" sheetId="113" r:id="rId12"/>
    <sheet name="6a-b. Envelope" sheetId="12" r:id="rId13"/>
    <sheet name="6c. Fenestration" sheetId="13" r:id="rId14"/>
    <sheet name="Lists" sheetId="14" state="hidden" r:id="rId15"/>
    <sheet name="6d. Interior LPD-Space Method" sheetId="16" r:id="rId16"/>
    <sheet name="Lighting Lookup" sheetId="17" state="hidden" r:id="rId17"/>
    <sheet name="6e. Ext LPD" sheetId="97" r:id="rId18"/>
    <sheet name="6f. Misc. Equip" sheetId="19" r:id="rId19"/>
    <sheet name="6g-h. Service HW" sheetId="24" r:id="rId20"/>
    <sheet name="6i. Actual Building Zone HVAC" sheetId="92" r:id="rId21"/>
    <sheet name="6j-n. Building Plant Eqp" sheetId="98" r:id="rId22"/>
    <sheet name="6o. Baseline Zone HVAC" sheetId="93" r:id="rId23"/>
    <sheet name="6p-t. Baseline Plant Eqp" sheetId="104" r:id="rId24"/>
    <sheet name="7 Modeling Information" sheetId="110" r:id="rId25"/>
    <sheet name="8a. Usage - Actual v Modeled" sheetId="11" r:id="rId26"/>
    <sheet name="8a. Calculations" sheetId="100" state="hidden" r:id="rId27"/>
    <sheet name="8b. Graphs - Actual v Modeled" sheetId="102" r:id="rId28"/>
    <sheet name="8c. Graphs - Actual v Model" sheetId="109" r:id="rId29"/>
    <sheet name="9. 2014 ECC - End Use Comp." sheetId="85" r:id="rId30"/>
    <sheet name="10. Modeling Equivalence" sheetId="10" r:id="rId31"/>
  </sheets>
  <externalReferences>
    <externalReference r:id="rId32"/>
    <externalReference r:id="rId33"/>
    <externalReference r:id="rId34"/>
    <externalReference r:id="rId35"/>
    <externalReference r:id="rId36"/>
    <externalReference r:id="rId37"/>
    <externalReference r:id="rId38"/>
  </externalReferences>
  <definedNames>
    <definedName name="AshraeCZ">'[1]Envelope Lookup'!$A$2:$A$19</definedName>
    <definedName name="BAMCategories">'Lighting Lookup'!$A$2:$A$33</definedName>
    <definedName name="BaselineHVACModeled" localSheetId="16">'[1]General HVAC'!$C$30:$C$32</definedName>
    <definedName name="BaselineHVACModeled">'[2]6 - General HVAC'!$C$28:$C$31</definedName>
    <definedName name="BaselineHVACSystems">'[1]HVAC Lookup'!$A$10:$A$19</definedName>
    <definedName name="BaselineSecondarySystems">'[1]HVAC Lookup'!$A$10:$A$29</definedName>
    <definedName name="bhp">#REF!</definedName>
    <definedName name="BSA">#REF!</definedName>
    <definedName name="cfm" localSheetId="17">'[3]HVAC Air-side'!$C$18</definedName>
    <definedName name="cfm">#REF!</definedName>
    <definedName name="DD_CoolingComponents_Controls">[4]DropDowns!$AO$29:$AO$32</definedName>
    <definedName name="DD_CoolingComponents_EquipmentType">[4]DropDowns!$AJ$29:$AJ$38</definedName>
    <definedName name="DD_CoolingComponents_EStar">[4]DropDowns!$AL$29:$AL$31</definedName>
    <definedName name="DD_CoolingComponents_FuelSource">[4]DropDowns!$AM$29:$AM$35</definedName>
    <definedName name="DD_CoolingComponents_Ownership">[4]DropDowns!$AP$29:$AP$31</definedName>
    <definedName name="DD_CoolingComponents_RatedEfficiencyUnit">[4]DropDowns!$AN$29:$AN$31</definedName>
    <definedName name="DD_CoolingComponents_SpacesServed">[4]DropDowns!$AK$29:$AK$32</definedName>
    <definedName name="DD_Distribution_CentralDistributionTypeCooling">[4]DropDowns!$BF$29:$BF$31</definedName>
    <definedName name="DD_Distribution_CentralDistributionTypeHeat">[4]DropDowns!$BE$29:$BE$34</definedName>
    <definedName name="DD_HeatingComponents_Aquastat">[4]DropDowns!$AF$29:$AF$31</definedName>
    <definedName name="DD_HeatingComponents_Burner_EquipmentType">[4]DropDowns!$AG$29:$AG$33</definedName>
    <definedName name="DD_HeatingComponents_EndUse_Controls">[4]DropDowns!$AI$29:$AI$34</definedName>
    <definedName name="DD_HeatingComponents_EndUse_EquipmentType">[4]DropDowns!$AH$29:$AH$35</definedName>
    <definedName name="DD_HeatingComponents_EnergyMgtSystem">[4]DropDowns!$AB$29:$AB$31</definedName>
    <definedName name="DD_HeatingComponents_EquipmentType">[4]DropDowns!$U$29:$U$37</definedName>
    <definedName name="DD_HeatingComponents_EStar">[4]DropDowns!$W$29:$W$31</definedName>
    <definedName name="DD_HeatingComponents_FuelSource">[4]DropDowns!$X$29:$X$35</definedName>
    <definedName name="DD_HeatingComponents_HeatTimer">[4]DropDowns!$AA$29:$AA$31</definedName>
    <definedName name="DD_HeatingComponents_NightSetback">[4]DropDowns!$AD$29:$AD$31</definedName>
    <definedName name="DD_HeatingComponents_OutdoorAirReset">[4]DropDowns!$AC$29:$AC$31</definedName>
    <definedName name="DD_HeatingComponents_RatedEfficiencyUnits">[4]DropDowns!$Y$29:$Y$32</definedName>
    <definedName name="DD_HeatingComponents_SequencingControls">[4]DropDowns!$AE$29:$AE$31</definedName>
    <definedName name="DD_HeatingComponents_SpacesServed">[4]DropDowns!$V$29:$V$32</definedName>
    <definedName name="DD_HeatingComponents_VentingType">[4]DropDowns!$Z$29:$Z$33</definedName>
    <definedName name="Doors" localSheetId="17">[3]Lists!$A$49:$A$50</definedName>
    <definedName name="Doors">Lists!$A$54:$A$55</definedName>
    <definedName name="Env_Type" localSheetId="17">[3]Lists!$A$1:$A$3</definedName>
    <definedName name="Env_Type">Lists!$A$1:$A$3</definedName>
    <definedName name="fan_eff">#REF!</definedName>
    <definedName name="Fanslookup" localSheetId="16">'[1]HVAC Lookup'!$A$10:$K$29</definedName>
    <definedName name="Fanslookup">'[2]HVAC Lookup'!$A$10:$K$29</definedName>
    <definedName name="Fenestration" localSheetId="17">[3]Lists!$A$5:$A$11</definedName>
    <definedName name="Fenestration">Lists!$A$5:$A$8</definedName>
    <definedName name="Floor" localSheetId="17">[3]Lists!$A$42:$A$44</definedName>
    <definedName name="Floor">Lists!$A$47:$A$49</definedName>
    <definedName name="Footcandles">'[5]Drop Down'!$Y$2:$Y$16</definedName>
    <definedName name="FramingType" localSheetId="16">'[1]Envelope Lookup'!$X$1:$AA$1</definedName>
    <definedName name="FramingType">'[2]Envelope Lookup'!$X$1:$AA$1</definedName>
    <definedName name="Fuel2Type">[6]FuelType!$A$10:$A$24</definedName>
    <definedName name="HeatingOnly">'[1]HVAC Lookup'!$F$33:$F$35</definedName>
    <definedName name="HVAC">Lists!$A$59:$A$82</definedName>
    <definedName name="LightingSpaceType">'[5]Drop Down'!$W$2:$W$16</definedName>
    <definedName name="Locations">[6]FuelType!$A$55:$A$76</definedName>
    <definedName name="LPD">'[5]Drop Down'!$X$2:$X$16</definedName>
    <definedName name="Ltg_Bldg" localSheetId="17">'[3]Lighting Lookup'!$A$2:$A$33</definedName>
    <definedName name="Ltg_Bldg">'Lighting Lookup'!$A$2:$A$33</definedName>
    <definedName name="Ltg_ctrl" localSheetId="17">'[3]Lighting Lookup'!$I$2:$I$6</definedName>
    <definedName name="Ltg_ctrl">'Lighting Lookup'!$I$2:$I$6</definedName>
    <definedName name="Ltg_Space" localSheetId="17">'[3]Lighting Lookup'!$E$2:$E$108</definedName>
    <definedName name="Ltg_Space">'Lighting Lookup'!$E$2:$E$115</definedName>
    <definedName name="LZ" localSheetId="17">'[3]Lighting Zones'!$B$2:$B$6</definedName>
    <definedName name="LZ">#REF!</definedName>
    <definedName name="LZDEC" localSheetId="17">'[3]Lighting Zones'!$C$2:$C$6</definedName>
    <definedName name="LZDEC">#REF!</definedName>
    <definedName name="LZONE">#REF!</definedName>
    <definedName name="Modeled_Square_Feet" localSheetId="17">'[3]1,2,3 Information'!$C$31</definedName>
    <definedName name="Modeled_Square_Feet" localSheetId="24">'7 Modeling Information'!$C$19</definedName>
    <definedName name="Modeled_Square_Feet">'1,2,3 Information'!#REF!</definedName>
    <definedName name="Motor_Horsepower" localSheetId="16">'[1]HVAC Lookup'!$U$10:$W$29</definedName>
    <definedName name="Motor_Horsepower">'[2]HVAC Lookup'!$U$10:$W$29</definedName>
    <definedName name="NewExisting" localSheetId="16">'[1]Envelope Lookup'!$BP$2:$BP$3</definedName>
    <definedName name="NewExisting">'[2]Envelope Lookup'!$BP$2:$BP$3</definedName>
    <definedName name="NoA">'[1]HVAC Lookup'!$E$33:$E$43</definedName>
    <definedName name="NoEconomizer">'[1]HVAC Lookup'!$H$33:$H$44</definedName>
    <definedName name="Path" localSheetId="17">'[3]4. Compliance'!$B$4</definedName>
    <definedName name="Path" localSheetId="24">'7 Modeling Information'!#REF!</definedName>
    <definedName name="Path">'1,2,3 Information'!$B$18</definedName>
    <definedName name="_xlnm.Print_Area" localSheetId="3">'1,2,3 Information'!$A$1:$I$38</definedName>
    <definedName name="_xlnm.Print_Area" localSheetId="11">'5c-d. Special Circ Usage'!$A$1:$J$36</definedName>
    <definedName name="_xlnm.Print_Area" localSheetId="12">'6a-b. Envelope'!$A$1:$M$33</definedName>
    <definedName name="_xlnm.Print_Area" localSheetId="13">'6c. Fenestration'!$A$1:$O$28</definedName>
    <definedName name="_xlnm.Print_Area" localSheetId="15">'6d. Interior LPD-Space Method'!$A$2:$J$43</definedName>
    <definedName name="_xlnm.Print_Area" localSheetId="17">'6e. Ext LPD'!$A$1:$M$38</definedName>
    <definedName name="_xlnm.Print_Area" localSheetId="18">'6f. Misc. Equip'!$A$1:$J$28</definedName>
    <definedName name="_xlnm.Print_Area" localSheetId="19">'6g-h. Service HW'!$A$1:$K$35</definedName>
    <definedName name="_xlnm.Print_Area" localSheetId="20">'6i. Actual Building Zone HVAC'!$A$1:$V$50</definedName>
    <definedName name="_xlnm.Print_Area" localSheetId="21">'6j-n. Building Plant Eqp'!$A$2:$O$49</definedName>
    <definedName name="_xlnm.Print_Area" localSheetId="22">'6o. Baseline Zone HVAC'!$A$1:$U$43</definedName>
    <definedName name="_xlnm.Print_Area" localSheetId="23">'6p-t. Baseline Plant Eqp'!$A$2:$O$49</definedName>
    <definedName name="_xlnm.Print_Area" localSheetId="24">'7 Modeling Information'!$A$1:$I$42</definedName>
    <definedName name="_xlnm.Print_Area" localSheetId="27">'8b. Graphs - Actual v Modeled'!$A$1:$O$50</definedName>
    <definedName name="_xlnm.Print_Area" localSheetId="1">'Color legend'!$A$1:$A$12</definedName>
    <definedName name="ProjectFuels">[6]FuelType!$A$1:$A$2</definedName>
    <definedName name="ProjectSpaceTypes">[1]Lighting!$B$27:$B$38</definedName>
    <definedName name="ProposedHVAC">'[1]General HVAC'!$B$20:$B$25</definedName>
    <definedName name="Protocol">'7 Modeling Information'!$C$13</definedName>
    <definedName name="ra">Lists!$R$72</definedName>
    <definedName name="rb">Lists!$R$73</definedName>
    <definedName name="rca">Lists!$R$74</definedName>
    <definedName name="rd">Lists!$R$75</definedName>
    <definedName name="re">Lists!$R$76</definedName>
    <definedName name="Res" localSheetId="13">Lists!$A$1:$A$2</definedName>
    <definedName name="rf">Lists!$R$77</definedName>
    <definedName name="Roof_Type" localSheetId="17">[3]Lists!$A$31:$A$33</definedName>
    <definedName name="Roof_Type">Lists!$A$36:$A$38</definedName>
    <definedName name="SATreset">'[1]HVAC Lookup'!$I$33:$I$44</definedName>
    <definedName name="SI_IP_Units">'[7]General Information'!$I$12</definedName>
    <definedName name="SkylightFrame" localSheetId="16">'[1]Envelope Lookup'!$AC$1:$AH$1</definedName>
    <definedName name="SkylightFrame">'[2]Envelope Lookup'!$AC$1:$AH$1</definedName>
    <definedName name="Slab" localSheetId="17">[3]Lists!$A$46:$A$47</definedName>
    <definedName name="Slab">Lists!$A$51:$A$52</definedName>
    <definedName name="SpaceConditioningCategory" localSheetId="16">'[1]Envelope Lookup'!$BQ$2:$BQ$4</definedName>
    <definedName name="SpaceConditioningCategory">'[2]Envelope Lookup'!$BQ$2:$BQ$4</definedName>
    <definedName name="SpaceType">'[5]Drop Down'!$U$2:$U$15</definedName>
    <definedName name="SURFACE2">#REF!</definedName>
    <definedName name="SxSCategories">'Lighting Lookup'!$E$2:$E$116</definedName>
    <definedName name="Type">Lists!$A$1:$A$2</definedName>
    <definedName name="UfactorMethod">'[1]Shading &amp; Fenestration'!$H$37:$H$42</definedName>
    <definedName name="UnitaryCooling">'[1]HVAC Lookup'!$C$33:$C$41</definedName>
    <definedName name="UnitaryHeating">'[1]HVAC Lookup'!$D$33:$D$38</definedName>
    <definedName name="UnitaryHeatingSize">'[1]HVAC Lookup'!$G$33:$G$38</definedName>
    <definedName name="Units" localSheetId="16">'[1]HVAC Lookup'!$L$9:$L$12</definedName>
    <definedName name="Units">'[2]HVAC Lookup'!$L$9:$L$12</definedName>
    <definedName name="Wall_Type" localSheetId="17">[3]Lists!$A$35:$A$38</definedName>
    <definedName name="Wall_Type">Lists!$A$40:$A$43</definedName>
    <definedName name="WeatherFile">[6]FuelType!$A$26:$A$28</definedName>
    <definedName name="Yes_No" localSheetId="17">[3]Lists!$N$1:$N$2</definedName>
    <definedName name="Yes_No">Lists!$N$1:$N$2</definedName>
    <definedName name="YESN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85" l="1"/>
  <c r="B4" i="10"/>
  <c r="I22" i="10"/>
  <c r="I20" i="10"/>
  <c r="C13" i="110" l="1"/>
  <c r="D22" i="10"/>
  <c r="C22" i="10"/>
  <c r="A10" i="10"/>
  <c r="A11" i="10"/>
  <c r="A9" i="10"/>
  <c r="I22" i="11"/>
  <c r="H22" i="11"/>
  <c r="G22" i="11"/>
  <c r="I7" i="105"/>
  <c r="I8" i="105"/>
  <c r="I9" i="105"/>
  <c r="I10" i="105"/>
  <c r="I11" i="105"/>
  <c r="I12" i="105"/>
  <c r="I13" i="105"/>
  <c r="I14" i="105"/>
  <c r="I15" i="105"/>
  <c r="I16" i="105"/>
  <c r="I17" i="105"/>
  <c r="I6" i="105"/>
  <c r="H6" i="105"/>
  <c r="H7" i="105"/>
  <c r="H8" i="105"/>
  <c r="H9" i="105"/>
  <c r="H10" i="105"/>
  <c r="H11" i="105"/>
  <c r="H12" i="105"/>
  <c r="H13" i="105"/>
  <c r="H14" i="105"/>
  <c r="H15" i="105"/>
  <c r="H16" i="105"/>
  <c r="H17" i="105"/>
  <c r="G8" i="105"/>
  <c r="G9" i="105"/>
  <c r="G10" i="105"/>
  <c r="G11" i="105"/>
  <c r="G12" i="105"/>
  <c r="G13" i="105"/>
  <c r="G14" i="105"/>
  <c r="G15" i="105"/>
  <c r="G16" i="105"/>
  <c r="G17" i="105"/>
  <c r="G7" i="105"/>
  <c r="G6" i="105"/>
  <c r="F37" i="107"/>
  <c r="N13" i="105" s="1"/>
  <c r="K22" i="11" s="1"/>
  <c r="F20" i="107"/>
  <c r="N12" i="105" s="1"/>
  <c r="J22" i="11" s="1"/>
  <c r="N5" i="107"/>
  <c r="K5" i="107"/>
  <c r="H5" i="107"/>
  <c r="E5" i="107"/>
  <c r="C3" i="107"/>
  <c r="C2" i="107" s="1"/>
  <c r="N39" i="87"/>
  <c r="K39" i="87"/>
  <c r="H39" i="87"/>
  <c r="E39" i="87"/>
  <c r="C37" i="87"/>
  <c r="G4" i="88" s="1"/>
  <c r="N22" i="87"/>
  <c r="K22" i="87"/>
  <c r="H22" i="87"/>
  <c r="E22" i="87"/>
  <c r="C20" i="87"/>
  <c r="F4" i="113" s="1"/>
  <c r="I5" i="105"/>
  <c r="H5" i="85" s="1"/>
  <c r="H5" i="105"/>
  <c r="G5" i="85" s="1"/>
  <c r="G5" i="105"/>
  <c r="G5" i="11" s="1"/>
  <c r="F9" i="105"/>
  <c r="F10" i="105"/>
  <c r="F11" i="105"/>
  <c r="F12" i="105"/>
  <c r="F13" i="105"/>
  <c r="F14" i="105"/>
  <c r="F15" i="105"/>
  <c r="F16" i="105"/>
  <c r="F17" i="105"/>
  <c r="F8" i="105"/>
  <c r="F7" i="105"/>
  <c r="F6" i="105"/>
  <c r="O11" i="105"/>
  <c r="O9" i="105"/>
  <c r="O10" i="105"/>
  <c r="I3" i="92"/>
  <c r="C16" i="85"/>
  <c r="D16" i="85"/>
  <c r="E16" i="85"/>
  <c r="F16" i="85"/>
  <c r="G16" i="85"/>
  <c r="H16" i="85"/>
  <c r="I16" i="85"/>
  <c r="J16" i="85"/>
  <c r="J14" i="113"/>
  <c r="I14" i="113"/>
  <c r="H14" i="113"/>
  <c r="G14" i="113"/>
  <c r="F14" i="113"/>
  <c r="E14" i="113"/>
  <c r="D14" i="113"/>
  <c r="C14" i="113"/>
  <c r="J13" i="113"/>
  <c r="I13" i="113"/>
  <c r="H13" i="113"/>
  <c r="G13" i="113"/>
  <c r="F13" i="113"/>
  <c r="E13" i="113"/>
  <c r="D13" i="113"/>
  <c r="C13" i="113"/>
  <c r="J12" i="113"/>
  <c r="I12" i="113"/>
  <c r="H12" i="113"/>
  <c r="G12" i="113"/>
  <c r="F12" i="113"/>
  <c r="E12" i="113"/>
  <c r="D12" i="113"/>
  <c r="C12" i="113"/>
  <c r="J11" i="113"/>
  <c r="I11" i="113"/>
  <c r="H11" i="113"/>
  <c r="G11" i="113"/>
  <c r="F11" i="113"/>
  <c r="E11" i="113"/>
  <c r="D11" i="113"/>
  <c r="C11" i="113"/>
  <c r="J10" i="113"/>
  <c r="I10" i="113"/>
  <c r="H10" i="113"/>
  <c r="G10" i="113"/>
  <c r="F10" i="113"/>
  <c r="E10" i="113"/>
  <c r="D10" i="113"/>
  <c r="C10" i="113"/>
  <c r="J9" i="113"/>
  <c r="I9" i="113"/>
  <c r="H9" i="113"/>
  <c r="G9" i="113"/>
  <c r="F9" i="113"/>
  <c r="E9" i="113"/>
  <c r="D9" i="113"/>
  <c r="C9" i="113"/>
  <c r="J8" i="113"/>
  <c r="I8" i="113"/>
  <c r="H8" i="113"/>
  <c r="G8" i="113"/>
  <c r="F8" i="113"/>
  <c r="E8" i="113"/>
  <c r="D8" i="113"/>
  <c r="C8" i="113"/>
  <c r="J7" i="113"/>
  <c r="I7" i="113"/>
  <c r="H7" i="113"/>
  <c r="G7" i="113"/>
  <c r="F7" i="113"/>
  <c r="E7" i="113"/>
  <c r="D7" i="113"/>
  <c r="C7" i="113"/>
  <c r="J6" i="113"/>
  <c r="I6" i="113"/>
  <c r="H6" i="113"/>
  <c r="G6" i="113"/>
  <c r="F6" i="113"/>
  <c r="E6" i="113"/>
  <c r="D6" i="113"/>
  <c r="C6" i="113"/>
  <c r="J5" i="113"/>
  <c r="I5" i="113"/>
  <c r="H5" i="113"/>
  <c r="G5" i="113"/>
  <c r="F5" i="113"/>
  <c r="E5" i="113"/>
  <c r="D5" i="113"/>
  <c r="C5" i="113"/>
  <c r="G18" i="88" l="1"/>
  <c r="I5" i="11"/>
  <c r="F37" i="87"/>
  <c r="C23" i="10"/>
  <c r="I17" i="110" s="1"/>
  <c r="A13" i="10"/>
  <c r="J18" i="88"/>
  <c r="J4" i="113"/>
  <c r="H5" i="11"/>
  <c r="I37" i="87"/>
  <c r="L37" i="87"/>
  <c r="G4" i="113"/>
  <c r="I4" i="113"/>
  <c r="A12" i="10"/>
  <c r="I18" i="88"/>
  <c r="F4" i="88"/>
  <c r="F20" i="87"/>
  <c r="L20" i="87"/>
  <c r="C30" i="10"/>
  <c r="F5" i="85"/>
  <c r="D30" i="10"/>
  <c r="F18" i="88"/>
  <c r="C31" i="10"/>
  <c r="I18" i="110" s="1"/>
  <c r="C2" i="87"/>
  <c r="I20" i="87"/>
  <c r="D6" i="97"/>
  <c r="D5" i="97"/>
  <c r="K37" i="97"/>
  <c r="K36" i="97"/>
  <c r="K35" i="97"/>
  <c r="K34" i="97"/>
  <c r="J33" i="97"/>
  <c r="P32" i="97"/>
  <c r="K28" i="97"/>
  <c r="K27" i="97"/>
  <c r="K25" i="97"/>
  <c r="K26" i="97"/>
  <c r="K23" i="97"/>
  <c r="K21" i="97"/>
  <c r="K20" i="97"/>
  <c r="K19" i="97"/>
  <c r="K18" i="97"/>
  <c r="K17" i="97"/>
  <c r="K16" i="97"/>
  <c r="K15" i="97"/>
  <c r="C11" i="97"/>
  <c r="B12" i="97"/>
  <c r="K22" i="97" s="1"/>
  <c r="B40" i="16" a="1"/>
  <c r="B40" i="16" s="1"/>
  <c r="F18" i="13"/>
  <c r="G18" i="13"/>
  <c r="H18" i="13"/>
  <c r="G17" i="13"/>
  <c r="F17" i="13"/>
  <c r="K24" i="97" l="1"/>
  <c r="E15" i="10"/>
  <c r="I16" i="110" s="1"/>
  <c r="F146" i="14"/>
  <c r="F147" i="14"/>
  <c r="F145" i="14"/>
  <c r="I18" i="11" l="1"/>
  <c r="J18" i="11"/>
  <c r="K18" i="11"/>
  <c r="H30" i="10"/>
  <c r="H22" i="105" l="1"/>
  <c r="F3" i="107"/>
  <c r="H4" i="113" l="1"/>
  <c r="H18" i="88"/>
  <c r="J4" i="88"/>
  <c r="E147" i="14"/>
  <c r="K5" i="105"/>
  <c r="E146" i="14"/>
  <c r="J5" i="105"/>
  <c r="J22" i="105"/>
  <c r="I4" i="88"/>
  <c r="I22" i="105"/>
  <c r="E145" i="14"/>
  <c r="H4" i="88"/>
  <c r="I37" i="107"/>
  <c r="L20" i="107"/>
  <c r="I3" i="107"/>
  <c r="L3" i="107"/>
  <c r="L37" i="107"/>
  <c r="I20" i="107"/>
  <c r="J35" i="11"/>
  <c r="K35" i="11"/>
  <c r="H4" i="100"/>
  <c r="H5" i="100"/>
  <c r="H6" i="100"/>
  <c r="H7" i="100"/>
  <c r="H8" i="100"/>
  <c r="H9" i="100"/>
  <c r="H10" i="100"/>
  <c r="H11" i="100"/>
  <c r="H12" i="100"/>
  <c r="H13" i="100"/>
  <c r="H14" i="100"/>
  <c r="H15" i="100"/>
  <c r="J5" i="85" l="1"/>
  <c r="K5" i="11"/>
  <c r="J5" i="11"/>
  <c r="I5" i="85"/>
  <c r="H16" i="100"/>
  <c r="I23" i="11"/>
  <c r="I36" i="11" s="1"/>
  <c r="I37" i="11" s="1"/>
  <c r="J23" i="11"/>
  <c r="J36" i="11" s="1"/>
  <c r="J37" i="11" s="1"/>
  <c r="K23" i="11"/>
  <c r="K36" i="11" s="1"/>
  <c r="K37" i="11" s="1"/>
  <c r="I24" i="11"/>
  <c r="J24" i="11"/>
  <c r="K24" i="11"/>
  <c r="I25" i="11"/>
  <c r="J25" i="11"/>
  <c r="K25" i="11"/>
  <c r="I26" i="11"/>
  <c r="J26" i="11"/>
  <c r="K26" i="11"/>
  <c r="I27" i="11"/>
  <c r="J27" i="11"/>
  <c r="K27" i="11"/>
  <c r="I28" i="11"/>
  <c r="J28" i="11"/>
  <c r="K28" i="11"/>
  <c r="I29" i="11"/>
  <c r="J29" i="11"/>
  <c r="K29" i="11"/>
  <c r="I30" i="11"/>
  <c r="J30" i="11"/>
  <c r="K30" i="11"/>
  <c r="I31" i="11"/>
  <c r="J31" i="11"/>
  <c r="K31" i="11"/>
  <c r="I32" i="11"/>
  <c r="J32" i="11"/>
  <c r="K32" i="11"/>
  <c r="I33" i="11"/>
  <c r="J33" i="11"/>
  <c r="K33" i="11"/>
  <c r="I34" i="11"/>
  <c r="J34" i="11"/>
  <c r="K34" i="11"/>
  <c r="J38" i="11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30" i="16"/>
  <c r="D31" i="16"/>
  <c r="D32" i="16"/>
  <c r="D36" i="16"/>
  <c r="D37" i="16"/>
  <c r="D38" i="16"/>
  <c r="D39" i="16"/>
  <c r="D7" i="16"/>
  <c r="F8" i="13"/>
  <c r="G8" i="13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G7" i="13"/>
  <c r="F7" i="13"/>
  <c r="F31" i="12"/>
  <c r="F30" i="12"/>
  <c r="F29" i="12"/>
  <c r="F28" i="12"/>
  <c r="F27" i="12"/>
  <c r="F26" i="12"/>
  <c r="F25" i="12"/>
  <c r="F24" i="12"/>
  <c r="F22" i="12"/>
  <c r="E4" i="92"/>
  <c r="F4" i="92"/>
  <c r="I4" i="92"/>
  <c r="C6" i="24"/>
  <c r="O29" i="97"/>
  <c r="Q29" i="97" s="1"/>
  <c r="P31" i="97"/>
  <c r="P30" i="97"/>
  <c r="P29" i="97"/>
  <c r="O32" i="97"/>
  <c r="O31" i="97"/>
  <c r="O30" i="97"/>
  <c r="I38" i="11" l="1"/>
  <c r="K38" i="11"/>
  <c r="A3" i="97"/>
  <c r="D29" i="88"/>
  <c r="E29" i="88"/>
  <c r="F29" i="88"/>
  <c r="G29" i="88"/>
  <c r="H29" i="88"/>
  <c r="I29" i="88"/>
  <c r="J29" i="88"/>
  <c r="H15" i="88"/>
  <c r="I15" i="88"/>
  <c r="J15" i="88"/>
  <c r="J15" i="113" s="1"/>
  <c r="J18" i="113" s="1"/>
  <c r="F15" i="88"/>
  <c r="I15" i="113" l="1"/>
  <c r="I18" i="113" s="1"/>
  <c r="F15" i="113"/>
  <c r="F18" i="113" s="1"/>
  <c r="H15" i="113"/>
  <c r="H18" i="113" s="1"/>
  <c r="I18" i="105"/>
  <c r="I35" i="11" s="1"/>
  <c r="K18" i="105"/>
  <c r="H24" i="105"/>
  <c r="J7" i="105"/>
  <c r="K7" i="105"/>
  <c r="J5" i="100" s="1"/>
  <c r="J8" i="105"/>
  <c r="I6" i="100" s="1"/>
  <c r="K8" i="105"/>
  <c r="J6" i="100" s="1"/>
  <c r="J9" i="105"/>
  <c r="I7" i="100" s="1"/>
  <c r="K9" i="105"/>
  <c r="H27" i="105"/>
  <c r="J10" i="105"/>
  <c r="I8" i="100" s="1"/>
  <c r="K10" i="105"/>
  <c r="J8" i="100" s="1"/>
  <c r="J11" i="105"/>
  <c r="K11" i="105"/>
  <c r="J9" i="100" s="1"/>
  <c r="J12" i="105"/>
  <c r="K12" i="105"/>
  <c r="J10" i="100" s="1"/>
  <c r="H30" i="105"/>
  <c r="J13" i="105"/>
  <c r="I11" i="100" s="1"/>
  <c r="K13" i="105"/>
  <c r="J11" i="100" s="1"/>
  <c r="J14" i="105"/>
  <c r="I12" i="100" s="1"/>
  <c r="K14" i="105"/>
  <c r="J12" i="100" s="1"/>
  <c r="H32" i="105"/>
  <c r="J15" i="105"/>
  <c r="K15" i="105"/>
  <c r="J16" i="105"/>
  <c r="I14" i="100" s="1"/>
  <c r="K16" i="105"/>
  <c r="J14" i="100" s="1"/>
  <c r="J17" i="105"/>
  <c r="K17" i="105"/>
  <c r="J6" i="105"/>
  <c r="K6" i="105"/>
  <c r="H23" i="105"/>
  <c r="H35" i="105" s="1"/>
  <c r="I33" i="105"/>
  <c r="I26" i="105"/>
  <c r="I25" i="105"/>
  <c r="H34" i="105"/>
  <c r="H28" i="105"/>
  <c r="H26" i="105"/>
  <c r="H25" i="105"/>
  <c r="J24" i="105"/>
  <c r="J25" i="105"/>
  <c r="J28" i="105"/>
  <c r="H29" i="105"/>
  <c r="J30" i="105"/>
  <c r="H31" i="105"/>
  <c r="H33" i="105"/>
  <c r="J33" i="105"/>
  <c r="N52" i="107"/>
  <c r="M52" i="107"/>
  <c r="K52" i="107"/>
  <c r="J52" i="107"/>
  <c r="H52" i="107"/>
  <c r="G52" i="107"/>
  <c r="E52" i="107"/>
  <c r="D52" i="107"/>
  <c r="M51" i="107"/>
  <c r="J51" i="107"/>
  <c r="G51" i="107"/>
  <c r="D51" i="107"/>
  <c r="M50" i="107"/>
  <c r="J50" i="107"/>
  <c r="G50" i="107"/>
  <c r="D50" i="107"/>
  <c r="M49" i="107"/>
  <c r="J49" i="107"/>
  <c r="G49" i="107"/>
  <c r="D49" i="107"/>
  <c r="M48" i="107"/>
  <c r="J48" i="107"/>
  <c r="G48" i="107"/>
  <c r="D48" i="107"/>
  <c r="M47" i="107"/>
  <c r="J47" i="107"/>
  <c r="G47" i="107"/>
  <c r="D47" i="107"/>
  <c r="M46" i="107"/>
  <c r="J46" i="107"/>
  <c r="G46" i="107"/>
  <c r="D46" i="107"/>
  <c r="M45" i="107"/>
  <c r="J45" i="107"/>
  <c r="G45" i="107"/>
  <c r="D45" i="107"/>
  <c r="M44" i="107"/>
  <c r="J44" i="107"/>
  <c r="G44" i="107"/>
  <c r="D44" i="107"/>
  <c r="M43" i="107"/>
  <c r="J43" i="107"/>
  <c r="G43" i="107"/>
  <c r="D43" i="107"/>
  <c r="M42" i="107"/>
  <c r="J42" i="107"/>
  <c r="G42" i="107"/>
  <c r="D42" i="107"/>
  <c r="M41" i="107"/>
  <c r="J41" i="107"/>
  <c r="G41" i="107"/>
  <c r="D41" i="107"/>
  <c r="N35" i="107"/>
  <c r="M35" i="107"/>
  <c r="K35" i="107"/>
  <c r="J35" i="107"/>
  <c r="H35" i="107"/>
  <c r="G35" i="107"/>
  <c r="E35" i="107"/>
  <c r="D35" i="107"/>
  <c r="M34" i="107"/>
  <c r="J34" i="107"/>
  <c r="G34" i="107"/>
  <c r="D34" i="107"/>
  <c r="M33" i="107"/>
  <c r="J33" i="107"/>
  <c r="G33" i="107"/>
  <c r="D33" i="107"/>
  <c r="M32" i="107"/>
  <c r="J32" i="107"/>
  <c r="G32" i="107"/>
  <c r="D32" i="107"/>
  <c r="M31" i="107"/>
  <c r="J31" i="107"/>
  <c r="G31" i="107"/>
  <c r="D31" i="107"/>
  <c r="M30" i="107"/>
  <c r="J30" i="107"/>
  <c r="G30" i="107"/>
  <c r="D30" i="107"/>
  <c r="M29" i="107"/>
  <c r="J29" i="107"/>
  <c r="G29" i="107"/>
  <c r="D29" i="107"/>
  <c r="M28" i="107"/>
  <c r="J28" i="107"/>
  <c r="G28" i="107"/>
  <c r="D28" i="107"/>
  <c r="M27" i="107"/>
  <c r="J27" i="107"/>
  <c r="G27" i="107"/>
  <c r="D27" i="107"/>
  <c r="M26" i="107"/>
  <c r="J26" i="107"/>
  <c r="G26" i="107"/>
  <c r="D26" i="107"/>
  <c r="M25" i="107"/>
  <c r="J25" i="107"/>
  <c r="G25" i="107"/>
  <c r="D25" i="107"/>
  <c r="M24" i="107"/>
  <c r="J24" i="107"/>
  <c r="G24" i="107"/>
  <c r="D24" i="107"/>
  <c r="N18" i="107"/>
  <c r="M18" i="107"/>
  <c r="K18" i="107"/>
  <c r="J18" i="107"/>
  <c r="H18" i="107"/>
  <c r="G18" i="107"/>
  <c r="E18" i="107"/>
  <c r="D18" i="107"/>
  <c r="M17" i="107"/>
  <c r="J17" i="107"/>
  <c r="G17" i="107"/>
  <c r="D17" i="107"/>
  <c r="M16" i="107"/>
  <c r="J16" i="107"/>
  <c r="G16" i="107"/>
  <c r="D16" i="107"/>
  <c r="M15" i="107"/>
  <c r="J15" i="107"/>
  <c r="G15" i="107"/>
  <c r="D15" i="107"/>
  <c r="M14" i="107"/>
  <c r="J14" i="107"/>
  <c r="G14" i="107"/>
  <c r="D14" i="107"/>
  <c r="M13" i="107"/>
  <c r="J13" i="107"/>
  <c r="G13" i="107"/>
  <c r="D13" i="107"/>
  <c r="M12" i="107"/>
  <c r="J12" i="107"/>
  <c r="G12" i="107"/>
  <c r="D12" i="107"/>
  <c r="M11" i="107"/>
  <c r="J11" i="107"/>
  <c r="G11" i="107"/>
  <c r="D11" i="107"/>
  <c r="M10" i="107"/>
  <c r="J10" i="107"/>
  <c r="G10" i="107"/>
  <c r="D10" i="107"/>
  <c r="M9" i="107"/>
  <c r="J9" i="107"/>
  <c r="G9" i="107"/>
  <c r="D9" i="107"/>
  <c r="M8" i="107"/>
  <c r="J8" i="107"/>
  <c r="G8" i="107"/>
  <c r="D8" i="107"/>
  <c r="M7" i="107"/>
  <c r="J7" i="107"/>
  <c r="G7" i="107"/>
  <c r="D7" i="107"/>
  <c r="J27" i="105" l="1"/>
  <c r="J26" i="105"/>
  <c r="J7" i="100"/>
  <c r="J32" i="105"/>
  <c r="J13" i="100"/>
  <c r="J16" i="100" s="1"/>
  <c r="I32" i="105"/>
  <c r="I13" i="100"/>
  <c r="I34" i="105"/>
  <c r="I15" i="100"/>
  <c r="I24" i="105"/>
  <c r="I5" i="100"/>
  <c r="I31" i="105"/>
  <c r="I27" i="105"/>
  <c r="J18" i="105"/>
  <c r="J31" i="105"/>
  <c r="I29" i="105"/>
  <c r="I10" i="100"/>
  <c r="J34" i="105"/>
  <c r="J15" i="100"/>
  <c r="J23" i="105"/>
  <c r="J35" i="105" s="1"/>
  <c r="J4" i="100"/>
  <c r="I30" i="105"/>
  <c r="J29" i="105"/>
  <c r="I23" i="105"/>
  <c r="I35" i="105" s="1"/>
  <c r="I4" i="100"/>
  <c r="I16" i="100" s="1"/>
  <c r="I28" i="105"/>
  <c r="I9" i="100"/>
  <c r="E17" i="105"/>
  <c r="D17" i="105"/>
  <c r="C17" i="105"/>
  <c r="E16" i="105"/>
  <c r="D16" i="105"/>
  <c r="C16" i="105"/>
  <c r="E15" i="105"/>
  <c r="D15" i="105"/>
  <c r="C15" i="105"/>
  <c r="E14" i="105"/>
  <c r="D14" i="105"/>
  <c r="C14" i="105"/>
  <c r="E13" i="105"/>
  <c r="D13" i="105"/>
  <c r="C13" i="105"/>
  <c r="E12" i="105"/>
  <c r="D12" i="105"/>
  <c r="C12" i="105"/>
  <c r="E11" i="105"/>
  <c r="D11" i="105"/>
  <c r="C11" i="105"/>
  <c r="E10" i="105"/>
  <c r="D10" i="105"/>
  <c r="C10" i="105"/>
  <c r="E9" i="105"/>
  <c r="D9" i="105"/>
  <c r="C9" i="105"/>
  <c r="E8" i="105"/>
  <c r="D8" i="105"/>
  <c r="C8" i="105"/>
  <c r="E7" i="105"/>
  <c r="D7" i="105"/>
  <c r="C7" i="105"/>
  <c r="E6" i="105"/>
  <c r="D6" i="105"/>
  <c r="D18" i="105" s="1"/>
  <c r="C6" i="105"/>
  <c r="G7" i="100" l="1"/>
  <c r="H26" i="11"/>
  <c r="G26" i="105"/>
  <c r="G15" i="100"/>
  <c r="H34" i="11"/>
  <c r="G34" i="105"/>
  <c r="G6" i="100"/>
  <c r="H25" i="11"/>
  <c r="G25" i="105"/>
  <c r="G10" i="100"/>
  <c r="H29" i="11"/>
  <c r="G29" i="105"/>
  <c r="G14" i="100"/>
  <c r="H33" i="11"/>
  <c r="G33" i="105"/>
  <c r="G9" i="100"/>
  <c r="H28" i="11"/>
  <c r="G28" i="105"/>
  <c r="G5" i="100"/>
  <c r="H24" i="11"/>
  <c r="G24" i="105"/>
  <c r="G13" i="100"/>
  <c r="H32" i="11"/>
  <c r="G32" i="105"/>
  <c r="G12" i="100"/>
  <c r="H31" i="11"/>
  <c r="G31" i="105"/>
  <c r="G4" i="100"/>
  <c r="H23" i="11"/>
  <c r="G23" i="105"/>
  <c r="G8" i="100"/>
  <c r="H27" i="11"/>
  <c r="G27" i="105"/>
  <c r="G11" i="100"/>
  <c r="H30" i="11"/>
  <c r="G30" i="105"/>
  <c r="F6" i="100"/>
  <c r="G25" i="11"/>
  <c r="F25" i="105"/>
  <c r="F14" i="100"/>
  <c r="G33" i="11"/>
  <c r="F33" i="105"/>
  <c r="F10" i="100"/>
  <c r="G29" i="11"/>
  <c r="F29" i="105"/>
  <c r="F9" i="100"/>
  <c r="G28" i="11"/>
  <c r="F28" i="105"/>
  <c r="F5" i="100"/>
  <c r="G24" i="11"/>
  <c r="F24" i="105"/>
  <c r="F13" i="100"/>
  <c r="G32" i="11"/>
  <c r="F32" i="105"/>
  <c r="F4" i="100"/>
  <c r="G23" i="11"/>
  <c r="F23" i="105"/>
  <c r="F8" i="100"/>
  <c r="G27" i="11"/>
  <c r="F27" i="105"/>
  <c r="F12" i="100"/>
  <c r="G31" i="11"/>
  <c r="F31" i="105"/>
  <c r="F7" i="100"/>
  <c r="G26" i="11"/>
  <c r="F26" i="105"/>
  <c r="F11" i="100"/>
  <c r="G30" i="11"/>
  <c r="F30" i="105"/>
  <c r="F15" i="100"/>
  <c r="G34" i="11"/>
  <c r="F34" i="105"/>
  <c r="E9" i="100"/>
  <c r="F28" i="11"/>
  <c r="E28" i="105"/>
  <c r="E13" i="100"/>
  <c r="F32" i="11"/>
  <c r="E32" i="105"/>
  <c r="E4" i="100"/>
  <c r="F23" i="11"/>
  <c r="E23" i="105"/>
  <c r="E8" i="100"/>
  <c r="F27" i="11"/>
  <c r="E27" i="105"/>
  <c r="E12" i="100"/>
  <c r="F31" i="11"/>
  <c r="E31" i="105"/>
  <c r="E7" i="100"/>
  <c r="F26" i="11"/>
  <c r="E26" i="105"/>
  <c r="E15" i="100"/>
  <c r="F34" i="11"/>
  <c r="E34" i="105"/>
  <c r="E5" i="100"/>
  <c r="F24" i="11"/>
  <c r="E24" i="105"/>
  <c r="E11" i="100"/>
  <c r="F30" i="11"/>
  <c r="E30" i="105"/>
  <c r="E6" i="100"/>
  <c r="F25" i="11"/>
  <c r="E25" i="105"/>
  <c r="E10" i="100"/>
  <c r="F29" i="11"/>
  <c r="E29" i="105"/>
  <c r="E14" i="100"/>
  <c r="F33" i="11"/>
  <c r="E33" i="105"/>
  <c r="D9" i="100"/>
  <c r="E28" i="11"/>
  <c r="D28" i="105"/>
  <c r="D13" i="100"/>
  <c r="E32" i="11"/>
  <c r="D32" i="105"/>
  <c r="D4" i="100"/>
  <c r="E23" i="11"/>
  <c r="D23" i="105"/>
  <c r="D12" i="100"/>
  <c r="E31" i="11"/>
  <c r="D31" i="105"/>
  <c r="D8" i="100"/>
  <c r="E27" i="11"/>
  <c r="D27" i="105"/>
  <c r="D7" i="100"/>
  <c r="E26" i="11"/>
  <c r="D26" i="105"/>
  <c r="D11" i="100"/>
  <c r="E30" i="11"/>
  <c r="D30" i="105"/>
  <c r="D5" i="100"/>
  <c r="E24" i="11"/>
  <c r="D24" i="105"/>
  <c r="D15" i="100"/>
  <c r="E34" i="11"/>
  <c r="D34" i="105"/>
  <c r="D10" i="100"/>
  <c r="E29" i="11"/>
  <c r="D29" i="105"/>
  <c r="D6" i="100"/>
  <c r="E25" i="11"/>
  <c r="D25" i="105"/>
  <c r="D14" i="100"/>
  <c r="E33" i="11"/>
  <c r="D33" i="105"/>
  <c r="C26" i="105"/>
  <c r="B7" i="100"/>
  <c r="C26" i="11"/>
  <c r="C7" i="100"/>
  <c r="D26" i="11"/>
  <c r="C11" i="100"/>
  <c r="D30" i="11"/>
  <c r="C15" i="100"/>
  <c r="D34" i="11"/>
  <c r="C34" i="105"/>
  <c r="B15" i="100"/>
  <c r="C34" i="11"/>
  <c r="C25" i="105"/>
  <c r="B6" i="100"/>
  <c r="C25" i="11"/>
  <c r="C29" i="105"/>
  <c r="B10" i="100"/>
  <c r="C29" i="11"/>
  <c r="C33" i="105"/>
  <c r="B14" i="100"/>
  <c r="C33" i="11"/>
  <c r="C8" i="100"/>
  <c r="D27" i="11"/>
  <c r="C6" i="100"/>
  <c r="D25" i="11"/>
  <c r="C10" i="100"/>
  <c r="D29" i="11"/>
  <c r="C14" i="100"/>
  <c r="D33" i="11"/>
  <c r="C12" i="100"/>
  <c r="D31" i="11"/>
  <c r="C24" i="105"/>
  <c r="B5" i="100"/>
  <c r="C24" i="11"/>
  <c r="C28" i="105"/>
  <c r="B9" i="100"/>
  <c r="C28" i="11"/>
  <c r="C32" i="105"/>
  <c r="B13" i="100"/>
  <c r="C32" i="11"/>
  <c r="C30" i="105"/>
  <c r="B11" i="100"/>
  <c r="C30" i="11"/>
  <c r="C5" i="100"/>
  <c r="D24" i="11"/>
  <c r="C9" i="100"/>
  <c r="D28" i="11"/>
  <c r="C13" i="100"/>
  <c r="D32" i="11"/>
  <c r="C4" i="100"/>
  <c r="D23" i="11"/>
  <c r="C23" i="105"/>
  <c r="B4" i="100"/>
  <c r="C23" i="11"/>
  <c r="C27" i="105"/>
  <c r="B8" i="100"/>
  <c r="C27" i="11"/>
  <c r="C31" i="105"/>
  <c r="B12" i="100"/>
  <c r="C31" i="11"/>
  <c r="H18" i="105"/>
  <c r="G18" i="105"/>
  <c r="C18" i="105"/>
  <c r="E18" i="105"/>
  <c r="F18" i="105"/>
  <c r="C28" i="10"/>
  <c r="F16" i="100" l="1"/>
  <c r="F36" i="11"/>
  <c r="G35" i="105"/>
  <c r="H36" i="11"/>
  <c r="G16" i="100"/>
  <c r="F35" i="105"/>
  <c r="G36" i="11"/>
  <c r="E16" i="100"/>
  <c r="E35" i="105"/>
  <c r="E36" i="11"/>
  <c r="D16" i="100"/>
  <c r="D35" i="105"/>
  <c r="C16" i="100"/>
  <c r="C35" i="105"/>
  <c r="D24" i="87"/>
  <c r="D35" i="87" s="1"/>
  <c r="G24" i="87"/>
  <c r="J24" i="87"/>
  <c r="M24" i="87"/>
  <c r="D25" i="87"/>
  <c r="G25" i="87"/>
  <c r="J25" i="87"/>
  <c r="M25" i="87"/>
  <c r="D26" i="87"/>
  <c r="G26" i="87"/>
  <c r="J26" i="87"/>
  <c r="M26" i="87"/>
  <c r="D27" i="87"/>
  <c r="G27" i="87"/>
  <c r="J27" i="87"/>
  <c r="M27" i="87"/>
  <c r="D28" i="87"/>
  <c r="G28" i="87"/>
  <c r="J28" i="87"/>
  <c r="M28" i="87"/>
  <c r="D29" i="87"/>
  <c r="G29" i="87"/>
  <c r="J29" i="87"/>
  <c r="M29" i="87"/>
  <c r="D30" i="87"/>
  <c r="G30" i="87"/>
  <c r="J30" i="87"/>
  <c r="M30" i="87"/>
  <c r="D31" i="87"/>
  <c r="G31" i="87"/>
  <c r="J31" i="87"/>
  <c r="M31" i="87"/>
  <c r="D32" i="87"/>
  <c r="G32" i="87"/>
  <c r="J32" i="87"/>
  <c r="M32" i="87"/>
  <c r="D33" i="87"/>
  <c r="G33" i="87"/>
  <c r="J33" i="87"/>
  <c r="M33" i="87"/>
  <c r="D34" i="87"/>
  <c r="G34" i="87"/>
  <c r="J34" i="87"/>
  <c r="M34" i="87"/>
  <c r="E35" i="87"/>
  <c r="G35" i="87"/>
  <c r="H35" i="87"/>
  <c r="J35" i="87"/>
  <c r="K35" i="87"/>
  <c r="M35" i="87"/>
  <c r="N35" i="87"/>
  <c r="N18" i="87"/>
  <c r="M18" i="87"/>
  <c r="M17" i="87"/>
  <c r="M16" i="87"/>
  <c r="M15" i="87"/>
  <c r="M14" i="87"/>
  <c r="M13" i="87"/>
  <c r="M12" i="87"/>
  <c r="M11" i="87"/>
  <c r="M10" i="87"/>
  <c r="M9" i="87"/>
  <c r="M8" i="87"/>
  <c r="M7" i="87"/>
  <c r="N52" i="87"/>
  <c r="M52" i="87"/>
  <c r="M51" i="87"/>
  <c r="M50" i="87"/>
  <c r="M49" i="87"/>
  <c r="M48" i="87"/>
  <c r="M47" i="87"/>
  <c r="M46" i="87"/>
  <c r="M45" i="87"/>
  <c r="M44" i="87"/>
  <c r="M43" i="87"/>
  <c r="M42" i="87"/>
  <c r="M41" i="87"/>
  <c r="D18" i="11"/>
  <c r="D35" i="11" s="1"/>
  <c r="M52" i="103"/>
  <c r="L52" i="103"/>
  <c r="I52" i="103"/>
  <c r="H52" i="103"/>
  <c r="E52" i="103"/>
  <c r="D52" i="103"/>
  <c r="L51" i="103"/>
  <c r="H51" i="103"/>
  <c r="D51" i="103"/>
  <c r="L50" i="103"/>
  <c r="H50" i="103"/>
  <c r="D50" i="103"/>
  <c r="L49" i="103"/>
  <c r="H49" i="103"/>
  <c r="D49" i="103"/>
  <c r="L48" i="103"/>
  <c r="H48" i="103"/>
  <c r="D48" i="103"/>
  <c r="L47" i="103"/>
  <c r="H47" i="103"/>
  <c r="D47" i="103"/>
  <c r="L46" i="103"/>
  <c r="H46" i="103"/>
  <c r="D46" i="103"/>
  <c r="L45" i="103"/>
  <c r="H45" i="103"/>
  <c r="D45" i="103"/>
  <c r="L44" i="103"/>
  <c r="H44" i="103"/>
  <c r="D44" i="103"/>
  <c r="L43" i="103"/>
  <c r="H43" i="103"/>
  <c r="D43" i="103"/>
  <c r="L42" i="103"/>
  <c r="H42" i="103"/>
  <c r="D42" i="103"/>
  <c r="L41" i="103"/>
  <c r="H41" i="103"/>
  <c r="D41" i="103"/>
  <c r="M35" i="103"/>
  <c r="L35" i="103"/>
  <c r="I35" i="103"/>
  <c r="H35" i="103"/>
  <c r="E35" i="103"/>
  <c r="D35" i="103"/>
  <c r="L34" i="103"/>
  <c r="H34" i="103"/>
  <c r="D34" i="103"/>
  <c r="L33" i="103"/>
  <c r="H33" i="103"/>
  <c r="D33" i="103"/>
  <c r="L32" i="103"/>
  <c r="H32" i="103"/>
  <c r="D32" i="103"/>
  <c r="L31" i="103"/>
  <c r="H31" i="103"/>
  <c r="D31" i="103"/>
  <c r="L30" i="103"/>
  <c r="H30" i="103"/>
  <c r="D30" i="103"/>
  <c r="L29" i="103"/>
  <c r="H29" i="103"/>
  <c r="D29" i="103"/>
  <c r="L28" i="103"/>
  <c r="H28" i="103"/>
  <c r="D28" i="103"/>
  <c r="L27" i="103"/>
  <c r="H27" i="103"/>
  <c r="D27" i="103"/>
  <c r="L26" i="103"/>
  <c r="H26" i="103"/>
  <c r="D26" i="103"/>
  <c r="L25" i="103"/>
  <c r="H25" i="103"/>
  <c r="D25" i="103"/>
  <c r="L24" i="103"/>
  <c r="H24" i="103"/>
  <c r="D24" i="103"/>
  <c r="M18" i="103"/>
  <c r="L18" i="103"/>
  <c r="I18" i="103"/>
  <c r="H18" i="103"/>
  <c r="E18" i="103"/>
  <c r="L17" i="103"/>
  <c r="H17" i="103"/>
  <c r="D17" i="103"/>
  <c r="L16" i="103"/>
  <c r="H16" i="103"/>
  <c r="D16" i="103"/>
  <c r="L15" i="103"/>
  <c r="H15" i="103"/>
  <c r="D15" i="103"/>
  <c r="L14" i="103"/>
  <c r="H14" i="103"/>
  <c r="D14" i="103"/>
  <c r="L13" i="103"/>
  <c r="H13" i="103"/>
  <c r="D13" i="103"/>
  <c r="L12" i="103"/>
  <c r="H12" i="103"/>
  <c r="D12" i="103"/>
  <c r="L11" i="103"/>
  <c r="H11" i="103"/>
  <c r="D11" i="103"/>
  <c r="L10" i="103"/>
  <c r="H10" i="103"/>
  <c r="D10" i="103"/>
  <c r="L9" i="103"/>
  <c r="H9" i="103"/>
  <c r="D9" i="103"/>
  <c r="L8" i="103"/>
  <c r="H8" i="103"/>
  <c r="D8" i="103"/>
  <c r="L7" i="103"/>
  <c r="H7" i="103"/>
  <c r="D7" i="103"/>
  <c r="M52" i="81"/>
  <c r="M35" i="81"/>
  <c r="M18" i="81"/>
  <c r="D18" i="103" l="1"/>
  <c r="D36" i="11"/>
  <c r="D37" i="11" s="1"/>
  <c r="G37" i="11"/>
  <c r="F37" i="11"/>
  <c r="F36" i="105"/>
  <c r="H37" i="11"/>
  <c r="E37" i="11"/>
  <c r="D38" i="11" l="1"/>
  <c r="F10" i="92"/>
  <c r="F11" i="92"/>
  <c r="I5" i="92"/>
  <c r="F3" i="92"/>
  <c r="F5" i="92"/>
  <c r="E3" i="92"/>
  <c r="J37" i="97"/>
  <c r="J36" i="97"/>
  <c r="L35" i="97"/>
  <c r="J35" i="97"/>
  <c r="L34" i="97"/>
  <c r="J34" i="97"/>
  <c r="R32" i="97"/>
  <c r="Q32" i="97"/>
  <c r="R31" i="97"/>
  <c r="Q31" i="97"/>
  <c r="R30" i="97"/>
  <c r="Q30" i="97"/>
  <c r="R29" i="97"/>
  <c r="J28" i="97"/>
  <c r="J27" i="97"/>
  <c r="J26" i="97"/>
  <c r="J25" i="97"/>
  <c r="J23" i="97"/>
  <c r="J22" i="97"/>
  <c r="J21" i="97"/>
  <c r="J20" i="97"/>
  <c r="J19" i="97"/>
  <c r="J18" i="97"/>
  <c r="J17" i="97"/>
  <c r="J16" i="97"/>
  <c r="J15" i="97"/>
  <c r="D8" i="97" l="1"/>
  <c r="L32" i="97"/>
  <c r="L29" i="97"/>
  <c r="C5" i="97"/>
  <c r="L30" i="97"/>
  <c r="L31" i="97"/>
  <c r="K29" i="97" l="1"/>
  <c r="J29" i="97" s="1"/>
  <c r="K32" i="97"/>
  <c r="J32" i="97"/>
  <c r="K31" i="97"/>
  <c r="J31" i="97"/>
  <c r="K30" i="97"/>
  <c r="J30" i="97" s="1"/>
  <c r="C6" i="97" l="1"/>
  <c r="C7" i="97" s="1"/>
  <c r="C8" i="97" s="1"/>
  <c r="H10" i="13"/>
  <c r="H11" i="13"/>
  <c r="H12" i="13"/>
  <c r="H13" i="13"/>
  <c r="H14" i="13"/>
  <c r="H15" i="13"/>
  <c r="H16" i="13"/>
  <c r="C29" i="10" l="1"/>
  <c r="C21" i="10"/>
  <c r="C26" i="85"/>
  <c r="C27" i="85"/>
  <c r="C30" i="85"/>
  <c r="C23" i="85"/>
  <c r="C21" i="85"/>
  <c r="C28" i="85"/>
  <c r="C22" i="85"/>
  <c r="C29" i="85"/>
  <c r="C24" i="85"/>
  <c r="C25" i="85"/>
  <c r="B4" i="93"/>
  <c r="B5" i="93"/>
  <c r="B6" i="93"/>
  <c r="B7" i="93"/>
  <c r="B8" i="93"/>
  <c r="B9" i="93"/>
  <c r="B10" i="93"/>
  <c r="B11" i="93"/>
  <c r="B12" i="93"/>
  <c r="B13" i="93"/>
  <c r="B14" i="93"/>
  <c r="B15" i="93"/>
  <c r="B16" i="93"/>
  <c r="B17" i="93"/>
  <c r="B18" i="93"/>
  <c r="B19" i="93"/>
  <c r="B20" i="93"/>
  <c r="B21" i="93"/>
  <c r="B22" i="93"/>
  <c r="B23" i="93"/>
  <c r="B24" i="93"/>
  <c r="B25" i="93"/>
  <c r="B26" i="93"/>
  <c r="B27" i="93"/>
  <c r="B28" i="93"/>
  <c r="B29" i="93"/>
  <c r="B30" i="93"/>
  <c r="B31" i="93"/>
  <c r="B32" i="93"/>
  <c r="B33" i="93"/>
  <c r="B34" i="93"/>
  <c r="B35" i="93"/>
  <c r="B36" i="93"/>
  <c r="B37" i="93"/>
  <c r="B38" i="93"/>
  <c r="B39" i="93"/>
  <c r="B40" i="93"/>
  <c r="B41" i="93"/>
  <c r="B42" i="93"/>
  <c r="B43" i="93"/>
  <c r="B44" i="93"/>
  <c r="B45" i="93"/>
  <c r="B46" i="93"/>
  <c r="B47" i="93"/>
  <c r="B48" i="93"/>
  <c r="B49" i="93"/>
  <c r="B50" i="93"/>
  <c r="B3" i="93"/>
  <c r="I50" i="92"/>
  <c r="F50" i="92"/>
  <c r="E50" i="92"/>
  <c r="I49" i="92"/>
  <c r="F49" i="92"/>
  <c r="E49" i="92"/>
  <c r="I48" i="92"/>
  <c r="F48" i="92"/>
  <c r="E48" i="92"/>
  <c r="I47" i="92"/>
  <c r="F47" i="92"/>
  <c r="E47" i="92"/>
  <c r="I46" i="92"/>
  <c r="F46" i="92"/>
  <c r="E46" i="92"/>
  <c r="I45" i="92"/>
  <c r="F45" i="92"/>
  <c r="E45" i="92"/>
  <c r="I44" i="92"/>
  <c r="F44" i="92"/>
  <c r="E44" i="92"/>
  <c r="I43" i="92"/>
  <c r="F43" i="92"/>
  <c r="E43" i="92"/>
  <c r="I42" i="92"/>
  <c r="F42" i="92"/>
  <c r="E42" i="92"/>
  <c r="I41" i="92"/>
  <c r="F41" i="92"/>
  <c r="E41" i="92"/>
  <c r="I40" i="92"/>
  <c r="F40" i="92"/>
  <c r="E40" i="92"/>
  <c r="I39" i="92"/>
  <c r="F39" i="92"/>
  <c r="E39" i="92"/>
  <c r="I38" i="92"/>
  <c r="F38" i="92"/>
  <c r="E38" i="92"/>
  <c r="I37" i="92"/>
  <c r="F37" i="92"/>
  <c r="E37" i="92"/>
  <c r="I36" i="92"/>
  <c r="F36" i="92"/>
  <c r="E36" i="92"/>
  <c r="I35" i="92"/>
  <c r="F35" i="92"/>
  <c r="E35" i="92"/>
  <c r="I34" i="92"/>
  <c r="F34" i="92"/>
  <c r="E34" i="92"/>
  <c r="I33" i="92"/>
  <c r="F33" i="92"/>
  <c r="E33" i="92"/>
  <c r="I32" i="92"/>
  <c r="F32" i="92"/>
  <c r="E32" i="92"/>
  <c r="I31" i="92"/>
  <c r="F31" i="92"/>
  <c r="E31" i="92"/>
  <c r="I30" i="92"/>
  <c r="F30" i="92"/>
  <c r="E30" i="92"/>
  <c r="I29" i="92"/>
  <c r="F29" i="92"/>
  <c r="E29" i="92"/>
  <c r="I28" i="92"/>
  <c r="F28" i="92"/>
  <c r="E28" i="92"/>
  <c r="I27" i="92"/>
  <c r="F27" i="92"/>
  <c r="E27" i="92"/>
  <c r="I26" i="92"/>
  <c r="F26" i="92"/>
  <c r="E26" i="92"/>
  <c r="I25" i="92"/>
  <c r="F25" i="92"/>
  <c r="E25" i="92"/>
  <c r="I24" i="92"/>
  <c r="F24" i="92"/>
  <c r="E24" i="92"/>
  <c r="I23" i="92"/>
  <c r="F23" i="92"/>
  <c r="E23" i="92"/>
  <c r="I22" i="92"/>
  <c r="F22" i="92"/>
  <c r="E22" i="92"/>
  <c r="I21" i="92"/>
  <c r="F21" i="92"/>
  <c r="E21" i="92"/>
  <c r="I20" i="92"/>
  <c r="F20" i="92"/>
  <c r="E20" i="92"/>
  <c r="I19" i="92"/>
  <c r="F19" i="92"/>
  <c r="E19" i="92"/>
  <c r="I18" i="92"/>
  <c r="F18" i="92"/>
  <c r="E18" i="92"/>
  <c r="I17" i="92"/>
  <c r="F17" i="92"/>
  <c r="E17" i="92"/>
  <c r="I16" i="92"/>
  <c r="F16" i="92"/>
  <c r="E16" i="92"/>
  <c r="I15" i="92"/>
  <c r="F15" i="92"/>
  <c r="E15" i="92"/>
  <c r="I14" i="92"/>
  <c r="F14" i="92"/>
  <c r="E14" i="92"/>
  <c r="I13" i="92"/>
  <c r="F13" i="92"/>
  <c r="E13" i="92"/>
  <c r="I12" i="92"/>
  <c r="F12" i="92"/>
  <c r="E12" i="92"/>
  <c r="I11" i="92"/>
  <c r="E11" i="92"/>
  <c r="I10" i="92"/>
  <c r="E10" i="92"/>
  <c r="I9" i="92"/>
  <c r="F9" i="92"/>
  <c r="E9" i="92"/>
  <c r="I8" i="92"/>
  <c r="F8" i="92"/>
  <c r="E8" i="92"/>
  <c r="I7" i="92"/>
  <c r="F7" i="92"/>
  <c r="E7" i="92"/>
  <c r="I6" i="92"/>
  <c r="F6" i="92"/>
  <c r="E6" i="92"/>
  <c r="D4" i="19" l="1"/>
  <c r="C28" i="19"/>
  <c r="D28" i="19"/>
  <c r="E28" i="19"/>
  <c r="A19" i="12" l="1"/>
  <c r="C29" i="88"/>
  <c r="D23" i="10" l="1"/>
  <c r="I14" i="110" s="1"/>
  <c r="I20" i="110" s="1"/>
  <c r="D31" i="10"/>
  <c r="I15" i="110" s="1"/>
  <c r="I21" i="110" s="1"/>
  <c r="D28" i="85"/>
  <c r="D30" i="85"/>
  <c r="D29" i="85"/>
  <c r="D27" i="85"/>
  <c r="D22" i="85"/>
  <c r="D23" i="85"/>
  <c r="D21" i="85"/>
  <c r="D24" i="85"/>
  <c r="D25" i="85"/>
  <c r="D26" i="85"/>
  <c r="E29" i="85"/>
  <c r="E21" i="85"/>
  <c r="E22" i="85"/>
  <c r="E30" i="85"/>
  <c r="E28" i="85"/>
  <c r="E24" i="85"/>
  <c r="E23" i="85"/>
  <c r="E26" i="85"/>
  <c r="E25" i="85"/>
  <c r="E27" i="85"/>
  <c r="G15" i="88"/>
  <c r="G15" i="113" s="1"/>
  <c r="G18" i="113" s="1"/>
  <c r="E15" i="88"/>
  <c r="E15" i="113" s="1"/>
  <c r="E18" i="113" s="1"/>
  <c r="D15" i="88"/>
  <c r="D15" i="113" s="1"/>
  <c r="D18" i="113" s="1"/>
  <c r="C15" i="88"/>
  <c r="C15" i="113" s="1"/>
  <c r="C18" i="113" s="1"/>
  <c r="H19" i="113" l="1"/>
  <c r="D21" i="10"/>
  <c r="D24" i="10"/>
  <c r="D29" i="10"/>
  <c r="D32" i="10"/>
  <c r="H18" i="11"/>
  <c r="H35" i="11" s="1"/>
  <c r="G18" i="11"/>
  <c r="G35" i="11" s="1"/>
  <c r="F18" i="11"/>
  <c r="F35" i="11" s="1"/>
  <c r="E18" i="11"/>
  <c r="E35" i="11" s="1"/>
  <c r="C18" i="11"/>
  <c r="K18" i="87"/>
  <c r="J18" i="87"/>
  <c r="H18" i="87"/>
  <c r="G18" i="87"/>
  <c r="E18" i="87"/>
  <c r="D18" i="87"/>
  <c r="J17" i="87"/>
  <c r="G17" i="87"/>
  <c r="D17" i="87"/>
  <c r="J16" i="87"/>
  <c r="G16" i="87"/>
  <c r="D16" i="87"/>
  <c r="J15" i="87"/>
  <c r="G15" i="87"/>
  <c r="D15" i="87"/>
  <c r="J14" i="87"/>
  <c r="G14" i="87"/>
  <c r="D14" i="87"/>
  <c r="J13" i="87"/>
  <c r="G13" i="87"/>
  <c r="D13" i="87"/>
  <c r="J12" i="87"/>
  <c r="G12" i="87"/>
  <c r="D12" i="87"/>
  <c r="J11" i="87"/>
  <c r="G11" i="87"/>
  <c r="D11" i="87"/>
  <c r="J10" i="87"/>
  <c r="G10" i="87"/>
  <c r="D10" i="87"/>
  <c r="J9" i="87"/>
  <c r="G9" i="87"/>
  <c r="D9" i="87"/>
  <c r="J8" i="87"/>
  <c r="G8" i="87"/>
  <c r="D8" i="87"/>
  <c r="J7" i="87"/>
  <c r="G7" i="87"/>
  <c r="D7" i="87"/>
  <c r="K52" i="87"/>
  <c r="J52" i="87"/>
  <c r="H52" i="87"/>
  <c r="G52" i="87"/>
  <c r="E52" i="87"/>
  <c r="J51" i="87"/>
  <c r="G51" i="87"/>
  <c r="D51" i="87"/>
  <c r="J50" i="87"/>
  <c r="G50" i="87"/>
  <c r="D50" i="87"/>
  <c r="J49" i="87"/>
  <c r="G49" i="87"/>
  <c r="D49" i="87"/>
  <c r="J48" i="87"/>
  <c r="G48" i="87"/>
  <c r="D48" i="87"/>
  <c r="J47" i="87"/>
  <c r="G47" i="87"/>
  <c r="D47" i="87"/>
  <c r="J46" i="87"/>
  <c r="G46" i="87"/>
  <c r="D46" i="87"/>
  <c r="J45" i="87"/>
  <c r="G45" i="87"/>
  <c r="D45" i="87"/>
  <c r="J44" i="87"/>
  <c r="G44" i="87"/>
  <c r="D44" i="87"/>
  <c r="J43" i="87"/>
  <c r="G43" i="87"/>
  <c r="D43" i="87"/>
  <c r="J42" i="87"/>
  <c r="G42" i="87"/>
  <c r="D42" i="87"/>
  <c r="J41" i="87"/>
  <c r="G41" i="87"/>
  <c r="D41" i="87"/>
  <c r="D52" i="87" s="1"/>
  <c r="K52" i="86"/>
  <c r="J52" i="86"/>
  <c r="H52" i="86"/>
  <c r="G52" i="86"/>
  <c r="E52" i="86"/>
  <c r="D52" i="86"/>
  <c r="J51" i="86"/>
  <c r="G51" i="86"/>
  <c r="D51" i="86"/>
  <c r="J50" i="86"/>
  <c r="G50" i="86"/>
  <c r="D50" i="86"/>
  <c r="J49" i="86"/>
  <c r="G49" i="86"/>
  <c r="D49" i="86"/>
  <c r="J48" i="86"/>
  <c r="G48" i="86"/>
  <c r="D48" i="86"/>
  <c r="J47" i="86"/>
  <c r="G47" i="86"/>
  <c r="D47" i="86"/>
  <c r="J46" i="86"/>
  <c r="G46" i="86"/>
  <c r="D46" i="86"/>
  <c r="J45" i="86"/>
  <c r="G45" i="86"/>
  <c r="D45" i="86"/>
  <c r="J44" i="86"/>
  <c r="G44" i="86"/>
  <c r="D44" i="86"/>
  <c r="J43" i="86"/>
  <c r="G43" i="86"/>
  <c r="D43" i="86"/>
  <c r="J42" i="86"/>
  <c r="G42" i="86"/>
  <c r="D42" i="86"/>
  <c r="J41" i="86"/>
  <c r="G41" i="86"/>
  <c r="D41" i="86"/>
  <c r="K35" i="86"/>
  <c r="J35" i="86"/>
  <c r="H35" i="86"/>
  <c r="G35" i="86"/>
  <c r="E35" i="86"/>
  <c r="D35" i="86"/>
  <c r="J34" i="86"/>
  <c r="G34" i="86"/>
  <c r="D34" i="86"/>
  <c r="J33" i="86"/>
  <c r="G33" i="86"/>
  <c r="D33" i="86"/>
  <c r="J32" i="86"/>
  <c r="G32" i="86"/>
  <c r="D32" i="86"/>
  <c r="J31" i="86"/>
  <c r="G31" i="86"/>
  <c r="D31" i="86"/>
  <c r="J30" i="86"/>
  <c r="G30" i="86"/>
  <c r="D30" i="86"/>
  <c r="J29" i="86"/>
  <c r="G29" i="86"/>
  <c r="D29" i="86"/>
  <c r="J28" i="86"/>
  <c r="G28" i="86"/>
  <c r="D28" i="86"/>
  <c r="J27" i="86"/>
  <c r="G27" i="86"/>
  <c r="D27" i="86"/>
  <c r="J26" i="86"/>
  <c r="G26" i="86"/>
  <c r="D26" i="86"/>
  <c r="J25" i="86"/>
  <c r="G25" i="86"/>
  <c r="D25" i="86"/>
  <c r="J24" i="86"/>
  <c r="G24" i="86"/>
  <c r="D24" i="86"/>
  <c r="K18" i="86"/>
  <c r="J18" i="86"/>
  <c r="H18" i="86"/>
  <c r="G18" i="86"/>
  <c r="E18" i="86"/>
  <c r="J17" i="86"/>
  <c r="G17" i="86"/>
  <c r="D17" i="86"/>
  <c r="J16" i="86"/>
  <c r="G16" i="86"/>
  <c r="D16" i="86"/>
  <c r="J15" i="86"/>
  <c r="G15" i="86"/>
  <c r="D15" i="86"/>
  <c r="J14" i="86"/>
  <c r="G14" i="86"/>
  <c r="D14" i="86"/>
  <c r="J13" i="86"/>
  <c r="G13" i="86"/>
  <c r="D13" i="86"/>
  <c r="J12" i="86"/>
  <c r="G12" i="86"/>
  <c r="D12" i="86"/>
  <c r="J11" i="86"/>
  <c r="G11" i="86"/>
  <c r="D11" i="86"/>
  <c r="J10" i="86"/>
  <c r="G10" i="86"/>
  <c r="D10" i="86"/>
  <c r="J9" i="86"/>
  <c r="G9" i="86"/>
  <c r="D9" i="86"/>
  <c r="J8" i="86"/>
  <c r="G8" i="86"/>
  <c r="D8" i="86"/>
  <c r="J7" i="86"/>
  <c r="G7" i="86"/>
  <c r="D7" i="86"/>
  <c r="D18" i="86" s="1"/>
  <c r="L51" i="81"/>
  <c r="L50" i="81"/>
  <c r="L49" i="81"/>
  <c r="L48" i="81"/>
  <c r="L47" i="81"/>
  <c r="L46" i="81"/>
  <c r="L45" i="81"/>
  <c r="L44" i="81"/>
  <c r="L43" i="81"/>
  <c r="L42" i="81"/>
  <c r="L41" i="81"/>
  <c r="H51" i="81"/>
  <c r="H50" i="81"/>
  <c r="H49" i="81"/>
  <c r="H48" i="81"/>
  <c r="H47" i="81"/>
  <c r="H46" i="81"/>
  <c r="H45" i="81"/>
  <c r="H44" i="81"/>
  <c r="H43" i="81"/>
  <c r="H42" i="81"/>
  <c r="H41" i="81"/>
  <c r="D51" i="81"/>
  <c r="D50" i="81"/>
  <c r="D49" i="81"/>
  <c r="D48" i="81"/>
  <c r="D47" i="81"/>
  <c r="D46" i="81"/>
  <c r="D45" i="81"/>
  <c r="D44" i="81"/>
  <c r="D43" i="81"/>
  <c r="D42" i="81"/>
  <c r="D41" i="81"/>
  <c r="L34" i="81"/>
  <c r="L33" i="81"/>
  <c r="L32" i="81"/>
  <c r="L31" i="81"/>
  <c r="L30" i="81"/>
  <c r="L29" i="81"/>
  <c r="L28" i="81"/>
  <c r="L27" i="81"/>
  <c r="L26" i="81"/>
  <c r="L25" i="81"/>
  <c r="L24" i="81"/>
  <c r="H34" i="81"/>
  <c r="H33" i="81"/>
  <c r="H32" i="81"/>
  <c r="H31" i="81"/>
  <c r="H30" i="81"/>
  <c r="H29" i="81"/>
  <c r="H28" i="81"/>
  <c r="H27" i="81"/>
  <c r="H26" i="81"/>
  <c r="H25" i="81"/>
  <c r="H24" i="81"/>
  <c r="D34" i="81"/>
  <c r="D33" i="81"/>
  <c r="D32" i="81"/>
  <c r="D31" i="81"/>
  <c r="D30" i="81"/>
  <c r="D29" i="81"/>
  <c r="D28" i="81"/>
  <c r="D27" i="81"/>
  <c r="D26" i="81"/>
  <c r="D25" i="81"/>
  <c r="D24" i="81"/>
  <c r="L17" i="81"/>
  <c r="L16" i="81"/>
  <c r="L15" i="81"/>
  <c r="L14" i="81"/>
  <c r="L13" i="81"/>
  <c r="L12" i="81"/>
  <c r="L11" i="81"/>
  <c r="L10" i="81"/>
  <c r="L9" i="81"/>
  <c r="L8" i="81"/>
  <c r="L7" i="81"/>
  <c r="H17" i="81"/>
  <c r="H16" i="81"/>
  <c r="H15" i="81"/>
  <c r="H14" i="81"/>
  <c r="H13" i="81"/>
  <c r="H12" i="81"/>
  <c r="H11" i="81"/>
  <c r="H10" i="81"/>
  <c r="H9" i="81"/>
  <c r="H8" i="81"/>
  <c r="H7" i="81"/>
  <c r="H18" i="81" s="1"/>
  <c r="D17" i="81"/>
  <c r="D16" i="81"/>
  <c r="D15" i="81"/>
  <c r="D14" i="81"/>
  <c r="D13" i="81"/>
  <c r="D12" i="81"/>
  <c r="D11" i="81"/>
  <c r="D10" i="81"/>
  <c r="D9" i="81"/>
  <c r="D8" i="81"/>
  <c r="D7" i="81"/>
  <c r="L52" i="81"/>
  <c r="I52" i="81"/>
  <c r="H52" i="81"/>
  <c r="E52" i="81"/>
  <c r="D52" i="81"/>
  <c r="L35" i="81"/>
  <c r="I35" i="81"/>
  <c r="H35" i="81"/>
  <c r="E35" i="81"/>
  <c r="D35" i="81"/>
  <c r="L18" i="81"/>
  <c r="I18" i="81"/>
  <c r="E18" i="81"/>
  <c r="C35" i="11" l="1"/>
  <c r="C36" i="11"/>
  <c r="D18" i="81"/>
  <c r="D31" i="85"/>
  <c r="F38" i="11" l="1"/>
  <c r="G38" i="11"/>
  <c r="E38" i="11"/>
  <c r="H38" i="11"/>
  <c r="C32" i="10"/>
  <c r="B16" i="100"/>
  <c r="C37" i="11" s="1"/>
  <c r="C31" i="85" l="1"/>
  <c r="E31" i="85" l="1"/>
  <c r="G15" i="10" l="1"/>
  <c r="I13" i="110" s="1"/>
  <c r="I19" i="110" s="1"/>
  <c r="A3" i="24" l="1"/>
  <c r="A3" i="16"/>
  <c r="A4" i="13"/>
  <c r="A4" i="12"/>
  <c r="S109" i="14" l="1"/>
  <c r="S108" i="14"/>
  <c r="S107" i="14"/>
  <c r="S106" i="14"/>
  <c r="S105" i="14"/>
  <c r="S104" i="14"/>
  <c r="S103" i="14"/>
  <c r="S102" i="14"/>
  <c r="S101" i="14"/>
  <c r="S100" i="14"/>
  <c r="S99" i="14"/>
  <c r="S98" i="14"/>
  <c r="S97" i="14"/>
  <c r="S96" i="14"/>
  <c r="S95" i="14"/>
  <c r="S94" i="14"/>
  <c r="S93" i="14"/>
  <c r="S92" i="14"/>
  <c r="S91" i="14"/>
  <c r="S90" i="14"/>
  <c r="S89" i="14"/>
  <c r="S88" i="14"/>
  <c r="J124" i="14"/>
  <c r="J123" i="14"/>
  <c r="J122" i="14"/>
  <c r="J121" i="14"/>
  <c r="J119" i="14"/>
  <c r="J118" i="14"/>
  <c r="J117" i="14"/>
  <c r="J116" i="14"/>
  <c r="J115" i="14"/>
  <c r="J114" i="14"/>
  <c r="J113" i="14"/>
  <c r="J112" i="14"/>
  <c r="J111" i="14"/>
  <c r="J110" i="14"/>
  <c r="J109" i="14"/>
  <c r="J108" i="14"/>
  <c r="D5" i="93" l="1"/>
  <c r="E5" i="93" s="1"/>
  <c r="D3" i="93"/>
  <c r="E3" i="93" s="1"/>
  <c r="D4" i="93"/>
  <c r="E4" i="93" s="1"/>
  <c r="D26" i="93"/>
  <c r="E26" i="93" s="1"/>
  <c r="D7" i="93"/>
  <c r="E7" i="93" s="1"/>
  <c r="D45" i="93"/>
  <c r="E45" i="93" s="1"/>
  <c r="D11" i="93"/>
  <c r="E11" i="93" s="1"/>
  <c r="D49" i="93"/>
  <c r="E49" i="93" s="1"/>
  <c r="D36" i="93"/>
  <c r="E36" i="93" s="1"/>
  <c r="D39" i="93"/>
  <c r="E39" i="93" s="1"/>
  <c r="D33" i="93"/>
  <c r="E33" i="93" s="1"/>
  <c r="D9" i="93"/>
  <c r="E9" i="93" s="1"/>
  <c r="D34" i="93"/>
  <c r="E34" i="93" s="1"/>
  <c r="D40" i="93"/>
  <c r="E40" i="93" s="1"/>
  <c r="D16" i="93"/>
  <c r="E16" i="93" s="1"/>
  <c r="D35" i="93"/>
  <c r="E35" i="93" s="1"/>
  <c r="D24" i="93"/>
  <c r="E24" i="93" s="1"/>
  <c r="D44" i="93"/>
  <c r="E44" i="93" s="1"/>
  <c r="D25" i="93"/>
  <c r="E25" i="93" s="1"/>
  <c r="D29" i="93"/>
  <c r="E29" i="93" s="1"/>
  <c r="D41" i="93"/>
  <c r="E41" i="93" s="1"/>
  <c r="D42" i="93"/>
  <c r="E42" i="93" s="1"/>
  <c r="D48" i="93"/>
  <c r="E48" i="93" s="1"/>
  <c r="D27" i="93"/>
  <c r="E27" i="93" s="1"/>
  <c r="D43" i="93"/>
  <c r="E43" i="93" s="1"/>
  <c r="D32" i="93"/>
  <c r="E32" i="93" s="1"/>
  <c r="D15" i="93"/>
  <c r="E15" i="93" s="1"/>
  <c r="D8" i="93"/>
  <c r="E8" i="93" s="1"/>
  <c r="D21" i="93"/>
  <c r="E21" i="93" s="1"/>
  <c r="D38" i="93"/>
  <c r="E38" i="93" s="1"/>
  <c r="D28" i="93"/>
  <c r="E28" i="93" s="1"/>
  <c r="D50" i="93"/>
  <c r="E50" i="93" s="1"/>
  <c r="D10" i="93"/>
  <c r="E10" i="93" s="1"/>
  <c r="D14" i="93"/>
  <c r="E14" i="93" s="1"/>
  <c r="D6" i="93"/>
  <c r="E6" i="93" s="1"/>
  <c r="D23" i="93"/>
  <c r="E23" i="93" s="1"/>
  <c r="D30" i="93"/>
  <c r="E30" i="93" s="1"/>
  <c r="D47" i="93"/>
  <c r="E47" i="93" s="1"/>
  <c r="D46" i="93"/>
  <c r="E46" i="93" s="1"/>
  <c r="D18" i="93"/>
  <c r="E18" i="93" s="1"/>
  <c r="D13" i="93"/>
  <c r="E13" i="93" s="1"/>
  <c r="D22" i="93"/>
  <c r="E22" i="93" s="1"/>
  <c r="D17" i="93"/>
  <c r="E17" i="93" s="1"/>
  <c r="D19" i="93"/>
  <c r="E19" i="93" s="1"/>
  <c r="D31" i="93"/>
  <c r="E31" i="93" s="1"/>
  <c r="D12" i="93"/>
  <c r="E12" i="93" s="1"/>
  <c r="D20" i="93"/>
  <c r="E20" i="93" s="1"/>
  <c r="D37" i="93"/>
  <c r="E37" i="93" s="1"/>
  <c r="F18" i="93" l="1"/>
  <c r="N18" i="93"/>
  <c r="G18" i="93"/>
  <c r="F49" i="93"/>
  <c r="G49" i="93"/>
  <c r="N49" i="93"/>
  <c r="N28" i="93"/>
  <c r="G28" i="93"/>
  <c r="F28" i="93"/>
  <c r="F12" i="93"/>
  <c r="G12" i="93"/>
  <c r="N12" i="93"/>
  <c r="G42" i="93"/>
  <c r="N42" i="93"/>
  <c r="F42" i="93"/>
  <c r="N31" i="93"/>
  <c r="F31" i="93"/>
  <c r="G31" i="93"/>
  <c r="F30" i="93"/>
  <c r="N30" i="93"/>
  <c r="G30" i="93"/>
  <c r="F21" i="93"/>
  <c r="G21" i="93"/>
  <c r="N21" i="93"/>
  <c r="F41" i="93"/>
  <c r="G41" i="93"/>
  <c r="N41" i="93"/>
  <c r="G34" i="93"/>
  <c r="F34" i="93"/>
  <c r="N34" i="93"/>
  <c r="N7" i="93"/>
  <c r="F7" i="93"/>
  <c r="G7" i="93"/>
  <c r="G11" i="93"/>
  <c r="N11" i="93"/>
  <c r="F11" i="93"/>
  <c r="N47" i="93"/>
  <c r="F47" i="93"/>
  <c r="G47" i="93"/>
  <c r="F40" i="93"/>
  <c r="G40" i="93"/>
  <c r="N40" i="93"/>
  <c r="N45" i="93"/>
  <c r="G45" i="93"/>
  <c r="F45" i="93"/>
  <c r="F19" i="93"/>
  <c r="G19" i="93"/>
  <c r="N19" i="93"/>
  <c r="F23" i="93"/>
  <c r="N23" i="93"/>
  <c r="G23" i="93"/>
  <c r="F8" i="93"/>
  <c r="N8" i="93"/>
  <c r="G8" i="93"/>
  <c r="F29" i="93"/>
  <c r="N29" i="93"/>
  <c r="G29" i="93"/>
  <c r="F9" i="93"/>
  <c r="G9" i="93"/>
  <c r="N9" i="93"/>
  <c r="G26" i="93"/>
  <c r="F26" i="93"/>
  <c r="N26" i="93"/>
  <c r="G37" i="93"/>
  <c r="N37" i="93"/>
  <c r="F37" i="93"/>
  <c r="G35" i="93"/>
  <c r="N35" i="93"/>
  <c r="F35" i="93"/>
  <c r="F48" i="93"/>
  <c r="G48" i="93"/>
  <c r="N48" i="93"/>
  <c r="N17" i="93"/>
  <c r="G17" i="93"/>
  <c r="F17" i="93"/>
  <c r="N6" i="93"/>
  <c r="G6" i="93"/>
  <c r="F6" i="93"/>
  <c r="G15" i="93"/>
  <c r="F15" i="93"/>
  <c r="N15" i="93"/>
  <c r="N25" i="93"/>
  <c r="G25" i="93"/>
  <c r="F25" i="93"/>
  <c r="N33" i="93"/>
  <c r="F33" i="93"/>
  <c r="G33" i="93"/>
  <c r="N4" i="93"/>
  <c r="F4" i="93"/>
  <c r="G4" i="93"/>
  <c r="F27" i="93"/>
  <c r="N27" i="93"/>
  <c r="G27" i="93"/>
  <c r="F46" i="93"/>
  <c r="G46" i="93"/>
  <c r="N46" i="93"/>
  <c r="F22" i="93"/>
  <c r="N22" i="93"/>
  <c r="G22" i="93"/>
  <c r="N14" i="93"/>
  <c r="G14" i="93"/>
  <c r="F14" i="93"/>
  <c r="F32" i="93"/>
  <c r="G32" i="93"/>
  <c r="N32" i="93"/>
  <c r="F44" i="93"/>
  <c r="N44" i="93"/>
  <c r="G44" i="93"/>
  <c r="G39" i="93"/>
  <c r="F39" i="93"/>
  <c r="N39" i="93"/>
  <c r="N3" i="93"/>
  <c r="F3" i="93"/>
  <c r="G3" i="93"/>
  <c r="N50" i="93"/>
  <c r="F50" i="93"/>
  <c r="G50" i="93"/>
  <c r="N20" i="93"/>
  <c r="F20" i="93"/>
  <c r="G20" i="93"/>
  <c r="F16" i="93"/>
  <c r="G16" i="93"/>
  <c r="N16" i="93"/>
  <c r="F38" i="93"/>
  <c r="N38" i="93"/>
  <c r="G38" i="93"/>
  <c r="G13" i="93"/>
  <c r="F13" i="93"/>
  <c r="N13" i="93"/>
  <c r="N10" i="93"/>
  <c r="F10" i="93"/>
  <c r="G10" i="93"/>
  <c r="G43" i="93"/>
  <c r="F43" i="93"/>
  <c r="N43" i="93"/>
  <c r="F24" i="93"/>
  <c r="G24" i="93"/>
  <c r="N24" i="93"/>
  <c r="F36" i="93"/>
  <c r="N36" i="93"/>
  <c r="G36" i="93"/>
  <c r="N5" i="93"/>
  <c r="F5" i="93"/>
  <c r="G5" i="93"/>
  <c r="C20" i="10" l="1"/>
  <c r="H8" i="13" l="1"/>
  <c r="H9" i="13"/>
  <c r="H17" i="13"/>
  <c r="H7" i="13"/>
  <c r="C38" i="11" l="1"/>
  <c r="G10" i="12" l="1"/>
  <c r="G11" i="12"/>
  <c r="G12" i="12"/>
  <c r="J16" i="12" l="1"/>
  <c r="G16" i="12"/>
  <c r="J12" i="12" l="1"/>
  <c r="J11" i="12"/>
  <c r="J10" i="12"/>
  <c r="J9" i="12"/>
  <c r="I13" i="12"/>
  <c r="H13" i="12"/>
  <c r="E13" i="12"/>
  <c r="H15" i="10" l="1"/>
  <c r="J13" i="12"/>
  <c r="C24" i="10" l="1"/>
  <c r="I15" i="10" s="1"/>
  <c r="G40" i="16" l="1"/>
  <c r="D40" i="16"/>
  <c r="F13" i="12" l="1"/>
  <c r="G13" i="12" s="1"/>
  <c r="G9" i="1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<sst xmlns="http://schemas.openxmlformats.org/spreadsheetml/2006/main" count="2303" uniqueCount="980">
  <si>
    <t>WORKBOOK COLOR LEGEND</t>
  </si>
  <si>
    <t>User edit: drop-down menu (only for use with Appendix G)</t>
  </si>
  <si>
    <t>Version #</t>
  </si>
  <si>
    <t>Issue Date</t>
  </si>
  <si>
    <t>Fixes</t>
  </si>
  <si>
    <t>Version 1</t>
  </si>
  <si>
    <t>Location Information</t>
  </si>
  <si>
    <t xml:space="preserve">House No(s)   </t>
  </si>
  <si>
    <t xml:space="preserve">Street Name </t>
  </si>
  <si>
    <t xml:space="preserve">Borough </t>
  </si>
  <si>
    <t>Block</t>
  </si>
  <si>
    <t>Lot</t>
  </si>
  <si>
    <t xml:space="preserve">BIN </t>
  </si>
  <si>
    <t>CB No.</t>
  </si>
  <si>
    <t>Applicant Information</t>
  </si>
  <si>
    <t>Last Name</t>
  </si>
  <si>
    <t>First Name</t>
  </si>
  <si>
    <t>Middle Initial</t>
  </si>
  <si>
    <t>Business Name</t>
  </si>
  <si>
    <t>Business Email</t>
  </si>
  <si>
    <t>Business Address</t>
  </si>
  <si>
    <t>Business Telephone</t>
  </si>
  <si>
    <t xml:space="preserve">City  </t>
  </si>
  <si>
    <t>State</t>
  </si>
  <si>
    <t xml:space="preserve">Zip  </t>
  </si>
  <si>
    <t xml:space="preserve">Email </t>
  </si>
  <si>
    <t>License Number</t>
  </si>
  <si>
    <t>2024 GHG Limit</t>
  </si>
  <si>
    <t>4a.1</t>
  </si>
  <si>
    <t>Actual Annual Energy Consumption from 2018 Utility Bills - Electric</t>
  </si>
  <si>
    <t>Electric Usage</t>
  </si>
  <si>
    <t>Meter #</t>
  </si>
  <si>
    <t>Month #</t>
  </si>
  <si>
    <t>Read Date (last day of period)</t>
  </si>
  <si>
    <t>Billing Period Length (elapsed days)</t>
  </si>
  <si>
    <t>Billed Electric (kWh)</t>
  </si>
  <si>
    <t>Billed Electric Peak (kW)</t>
  </si>
  <si>
    <t>TOTAL</t>
  </si>
  <si>
    <t>4a.2</t>
  </si>
  <si>
    <t>4b.</t>
  </si>
  <si>
    <t>Actual Annual Energy Consumption from 2018 Utility Bills - Natural Gas</t>
  </si>
  <si>
    <t>Natural Gas Usage</t>
  </si>
  <si>
    <t>Billed Nat. Gas (therm)</t>
  </si>
  <si>
    <t>4c.</t>
  </si>
  <si>
    <t>District Steam Usage</t>
  </si>
  <si>
    <t>Billed Steam (Mlb)</t>
  </si>
  <si>
    <t>4d.</t>
  </si>
  <si>
    <t>Billed Fuel (kBTU)</t>
  </si>
  <si>
    <t>4e.</t>
  </si>
  <si>
    <t>2018 Utility Bills</t>
  </si>
  <si>
    <t>4f.</t>
  </si>
  <si>
    <t>Electric Usage (kwh)</t>
  </si>
  <si>
    <t>Electric Usage (kW)</t>
  </si>
  <si>
    <t>Natural Gas Usage (therm)</t>
  </si>
  <si>
    <t>District Steam Usage (kBTU)</t>
  </si>
  <si>
    <t>Supporting Documentation</t>
  </si>
  <si>
    <t>Energy Source (unit of energy)</t>
  </si>
  <si>
    <t>GHG Coefficient (tCO2e/unit of energy)</t>
  </si>
  <si>
    <t>January</t>
  </si>
  <si>
    <t>Electric (kwh)</t>
  </si>
  <si>
    <t>February</t>
  </si>
  <si>
    <t>Natural Gas</t>
  </si>
  <si>
    <t>March</t>
  </si>
  <si>
    <t>District Steam</t>
  </si>
  <si>
    <t>April</t>
  </si>
  <si>
    <t>#2 Fuel Oil</t>
  </si>
  <si>
    <t>May</t>
  </si>
  <si>
    <t>Fuel Oil #5/6</t>
  </si>
  <si>
    <t>June</t>
  </si>
  <si>
    <t>Fuel Oil #1</t>
  </si>
  <si>
    <t>July</t>
  </si>
  <si>
    <t>August</t>
  </si>
  <si>
    <t>September</t>
  </si>
  <si>
    <t xml:space="preserve">October </t>
  </si>
  <si>
    <t>November</t>
  </si>
  <si>
    <t>December</t>
  </si>
  <si>
    <t>Utility Bills - converted to GHG</t>
  </si>
  <si>
    <t>Electric</t>
  </si>
  <si>
    <t xml:space="preserve">Natural Gas </t>
  </si>
  <si>
    <t xml:space="preserve">Steam </t>
  </si>
  <si>
    <t xml:space="preserve">Fuel Oil #2 </t>
  </si>
  <si>
    <t xml:space="preserve">Fuel Oil #4 </t>
  </si>
  <si>
    <t>TOTAL per fuel type</t>
  </si>
  <si>
    <t>TOTAL 2018 GHG emissions</t>
  </si>
  <si>
    <t>5a.</t>
  </si>
  <si>
    <t>Building End-Use comparison with and without Special Circumstance</t>
  </si>
  <si>
    <t>2018 Actual Building with Special Circumstance</t>
  </si>
  <si>
    <t>Steam Usage (kBTU)</t>
  </si>
  <si>
    <t>Basis for Breakdown</t>
  </si>
  <si>
    <t>Interior Lighting</t>
  </si>
  <si>
    <t>Misc. Equip.</t>
  </si>
  <si>
    <t>Space Heat</t>
  </si>
  <si>
    <t>Space Cool</t>
  </si>
  <si>
    <t>Heat Rejection</t>
  </si>
  <si>
    <t>Pumps &amp; Misc</t>
  </si>
  <si>
    <t>Vent Fans</t>
  </si>
  <si>
    <t>Dom. Hot Water</t>
  </si>
  <si>
    <t>Exterior Lighting</t>
  </si>
  <si>
    <t>Vertical Transportation</t>
  </si>
  <si>
    <t>5b.</t>
  </si>
  <si>
    <t>2018 Actual Building without Special Circumstance</t>
  </si>
  <si>
    <t>2018 Special Circumstance Energy usage</t>
  </si>
  <si>
    <t>Special Circumstance - converted to GHG</t>
  </si>
  <si>
    <t>Description of Special Circumstance</t>
  </si>
  <si>
    <t>Above-Grade Wall &amp; Fenestration Areas</t>
  </si>
  <si>
    <t>Baseline Case</t>
  </si>
  <si>
    <t>Actual Building Model</t>
  </si>
  <si>
    <t>Verification Method</t>
  </si>
  <si>
    <t>Supporting Doc. Location</t>
  </si>
  <si>
    <t>Model Output Report</t>
  </si>
  <si>
    <t>Grocery Store</t>
  </si>
  <si>
    <t>Above-Grade Wall &amp; Vertical Glazing Area by Orientation</t>
  </si>
  <si>
    <t>Orientation</t>
  </si>
  <si>
    <t>Vertical Glazing Area</t>
  </si>
  <si>
    <t>(%)</t>
  </si>
  <si>
    <t>North</t>
  </si>
  <si>
    <t>East</t>
  </si>
  <si>
    <t>South</t>
  </si>
  <si>
    <t>West</t>
  </si>
  <si>
    <t>Total</t>
  </si>
  <si>
    <t>Roof &amp; Skylight Area</t>
  </si>
  <si>
    <t>Skylight Area</t>
  </si>
  <si>
    <t>Opaque Elements</t>
  </si>
  <si>
    <t>Building Assembly Category</t>
  </si>
  <si>
    <t xml:space="preserve">Space-Conditioning Category </t>
  </si>
  <si>
    <t>Item #</t>
  </si>
  <si>
    <t>Supporting Doc Location</t>
  </si>
  <si>
    <t>Assembly Description</t>
  </si>
  <si>
    <t>U-factor/ C-factor/ F-factor</t>
  </si>
  <si>
    <t>Average U-factor</t>
  </si>
  <si>
    <t>Roof Construction</t>
  </si>
  <si>
    <t>Solar Reflectance</t>
  </si>
  <si>
    <t xml:space="preserve">Above-Grade Exterior Wall Construction </t>
  </si>
  <si>
    <t>Below-Grade Exterior Wall Construction</t>
  </si>
  <si>
    <t>Exposed Floor Construction</t>
  </si>
  <si>
    <t> Slab-On-Grade Floors</t>
  </si>
  <si>
    <t>6c.</t>
  </si>
  <si>
    <t>Vertical Fenestration</t>
  </si>
  <si>
    <t>Model Input Parameter</t>
  </si>
  <si>
    <t>Category (Res/Non-Res)</t>
  </si>
  <si>
    <t>Description
(from ASHRAE)</t>
  </si>
  <si>
    <t>U-factor</t>
  </si>
  <si>
    <t>SHGC</t>
  </si>
  <si>
    <t>VLT</t>
  </si>
  <si>
    <t>Description (from design)</t>
  </si>
  <si>
    <t xml:space="preserve">Vertical  </t>
  </si>
  <si>
    <t>Skylight</t>
  </si>
  <si>
    <t>Shading Devices</t>
  </si>
  <si>
    <t>Shading projections, manual shading devices, or self-shading have been modeled.</t>
  </si>
  <si>
    <t>List any permanent or auto-controlled shading devices:</t>
  </si>
  <si>
    <t>Non-Residential</t>
  </si>
  <si>
    <t xml:space="preserve">Yes </t>
  </si>
  <si>
    <t>Regulated</t>
  </si>
  <si>
    <t>New Building</t>
  </si>
  <si>
    <t>Metered</t>
  </si>
  <si>
    <t>Estimated</t>
  </si>
  <si>
    <t>Yes</t>
  </si>
  <si>
    <t>kW</t>
  </si>
  <si>
    <t>#</t>
  </si>
  <si>
    <t>Steam Boiler</t>
  </si>
  <si>
    <t>Single speed</t>
  </si>
  <si>
    <t>Constant Volume</t>
  </si>
  <si>
    <t>Centrifugal</t>
  </si>
  <si>
    <t>Boiler, HW, Condensing</t>
  </si>
  <si>
    <t>Open-circuit</t>
  </si>
  <si>
    <t>Propeller or axial fan</t>
  </si>
  <si>
    <t>Residential</t>
  </si>
  <si>
    <t xml:space="preserve">No </t>
  </si>
  <si>
    <t>Unregulated</t>
  </si>
  <si>
    <t>New Building w/ Existing Elements ("Big Alt")</t>
  </si>
  <si>
    <t>Manual Calculation</t>
  </si>
  <si>
    <t>Reported by Site Staff</t>
  </si>
  <si>
    <t>No</t>
  </si>
  <si>
    <t>kBtu/h</t>
  </si>
  <si>
    <t>SQFT</t>
  </si>
  <si>
    <t>W/SF</t>
  </si>
  <si>
    <t>Hot Water Boiler</t>
  </si>
  <si>
    <t>Variable speed</t>
  </si>
  <si>
    <t>Variable Volume</t>
  </si>
  <si>
    <t>Centrifugal Heat Pump Chiller</t>
  </si>
  <si>
    <t>Boiler, HW, Forced Draft</t>
  </si>
  <si>
    <t>Closed-circuit</t>
  </si>
  <si>
    <t>Centrifugal fan</t>
  </si>
  <si>
    <t>Semiheated</t>
  </si>
  <si>
    <t>N/A</t>
  </si>
  <si>
    <t>Addition</t>
  </si>
  <si>
    <t>Energy Model</t>
  </si>
  <si>
    <t>From Drawings</t>
  </si>
  <si>
    <t>Purchased Steam</t>
  </si>
  <si>
    <t>Other</t>
  </si>
  <si>
    <t>Double Effect Absorption Direct-Fired</t>
  </si>
  <si>
    <t>Boiler, HW, Natural Draft</t>
  </si>
  <si>
    <t xml:space="preserve">Evaporative condenser </t>
  </si>
  <si>
    <t>ECM</t>
  </si>
  <si>
    <t>U-factors</t>
  </si>
  <si>
    <t>Alteration</t>
  </si>
  <si>
    <t>Confirmed</t>
  </si>
  <si>
    <t>EF</t>
  </si>
  <si>
    <t>kBTU/h</t>
  </si>
  <si>
    <t>EER</t>
  </si>
  <si>
    <t>Et</t>
  </si>
  <si>
    <t>Absorption Chiller - 1st Stage</t>
  </si>
  <si>
    <t>Double Effect Absorption Indirect-Fired</t>
  </si>
  <si>
    <t>Boiler, Steam, Forced Draft</t>
  </si>
  <si>
    <t xml:space="preserve">Other </t>
  </si>
  <si>
    <t>Nonmetal framing (all)</t>
  </si>
  <si>
    <t>U-0.40</t>
  </si>
  <si>
    <t>U-1.20</t>
  </si>
  <si>
    <t>U-0.57</t>
  </si>
  <si>
    <t>U-1.22</t>
  </si>
  <si>
    <t>Addition + Alteration</t>
  </si>
  <si>
    <t>Section 11 ECB</t>
  </si>
  <si>
    <t>SL</t>
  </si>
  <si>
    <t>BTU/h</t>
  </si>
  <si>
    <t>SEER</t>
  </si>
  <si>
    <t>Ec</t>
  </si>
  <si>
    <t>Absorption Chiller - 2nd Stage</t>
  </si>
  <si>
    <t>Reciprocating</t>
  </si>
  <si>
    <t>Boiler, Steam, Natural Draft</t>
  </si>
  <si>
    <t>Metal framing (curtainwall/storefront)</t>
  </si>
  <si>
    <t>U-0.50</t>
  </si>
  <si>
    <t>Appendix G PRM</t>
  </si>
  <si>
    <r>
      <t>E</t>
    </r>
    <r>
      <rPr>
        <vertAlign val="subscript"/>
        <sz val="11"/>
        <color theme="1"/>
        <rFont val="Calibri"/>
        <family val="2"/>
        <scheme val="minor"/>
      </rPr>
      <t>t</t>
    </r>
  </si>
  <si>
    <t>tons</t>
  </si>
  <si>
    <t>AFUE</t>
  </si>
  <si>
    <t>Gas Chiller</t>
  </si>
  <si>
    <t>Reciprocating Heat Pump Chiller</t>
  </si>
  <si>
    <t>Heat Pump Chiller</t>
  </si>
  <si>
    <t>Metal framing (entrance door)</t>
  </si>
  <si>
    <t>U-0.85</t>
  </si>
  <si>
    <t>COP</t>
  </si>
  <si>
    <t>Electric Chiller</t>
  </si>
  <si>
    <t>Screw</t>
  </si>
  <si>
    <t>Heat Pump Chiller with Heat Recovery</t>
  </si>
  <si>
    <t>Metal framing (all other)</t>
  </si>
  <si>
    <t>U-0.55</t>
  </si>
  <si>
    <t>HSPF</t>
  </si>
  <si>
    <t>Purchased Chilled Water</t>
  </si>
  <si>
    <t>Screw Heat Pump Chiller</t>
  </si>
  <si>
    <t>Cooling Tower</t>
  </si>
  <si>
    <t>Single Effect Absorption</t>
  </si>
  <si>
    <t>Cogeneration System</t>
  </si>
  <si>
    <t>NR</t>
  </si>
  <si>
    <t>Other - Describe in comments</t>
  </si>
  <si>
    <t>Site Energy</t>
  </si>
  <si>
    <t>Carbon</t>
  </si>
  <si>
    <t>All Other</t>
  </si>
  <si>
    <t>Dormitory</t>
  </si>
  <si>
    <t>Healthcare/hospital</t>
  </si>
  <si>
    <t>U-Factors</t>
  </si>
  <si>
    <t>Hotel/motel</t>
  </si>
  <si>
    <t>Skylights</t>
  </si>
  <si>
    <t>Multifamily</t>
  </si>
  <si>
    <t>With Curb, Glass, 0% - 2.0%</t>
  </si>
  <si>
    <t>U-1.17</t>
  </si>
  <si>
    <t>U-0.98</t>
  </si>
  <si>
    <t>U-1.98</t>
  </si>
  <si>
    <t>U-0.69</t>
  </si>
  <si>
    <t>U-0.58</t>
  </si>
  <si>
    <t>U-1.36</t>
  </si>
  <si>
    <t>Office</t>
  </si>
  <si>
    <t>With Curb, Glass, 2.1% +</t>
  </si>
  <si>
    <t>Restaurant</t>
  </si>
  <si>
    <t>With Curb, Plastic, 0% - 2.0%</t>
  </si>
  <si>
    <t>U-1.30</t>
  </si>
  <si>
    <t>U-1.90</t>
  </si>
  <si>
    <t>Retail</t>
  </si>
  <si>
    <t>With Curb, Plastic, 2.1% +</t>
  </si>
  <si>
    <t>School</t>
  </si>
  <si>
    <t>Without Curb, All, 0% - 2.0%</t>
  </si>
  <si>
    <t>Warehouse</t>
  </si>
  <si>
    <t>Without Curb, All, 2.1% +</t>
  </si>
  <si>
    <t>Weighted Average</t>
  </si>
  <si>
    <t>Insulation Entirely Above Deck</t>
  </si>
  <si>
    <t>U-0.048</t>
  </si>
  <si>
    <t>U-0.173</t>
  </si>
  <si>
    <t>U-0.063</t>
  </si>
  <si>
    <t>U-0.218</t>
  </si>
  <si>
    <t>Metal Building</t>
  </si>
  <si>
    <t>U-0.055</t>
  </si>
  <si>
    <t>U-0.097</t>
  </si>
  <si>
    <t>ERROR</t>
  </si>
  <si>
    <t>Attic and Other</t>
  </si>
  <si>
    <t>U-0.027</t>
  </si>
  <si>
    <t>U-0.053</t>
  </si>
  <si>
    <t>Mass</t>
  </si>
  <si>
    <t>U-0.104</t>
  </si>
  <si>
    <t>U-0.090</t>
  </si>
  <si>
    <t>U-0.580</t>
  </si>
  <si>
    <t>Healthcare (hospital)</t>
  </si>
  <si>
    <t>U-0.084</t>
  </si>
  <si>
    <t>U-0.113</t>
  </si>
  <si>
    <t>Hospital</t>
  </si>
  <si>
    <t>Steel-Framed</t>
  </si>
  <si>
    <t>U-0.064</t>
  </si>
  <si>
    <t>U-0.124</t>
  </si>
  <si>
    <r>
      <t>Hotel/motel (</t>
    </r>
    <r>
      <rPr>
        <u/>
        <sz val="11"/>
        <color theme="1"/>
        <rFont val="Calibri"/>
        <family val="2"/>
        <scheme val="minor"/>
      </rPr>
      <t>&lt;</t>
    </r>
    <r>
      <rPr>
        <sz val="11"/>
        <color theme="1"/>
        <rFont val="Calibri"/>
        <family val="2"/>
        <scheme val="minor"/>
      </rPr>
      <t xml:space="preserve"> 75 rooms)</t>
    </r>
  </si>
  <si>
    <t>Wood-Framed and Other</t>
  </si>
  <si>
    <t>U-0.089</t>
  </si>
  <si>
    <t>Hotel/motel (&gt; 75 rooms)</t>
  </si>
  <si>
    <t>Below-Grade Wall</t>
  </si>
  <si>
    <t>C-1.140</t>
  </si>
  <si>
    <t>C-0.119</t>
  </si>
  <si>
    <r>
      <t>Office (</t>
    </r>
    <r>
      <rPr>
        <u/>
        <sz val="11"/>
        <color theme="1"/>
        <rFont val="Calibri"/>
        <family val="2"/>
        <scheme val="minor"/>
      </rPr>
      <t>&lt;</t>
    </r>
    <r>
      <rPr>
        <sz val="11"/>
        <color theme="1"/>
        <rFont val="Calibri"/>
        <family val="2"/>
        <scheme val="minor"/>
      </rPr>
      <t xml:space="preserve"> 5000 ft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</si>
  <si>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Office (&gt; 50,000 ft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</si>
  <si>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U-0.087</t>
  </si>
  <si>
    <t>U-0.074</t>
  </si>
  <si>
    <t>U-0.137</t>
  </si>
  <si>
    <r>
      <t>Office (5000 - 50,000 ft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</si>
  <si>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Steel-Joist</t>
  </si>
  <si>
    <t>U-0.038</t>
  </si>
  <si>
    <t>U-0.069</t>
  </si>
  <si>
    <t>U-0.052</t>
  </si>
  <si>
    <t>U-0.033</t>
  </si>
  <si>
    <t>U-0.066</t>
  </si>
  <si>
    <t>Restaurant (full service)</t>
  </si>
  <si>
    <t>Restaurant (quick service)</t>
  </si>
  <si>
    <t>Unheated</t>
  </si>
  <si>
    <t>F-0.730</t>
  </si>
  <si>
    <t>F-0.540</t>
  </si>
  <si>
    <t>F-0.520</t>
  </si>
  <si>
    <t>F-0.7300</t>
  </si>
  <si>
    <t>Retail ( strip mall)</t>
  </si>
  <si>
    <t>Heated</t>
  </si>
  <si>
    <t>F-0.860</t>
  </si>
  <si>
    <t>F-1.020</t>
  </si>
  <si>
    <t>Retail (Stand alone)</t>
  </si>
  <si>
    <t>School (primary)</t>
  </si>
  <si>
    <t>Swinging</t>
  </si>
  <si>
    <t>U-0.700</t>
  </si>
  <si>
    <t>School (secondary and university)</t>
  </si>
  <si>
    <t>Nonswinging</t>
  </si>
  <si>
    <t>U-0.500</t>
  </si>
  <si>
    <t>U-1.450</t>
  </si>
  <si>
    <t>Warehouse (nonrefrigerated)</t>
  </si>
  <si>
    <t>Shivanie</t>
  </si>
  <si>
    <t>System 1: VAV with PFP boxes</t>
  </si>
  <si>
    <t>VAV</t>
  </si>
  <si>
    <t>System 10: PTAC</t>
  </si>
  <si>
    <t>Single-speed fan</t>
  </si>
  <si>
    <t xml:space="preserve">S11 system </t>
  </si>
  <si>
    <t>System 11: Packaged rooftop AC</t>
  </si>
  <si>
    <t>Single- or two-speed fan</t>
  </si>
  <si>
    <t>Water/ Ground</t>
  </si>
  <si>
    <t>Electric Res.</t>
  </si>
  <si>
    <t>Single Zone Residential System</t>
  </si>
  <si>
    <t>System 2: VAV with reheat</t>
  </si>
  <si>
    <t>Air/ None</t>
  </si>
  <si>
    <t xml:space="preserve">Heat Pump </t>
  </si>
  <si>
    <t>Single Zone Non-Residential System</t>
  </si>
  <si>
    <t>System 3: Packaged VAV with PFP boxes</t>
  </si>
  <si>
    <t xml:space="preserve">Fossil Fuel </t>
  </si>
  <si>
    <t>System 4: Packaged VAV with reheat</t>
  </si>
  <si>
    <t>System 5: Two-pipe fan-coil</t>
  </si>
  <si>
    <t>System 6: Water-source HP</t>
  </si>
  <si>
    <t>obsolete w new cover</t>
  </si>
  <si>
    <t>System 7: Four-pipe fan-coil</t>
  </si>
  <si>
    <t>Combo</t>
  </si>
  <si>
    <t>System</t>
  </si>
  <si>
    <t>System 8: PTHP</t>
  </si>
  <si>
    <t>Air/ NoneElectric Res.Other</t>
  </si>
  <si>
    <t xml:space="preserve">System 10 </t>
  </si>
  <si>
    <t>System 9: Packaged rooftop HP</t>
  </si>
  <si>
    <t>Air/ NoneElectric Res.Single Zone Non-Residential System</t>
  </si>
  <si>
    <t>System 8</t>
  </si>
  <si>
    <t>Air/ NoneElectric Res.Single Zone Residential System</t>
  </si>
  <si>
    <t>Air/ NoneFossil Fuel Other</t>
  </si>
  <si>
    <t>System 4</t>
  </si>
  <si>
    <t>G3.1.1-4</t>
  </si>
  <si>
    <t xml:space="preserve">Sizes </t>
  </si>
  <si>
    <t>Air/ NoneFossil Fuel Single Zone Non-Residential System</t>
  </si>
  <si>
    <t>System 3</t>
  </si>
  <si>
    <t xml:space="preserve">System No. </t>
  </si>
  <si>
    <t>System Type</t>
  </si>
  <si>
    <t>Fan Control</t>
  </si>
  <si>
    <t>Cooling Type</t>
  </si>
  <si>
    <t>Heating Type</t>
  </si>
  <si>
    <t>Efficiency</t>
  </si>
  <si>
    <t>Fan Power G3.1.2.9 [W]</t>
  </si>
  <si>
    <t>&lt;17,000</t>
  </si>
  <si>
    <t>Air/ NoneFossil Fuel Single Zone Residential System</t>
  </si>
  <si>
    <t>System 1: PTAC</t>
  </si>
  <si>
    <t>Packaged terminal air conditioner</t>
  </si>
  <si>
    <t>Constant volume</t>
  </si>
  <si>
    <t>Direct expansion</t>
  </si>
  <si>
    <t>Hot-water fossil fuel boiler</t>
  </si>
  <si>
    <t>Cool: 3.2 COP -- Heat: Boiler</t>
  </si>
  <si>
    <t xml:space="preserve">Supply CFM * .3 </t>
  </si>
  <si>
    <t>&gt;=17,000 and &lt;65,000</t>
  </si>
  <si>
    <t>Air/ NoneHeat Pump Other</t>
  </si>
  <si>
    <t>System 11</t>
  </si>
  <si>
    <t>System 12: Single-zone, CV-HW</t>
  </si>
  <si>
    <t>Single-zone system</t>
  </si>
  <si>
    <t>Chilled water</t>
  </si>
  <si>
    <t>Cool: Chiller -- Heat: Boiler</t>
  </si>
  <si>
    <t>bhp * 746 / fan motor efficiency</t>
  </si>
  <si>
    <t>&gt;=65,000 and &lt;135,000</t>
  </si>
  <si>
    <t>Air/ NoneHeat Pump Single Zone Non-Residential System</t>
  </si>
  <si>
    <t xml:space="preserve">System 9 </t>
  </si>
  <si>
    <t>System 3: PSZ-AC</t>
  </si>
  <si>
    <t>Packaged rooftop air conditioner</t>
  </si>
  <si>
    <t>Fossil fuel furnace</t>
  </si>
  <si>
    <t>Cool: Table G3.5.1 -- Heat: Table G3.5.5</t>
  </si>
  <si>
    <t>&gt;=135,000 and &lt;240,000</t>
  </si>
  <si>
    <t>Air/ NoneHeat Pump Single Zone Residential System</t>
  </si>
  <si>
    <t>System 5: Packaged VAV with Reheat</t>
  </si>
  <si>
    <t>Packaged rooftop VAV with reheat</t>
  </si>
  <si>
    <t>Cool: Table G3.5.1 -- Heat: boiler</t>
  </si>
  <si>
    <t>&gt;= 240,000 and &lt;760,000</t>
  </si>
  <si>
    <t xml:space="preserve">App. G </t>
  </si>
  <si>
    <t>Water/ GroundElectric Res.Other</t>
  </si>
  <si>
    <t>System 7</t>
  </si>
  <si>
    <t>System 7: VAV with reheat</t>
  </si>
  <si>
    <t>VAV with reheat</t>
  </si>
  <si>
    <t>&gt;=760,000</t>
  </si>
  <si>
    <t>Heated-only storage</t>
  </si>
  <si>
    <t>System 9: Heating and Ventilation</t>
  </si>
  <si>
    <t>Water/ GroundElectric Res.Single Zone Non-Residential System</t>
  </si>
  <si>
    <t>System 6</t>
  </si>
  <si>
    <t>Warm air furnace, gas fired</t>
  </si>
  <si>
    <t>None</t>
  </si>
  <si>
    <t>Cool: none -- Heat: G3.5.5</t>
  </si>
  <si>
    <t>Supply CFM x .3, if  non mechanical cooling fan req: CFMnmc * .054</t>
  </si>
  <si>
    <r>
      <t xml:space="preserve">Nonresidential - </t>
    </r>
    <r>
      <rPr>
        <u/>
        <sz val="11"/>
        <color theme="1"/>
        <rFont val="Calibri"/>
        <family val="2"/>
        <scheme val="minor"/>
      </rPr>
      <t>&lt;</t>
    </r>
    <r>
      <rPr>
        <sz val="11"/>
        <color theme="1"/>
        <rFont val="Calibri"/>
        <family val="2"/>
        <scheme val="minor"/>
      </rPr>
      <t xml:space="preserve"> 3 floors and &lt; 25,000 ft2</t>
    </r>
  </si>
  <si>
    <t>Water/ GroundElectric Res.Single Zone Residential System</t>
  </si>
  <si>
    <t>System 5</t>
  </si>
  <si>
    <r>
      <t xml:space="preserve">Nonresidential - </t>
    </r>
    <r>
      <rPr>
        <u/>
        <sz val="11"/>
        <color theme="1"/>
        <rFont val="Calibri"/>
        <family val="2"/>
        <scheme val="minor"/>
      </rPr>
      <t>&lt;</t>
    </r>
    <r>
      <rPr>
        <sz val="11"/>
        <color theme="1"/>
        <rFont val="Calibri"/>
        <family val="2"/>
        <scheme val="minor"/>
      </rPr>
      <t xml:space="preserve"> 5 floors and 25,000 - 150,000 ft2</t>
    </r>
  </si>
  <si>
    <t>Water/ GroundFossil Fuel Other</t>
  </si>
  <si>
    <t>System 2</t>
  </si>
  <si>
    <t>Nonresidential - &gt; 5 floors or &gt; 150,000 ft2</t>
  </si>
  <si>
    <t>Water/ GroundFossil Fuel Single Zone Non-Residential System</t>
  </si>
  <si>
    <t>Nonresidential - 4-5 floors and &lt; 25,000 ft2</t>
  </si>
  <si>
    <t>Water/ GroundFossil Fuel Single Zone Residential System</t>
  </si>
  <si>
    <t>System 1</t>
  </si>
  <si>
    <t>Public Assembly &lt; 120,000 ft2</t>
  </si>
  <si>
    <t>Water/ GroundHeat Pump Other</t>
  </si>
  <si>
    <r>
      <t xml:space="preserve">Public Assembly </t>
    </r>
    <r>
      <rPr>
        <u/>
        <sz val="11"/>
        <color theme="1"/>
        <rFont val="Calibri"/>
        <family val="2"/>
        <scheme val="minor"/>
      </rPr>
      <t>&gt;</t>
    </r>
    <r>
      <rPr>
        <sz val="11"/>
        <color theme="1"/>
        <rFont val="Calibri"/>
        <family val="2"/>
        <scheme val="minor"/>
      </rPr>
      <t xml:space="preserve"> 120,000 ft2</t>
    </r>
  </si>
  <si>
    <t>Water/ GroundHeat Pump Single Zone Non-Residential System</t>
  </si>
  <si>
    <t>Section 11</t>
  </si>
  <si>
    <t>Water/ GroundHeat Pump Single Zone Residential System</t>
  </si>
  <si>
    <t>Proposed</t>
  </si>
  <si>
    <t>Baseline Section 11</t>
  </si>
  <si>
    <t>Fan Power s.11</t>
  </si>
  <si>
    <t>Cooler Condensing Source</t>
  </si>
  <si>
    <t>Budget System Type</t>
  </si>
  <si>
    <t>Heating System Classification</t>
  </si>
  <si>
    <t>Efficiencies</t>
  </si>
  <si>
    <t>Master Value List</t>
  </si>
  <si>
    <r>
      <t xml:space="preserve">Retail - </t>
    </r>
    <r>
      <rPr>
        <u/>
        <sz val="11"/>
        <color theme="1"/>
        <rFont val="Calibri"/>
        <family val="2"/>
        <scheme val="minor"/>
      </rPr>
      <t>&lt;</t>
    </r>
    <r>
      <rPr>
        <sz val="11"/>
        <color theme="1"/>
        <rFont val="Calibri"/>
        <family val="2"/>
        <scheme val="minor"/>
      </rPr>
      <t xml:space="preserve"> 2 floors</t>
    </r>
  </si>
  <si>
    <t>Two-pipe fan coil</t>
  </si>
  <si>
    <t xml:space="preserve">Refer to 6.5.3.1 </t>
  </si>
  <si>
    <t>Water/Ground</t>
  </si>
  <si>
    <t xml:space="preserve">Single-Zone Residential </t>
  </si>
  <si>
    <t xml:space="preserve">Electric Resistance </t>
  </si>
  <si>
    <t xml:space="preserve">Cool: Chiller -- Heat: Electric Resistance </t>
  </si>
  <si>
    <t>VAV with parallel fan-powered boxes</t>
  </si>
  <si>
    <t>KEY</t>
  </si>
  <si>
    <t>Variable #1</t>
  </si>
  <si>
    <t>Variable #2</t>
  </si>
  <si>
    <t>Variable #3</t>
  </si>
  <si>
    <t>Fan Power</t>
  </si>
  <si>
    <t>Fan Airflow</t>
  </si>
  <si>
    <t xml:space="preserve">Water-source heat pump </t>
  </si>
  <si>
    <t>Heat Pump</t>
  </si>
  <si>
    <t>Refer to Table 6.8.1-2 [Water to Air] (automated)</t>
  </si>
  <si>
    <t xml:space="preserve">Four-pipe fan coil </t>
  </si>
  <si>
    <t xml:space="preserve">Single-Zone Non-Residential </t>
  </si>
  <si>
    <t>Air/None</t>
  </si>
  <si>
    <t xml:space="preserve">Packaged terminal heat pump 
</t>
  </si>
  <si>
    <t>Refer to Table 6.8.1-4 (automated)</t>
  </si>
  <si>
    <t xml:space="preserve">Packaged/split-system heat pump </t>
  </si>
  <si>
    <t xml:space="preserve">Refer to Table 6.8.1-2 </t>
  </si>
  <si>
    <t>Packaged VAV with parallel fan-powered boxes</t>
  </si>
  <si>
    <t xml:space="preserve">Cool: Table 6.8.1-1 -- Heat: Electric Resistance </t>
  </si>
  <si>
    <t xml:space="preserve">Packaged terminal air conditioner
</t>
  </si>
  <si>
    <t>Packaged/split-system air conditioner</t>
  </si>
  <si>
    <t xml:space="preserve">Cool: Table 6.8.1-1  -- Heat: Table 6.8.1-5 </t>
  </si>
  <si>
    <t>Electric Heat Pump and boiler</t>
  </si>
  <si>
    <t xml:space="preserve">Packaged VAV with reheat </t>
  </si>
  <si>
    <t>Cool: Table 6.8.1-1 -- Heat: Boiler</t>
  </si>
  <si>
    <t xml:space="preserve">VRF  </t>
  </si>
  <si>
    <t xml:space="preserve">Unit heaters </t>
  </si>
  <si>
    <t>All Others</t>
  </si>
  <si>
    <t>Gas Storage Water Heater</t>
  </si>
  <si>
    <t>Automotive facility</t>
  </si>
  <si>
    <t xml:space="preserve">Electric Heat Pump  </t>
  </si>
  <si>
    <t>Convenience Store</t>
  </si>
  <si>
    <t>Electric Resistance Storage Water Heater</t>
  </si>
  <si>
    <t>Electric Heat Pump</t>
  </si>
  <si>
    <t>Convention center</t>
  </si>
  <si>
    <t>Courthouse</t>
  </si>
  <si>
    <t>Dining: bar lounge/leisure</t>
  </si>
  <si>
    <t>Dining: cafeteria/fast food</t>
  </si>
  <si>
    <t>Dining: family</t>
  </si>
  <si>
    <t>Fossil Fuel Furnace</t>
  </si>
  <si>
    <t>Exercise center</t>
  </si>
  <si>
    <t>Fire station</t>
  </si>
  <si>
    <t>Gymnasium</t>
  </si>
  <si>
    <t>Health-care clinic</t>
  </si>
  <si>
    <t>Hospital and outpatient surgery center</t>
  </si>
  <si>
    <t>Hotel/Motel</t>
  </si>
  <si>
    <t>Library</t>
  </si>
  <si>
    <t>Manufacturing facility</t>
  </si>
  <si>
    <t>Motion picture theater</t>
  </si>
  <si>
    <t>Museum</t>
  </si>
  <si>
    <t>Parking garage</t>
  </si>
  <si>
    <t>Penitentiary</t>
  </si>
  <si>
    <t>Performing arts theater</t>
  </si>
  <si>
    <t>Police station</t>
  </si>
  <si>
    <t>Post office</t>
  </si>
  <si>
    <t>Religious facility</t>
  </si>
  <si>
    <t>School/university</t>
  </si>
  <si>
    <t>Sports arena</t>
  </si>
  <si>
    <t>Town hall</t>
  </si>
  <si>
    <t>Transportation</t>
  </si>
  <si>
    <t>Workshop</t>
  </si>
  <si>
    <t>Local Law 97</t>
  </si>
  <si>
    <t>Occupancy Classification</t>
  </si>
  <si>
    <t>CO2 limit/sf</t>
  </si>
  <si>
    <t>Group A</t>
  </si>
  <si>
    <t>Fuel Use</t>
  </si>
  <si>
    <t>tCO2e per kbtu</t>
  </si>
  <si>
    <t>kBTU to Gallon</t>
  </si>
  <si>
    <t>Group B</t>
  </si>
  <si>
    <t>Electricity</t>
  </si>
  <si>
    <t>Group E &amp; I-4</t>
  </si>
  <si>
    <t>#4 Fuel Oil</t>
  </si>
  <si>
    <t>Group I-1</t>
  </si>
  <si>
    <t>Diesel Fuel</t>
  </si>
  <si>
    <t>Group F</t>
  </si>
  <si>
    <t>Group B, H, I-2 and I-3</t>
  </si>
  <si>
    <t>Group M</t>
  </si>
  <si>
    <t>Kerosene</t>
  </si>
  <si>
    <t>Group R-1</t>
  </si>
  <si>
    <t>Propane</t>
  </si>
  <si>
    <t>Group R-2</t>
  </si>
  <si>
    <t>Group S and U</t>
  </si>
  <si>
    <t>Fill out the following tabs:
1, 2, 3 Information, 4a, 4b, 4c, 4d, 4e, 5a-b, 5c-d, 6a-b, 6c, 6d, 6e, 6f, 6g-h, 6i, 6j-n, 6o, 6p-t
Where modeling is used to demonstrate special circumstance usage, fill out tabs in addition to those listed above:
7, 8, 9a, 9b, 9c</t>
  </si>
  <si>
    <t>320.9 – NFP Healthcare</t>
  </si>
  <si>
    <t>Fill out the following tabs: 
1, 2, 3 Information, 4a, 4b, 4c, 4d, 4e</t>
  </si>
  <si>
    <t>Fill out the following tabs:
1, 2, 3 Information, 4a, 4b, 4c, 4d, 4e, 5a-b, 5c-d, 6a-b, 6c, 6d, 6e, 6f, 6g-h, 6i, 6j-n, 6o, 6p-t, 7, 8, 9a, 9b, 9c, 10
For NFP Healthcare fill out the above information except tab 5a-b and 5c-d</t>
  </si>
  <si>
    <t xml:space="preserve">Interior LPD: Space-by-Space Method </t>
  </si>
  <si>
    <t xml:space="preserve">Space Type (Table 9.6.1) </t>
  </si>
  <si>
    <t>Auto. Controls (Yes/No)</t>
  </si>
  <si>
    <t>Baseline LPD</t>
  </si>
  <si>
    <t>Daylight Ctrls (Yes/No)</t>
  </si>
  <si>
    <t>Proposed LPD</t>
  </si>
  <si>
    <t>(W/ft2)</t>
  </si>
  <si>
    <t>Building Area Method Categories</t>
  </si>
  <si>
    <t>Table 9.5.1 LPD (W/sf)</t>
  </si>
  <si>
    <t>Table G</t>
  </si>
  <si>
    <t>Space by Space Categories</t>
  </si>
  <si>
    <t>Table 9.6.1 LPD (W/sf)</t>
  </si>
  <si>
    <t>Table G3.7 LPD (W/sf)</t>
  </si>
  <si>
    <t>Additional Controls</t>
  </si>
  <si>
    <t>Atrium - first 40ft in height</t>
  </si>
  <si>
    <t>Atrium - height above 40ft</t>
  </si>
  <si>
    <t>Decorative</t>
  </si>
  <si>
    <t>Audience/seating area - all other</t>
  </si>
  <si>
    <t>Retail Display</t>
  </si>
  <si>
    <t>Audience/seating area - auditorium</t>
  </si>
  <si>
    <t>Room Cavity Ratio</t>
  </si>
  <si>
    <t>Audience/seating area - convention center</t>
  </si>
  <si>
    <t>Control Allowance</t>
  </si>
  <si>
    <t>Audience/seating area - exercise center</t>
  </si>
  <si>
    <t>Audience/seating area - gymnasium</t>
  </si>
  <si>
    <t>Audience/seating area - motion picture theater</t>
  </si>
  <si>
    <t>Audience/seating area - penitentiary</t>
  </si>
  <si>
    <t>Audience/seating area - performing arts theater</t>
  </si>
  <si>
    <t>Audience/seating area - religious facility</t>
  </si>
  <si>
    <t>Audience/seating area - sports arena</t>
  </si>
  <si>
    <t>Audience/seating area - transportation facility</t>
  </si>
  <si>
    <t>Automotive</t>
  </si>
  <si>
    <t>Banking Activity Area</t>
  </si>
  <si>
    <t>Classroom/lecture/training - all other</t>
  </si>
  <si>
    <t>Classroom/lecture/training - penitentiary</t>
  </si>
  <si>
    <t>Computer Room</t>
  </si>
  <si>
    <t>Conf/mtg/multipurpose (sect 11)</t>
  </si>
  <si>
    <t>Conference/meeting/multipurpose</t>
  </si>
  <si>
    <t>Confinement Cells</t>
  </si>
  <si>
    <t>Convention Center-Exhibit Space</t>
  </si>
  <si>
    <t>Copy/Print Room</t>
  </si>
  <si>
    <t>Corridor - all other</t>
  </si>
  <si>
    <t>Corridor - facility for visually impaired</t>
  </si>
  <si>
    <t>Corridor/transition</t>
  </si>
  <si>
    <t>Corridor - hospital</t>
  </si>
  <si>
    <t>Corridor - manufacturing facility</t>
  </si>
  <si>
    <t>Courtroom</t>
  </si>
  <si>
    <t>Dining Area - all other</t>
  </si>
  <si>
    <t>Dining Area - Bar Lounge/Leisure Dining</t>
  </si>
  <si>
    <t>Dining Area - cafeteria/fast food</t>
  </si>
  <si>
    <t>Dining Area</t>
  </si>
  <si>
    <t>Dining Area - facility for visually impaired</t>
  </si>
  <si>
    <t>Dining Area - Family Dining</t>
  </si>
  <si>
    <t>Dining Area - Highway Lodging</t>
  </si>
  <si>
    <t>Dining room - all other</t>
  </si>
  <si>
    <t>Dining Area - Hotel</t>
  </si>
  <si>
    <t>Dining Area - penitentiary</t>
  </si>
  <si>
    <t>Dormitory - living quarters</t>
  </si>
  <si>
    <t>Electrical/Mechanical</t>
  </si>
  <si>
    <t>Emergency Vehicle Garage</t>
  </si>
  <si>
    <t>*Fire station - engine room</t>
  </si>
  <si>
    <t>Facility for Visually Impaired - in a chapel</t>
  </si>
  <si>
    <t>*Religious buildings - worship pulpit, choir</t>
  </si>
  <si>
    <t>Facility for Visually Impaired - in a rec room/common living rm</t>
  </si>
  <si>
    <t>*lounge/recreation</t>
  </si>
  <si>
    <t>Fire station - sleeping quarters</t>
  </si>
  <si>
    <t>Fire Station Engine Room</t>
  </si>
  <si>
    <t>*emergency vehicle garage</t>
  </si>
  <si>
    <t>Food Preparation Area</t>
  </si>
  <si>
    <t>Guest Room - Hotel</t>
  </si>
  <si>
    <t>Guest Rooms - Highway Lodging</t>
  </si>
  <si>
    <t>Guest room</t>
  </si>
  <si>
    <t>Gymnasium/Exercise Center-Playing Area</t>
  </si>
  <si>
    <t>Gymnasium/Fitness Center - exercise area</t>
  </si>
  <si>
    <t>Healthcare facility - exam treatment room</t>
  </si>
  <si>
    <t>Healthcare facility - imaging room</t>
  </si>
  <si>
    <t>Healthcare facility - medical supply room</t>
  </si>
  <si>
    <t>Healthcare facility - nursery</t>
  </si>
  <si>
    <t>Healthcare facility - nurse's station</t>
  </si>
  <si>
    <t>Healthcare facility - Operating Room</t>
  </si>
  <si>
    <t>Healthcare facility - Patient Room</t>
  </si>
  <si>
    <t>Healthcare facility - Physical Therapy</t>
  </si>
  <si>
    <t>Healthcare facility - Recovery</t>
  </si>
  <si>
    <t>Hospital - Emergency</t>
  </si>
  <si>
    <t>Healthcare Facility - in an emergency room</t>
  </si>
  <si>
    <t>Judges' Chambers</t>
  </si>
  <si>
    <t>Laboratory - in or as a classroom</t>
  </si>
  <si>
    <t>Laboratory - other</t>
  </si>
  <si>
    <t>Laundry/Washing Area</t>
  </si>
  <si>
    <t>Library - Card File &amp; Cataloging</t>
  </si>
  <si>
    <t>Library - in the stacks</t>
  </si>
  <si>
    <t>Library - Reading Area</t>
  </si>
  <si>
    <t>Library - Stacks</t>
  </si>
  <si>
    <t>*Warehouse - medium/bulky material storage</t>
  </si>
  <si>
    <t>Loading Dock, Interior</t>
  </si>
  <si>
    <t>Lobby - all other</t>
  </si>
  <si>
    <t>Lobby - Elevator</t>
  </si>
  <si>
    <t>*Lobby-all other</t>
  </si>
  <si>
    <t>Lobby - facility for visually impaired</t>
  </si>
  <si>
    <t>Lobby - Hotel</t>
  </si>
  <si>
    <t>Lobby - Motion Picture Theater</t>
  </si>
  <si>
    <t>Lobby - Performing Arts Theater</t>
  </si>
  <si>
    <t>Locker Room</t>
  </si>
  <si>
    <t>Lounge/Breakroom - all other</t>
  </si>
  <si>
    <t>Lounge/Breakroom - healthcare facility</t>
  </si>
  <si>
    <t>Manufacturing-Detailed Manufacturing</t>
  </si>
  <si>
    <t>Manufacturing-Equipment Room</t>
  </si>
  <si>
    <t>Manufacturing-Extra High Bay (&gt;50ft floor to ceiling ht)</t>
  </si>
  <si>
    <t>Manufacturing-High Bay (25-50ft floor to ceiling ht)</t>
  </si>
  <si>
    <t>Manufacturing-Low Bay (&lt;25ft floor to ceiling ht)</t>
  </si>
  <si>
    <t>*Building area method - multifamily</t>
  </si>
  <si>
    <t>Multifamily Dwelling Unit</t>
  </si>
  <si>
    <t>Museum-General Exhibition</t>
  </si>
  <si>
    <t>Museum-Restoration</t>
  </si>
  <si>
    <r>
      <t xml:space="preserve">Office - Enclosed and </t>
    </r>
    <r>
      <rPr>
        <u/>
        <sz val="10"/>
        <rFont val="Calibri"/>
        <family val="2"/>
        <scheme val="minor"/>
      </rPr>
      <t>&lt;</t>
    </r>
    <r>
      <rPr>
        <sz val="10"/>
        <rFont val="Calibri"/>
        <family val="2"/>
        <scheme val="minor"/>
      </rPr>
      <t xml:space="preserve"> 250 sqft</t>
    </r>
  </si>
  <si>
    <t>Office - Enclosed and &gt; 250 sqft</t>
  </si>
  <si>
    <t>Office - Open Plan</t>
  </si>
  <si>
    <t>Parking Area, Interior</t>
  </si>
  <si>
    <t>*locker room</t>
  </si>
  <si>
    <t>Performing Arts Theater - dressing room</t>
  </si>
  <si>
    <t>Pharmacy Area</t>
  </si>
  <si>
    <t>Post Office-Sorting Area</t>
  </si>
  <si>
    <t>Religious Buildings-Fellowship Hall</t>
  </si>
  <si>
    <t>Religious Buildings-Worship Pulpit, Choir</t>
  </si>
  <si>
    <t>Restroom - all other</t>
  </si>
  <si>
    <t>*restroom - all other</t>
  </si>
  <si>
    <t>Restroom - visually impaired</t>
  </si>
  <si>
    <t>Retail-Dressing/Fitting Room</t>
  </si>
  <si>
    <t>Retail-Mall Concourse</t>
  </si>
  <si>
    <t>Sales Area</t>
  </si>
  <si>
    <t>*audience/seating area - permanent for auditorium</t>
  </si>
  <si>
    <t>Seating Area, General</t>
  </si>
  <si>
    <t>Sports Arena - Ring Sports Arena</t>
  </si>
  <si>
    <t>Sports Arena-Court Sports Area-Class 2</t>
  </si>
  <si>
    <t>Sports Arena-Court Sports Area-Class 1</t>
  </si>
  <si>
    <t>Sports Arena-Court Sports Area-Class 3</t>
  </si>
  <si>
    <t>Sports Arena-Court Sports Area-Class 4</t>
  </si>
  <si>
    <t>Stairwell</t>
  </si>
  <si>
    <t>Storage room - all other</t>
  </si>
  <si>
    <t>*storage</t>
  </si>
  <si>
    <t>Storage room - hospital</t>
  </si>
  <si>
    <t>Storage room &lt; 50 sqft</t>
  </si>
  <si>
    <r>
      <t xml:space="preserve">Storage room </t>
    </r>
    <r>
      <rPr>
        <u/>
        <sz val="10"/>
        <rFont val="Calibri"/>
        <family val="2"/>
        <scheme val="minor"/>
      </rPr>
      <t xml:space="preserve">&lt; </t>
    </r>
    <r>
      <rPr>
        <sz val="10"/>
        <rFont val="Calibri"/>
        <family val="2"/>
        <scheme val="minor"/>
      </rPr>
      <t>50 sqft and &lt; 1000 sqft</t>
    </r>
  </si>
  <si>
    <t>Transportation facility - airport concourse</t>
  </si>
  <si>
    <t>Transportation facility - baggage/carousel area</t>
  </si>
  <si>
    <t>Transportation facility - terminal ticket counter</t>
  </si>
  <si>
    <t>Automotive-service/repair</t>
  </si>
  <si>
    <t>Vehicular Maintenance Area</t>
  </si>
  <si>
    <t>Warehouse storage - medium to bulky, palletized items</t>
  </si>
  <si>
    <t>Warehouse storage - smaller, hand-carried items</t>
  </si>
  <si>
    <t>Zone</t>
  </si>
  <si>
    <t>Zoning Districts</t>
  </si>
  <si>
    <t>ECB</t>
  </si>
  <si>
    <t>PRM</t>
  </si>
  <si>
    <t>Undeveloped areas within park land</t>
  </si>
  <si>
    <t>Park land</t>
  </si>
  <si>
    <t>All R districts, R districts with C overlays and MX districts</t>
  </si>
  <si>
    <t>M districts, except MX; C districts except C5, C6 and C overlays on R districts</t>
  </si>
  <si>
    <t>C5 and C6 districts</t>
  </si>
  <si>
    <t>6e.</t>
  </si>
  <si>
    <t>Exterior Lighting  Power</t>
  </si>
  <si>
    <t>Baseline Design (Watts)</t>
  </si>
  <si>
    <t>Actual Building (Watts)</t>
  </si>
  <si>
    <t>Tradable Lighting Power</t>
  </si>
  <si>
    <t>Non-Tradable Lighting Power</t>
  </si>
  <si>
    <t>Base Site Allowance</t>
  </si>
  <si>
    <t>Total Lighting Power</t>
  </si>
  <si>
    <t>Zoning District</t>
  </si>
  <si>
    <t>Base Site Allowance (watts)</t>
  </si>
  <si>
    <t>Area Type</t>
  </si>
  <si>
    <t>Area Parameters</t>
  </si>
  <si>
    <t>Length or Area (FT or SQFT)</t>
  </si>
  <si>
    <t>Actual Building Watts</t>
  </si>
  <si>
    <t>Baseline Watts</t>
  </si>
  <si>
    <t>Unit Allowances</t>
  </si>
  <si>
    <t>Tradable Surfaces</t>
  </si>
  <si>
    <t>Uncovered Parking Areas</t>
  </si>
  <si>
    <t>Total area of uncovered parking and drive areas (sq.ft):</t>
  </si>
  <si>
    <t>Building Grounds</t>
  </si>
  <si>
    <t xml:space="preserve">Length of walkways less than 10' wide </t>
  </si>
  <si>
    <t>Area of walkways greater than 10' wide</t>
  </si>
  <si>
    <t>Plaza areas (sqft)</t>
  </si>
  <si>
    <t>Special feature areas (sqft)</t>
  </si>
  <si>
    <t>Area of stairways (sqft)</t>
  </si>
  <si>
    <t>Area of pedestrian tunnels (sqft)</t>
  </si>
  <si>
    <t>Area of landscaping (sq.ft):</t>
  </si>
  <si>
    <t>Building Entrances &amp; Exits</t>
  </si>
  <si>
    <t>Main Entries  (ft):</t>
  </si>
  <si>
    <t>W/FT</t>
  </si>
  <si>
    <t>Other doors  (ft):</t>
  </si>
  <si>
    <t>Area of entry canopies (sq.ft):</t>
  </si>
  <si>
    <t>Sales canopies</t>
  </si>
  <si>
    <t xml:space="preserve">Free standing and attached (sq.ft): </t>
  </si>
  <si>
    <t>Outdoor sales areas</t>
  </si>
  <si>
    <t>Open areas (including vehicle sales and lots) (sq.ft):</t>
  </si>
  <si>
    <t>Total length of street frontage for vehicle sales (ft):</t>
  </si>
  <si>
    <t>Non Tradable Surfaces</t>
  </si>
  <si>
    <t>Building façades</t>
  </si>
  <si>
    <t>Area of façade #1 (sqft)</t>
  </si>
  <si>
    <t>Length of façade #1 (ft)</t>
  </si>
  <si>
    <t>Area of façade #2 (sqft)</t>
  </si>
  <si>
    <t>Length of façade #2 (ft)</t>
  </si>
  <si>
    <t>Area of façade #3 (sqft)</t>
  </si>
  <si>
    <t>Length of façade #3 (ft)</t>
  </si>
  <si>
    <t>Area of façade #4 (sqft)</t>
  </si>
  <si>
    <t>Length of façade #4 (ft)</t>
  </si>
  <si>
    <t>ATMs</t>
  </si>
  <si>
    <t># of Locations:</t>
  </si>
  <si>
    <t>Total # of ATMs:</t>
  </si>
  <si>
    <t>Allowance = 270W per location plus 90W per additional ATM per location.</t>
  </si>
  <si>
    <t>Guarded facility entrances</t>
  </si>
  <si>
    <t>Area of uncovered entrances and gatehouse inspection areas at guarded facilities (sq.ft):</t>
  </si>
  <si>
    <t>Emergency Vehicle Loading Area</t>
  </si>
  <si>
    <t>Area of uncovered loading areas for emergency service vehicles (sq.ft):</t>
  </si>
  <si>
    <t>Drive-throughs</t>
  </si>
  <si>
    <t># of drive-throughs:</t>
  </si>
  <si>
    <t>Watts/drive thru</t>
  </si>
  <si>
    <t>Parking near 24-hour retail entrances (main only)</t>
  </si>
  <si>
    <t># of main entrances:</t>
  </si>
  <si>
    <t>Watts/entrance</t>
  </si>
  <si>
    <t>6f.</t>
  </si>
  <si>
    <t>Miscellaneous Equipment/Plug Load</t>
  </si>
  <si>
    <t>Space Type (or Equipment Type)</t>
  </si>
  <si>
    <t>Space Area (or # Equip.)</t>
  </si>
  <si>
    <t>Equipment Power Density (W/SF) or (Equip Demand)</t>
  </si>
  <si>
    <t>Annual kwh</t>
  </si>
  <si>
    <t>Annual Operating Hours</t>
  </si>
  <si>
    <t>Baseline Modeled Identically? (Yes/No)</t>
  </si>
  <si>
    <t>kwh</t>
  </si>
  <si>
    <t>Hours per year</t>
  </si>
  <si>
    <t>6g.</t>
  </si>
  <si>
    <t>Service Hot Water Systems</t>
  </si>
  <si>
    <t>Baseline Design</t>
  </si>
  <si>
    <t>Units</t>
  </si>
  <si>
    <t>Actual Building Design</t>
  </si>
  <si>
    <t>System Type &amp; Fuel</t>
  </si>
  <si>
    <t>Input Rating</t>
  </si>
  <si>
    <t>Storage Volume</t>
  </si>
  <si>
    <t>Gal</t>
  </si>
  <si>
    <t>Storage Temperature</t>
  </si>
  <si>
    <t>°F</t>
  </si>
  <si>
    <t>Peak HW Demand</t>
  </si>
  <si>
    <t>GPM</t>
  </si>
  <si>
    <t>Number of Primary DHW pumps</t>
  </si>
  <si>
    <t>Primary DHW Pump Power</t>
  </si>
  <si>
    <t>Primary DHW Pump Control</t>
  </si>
  <si>
    <t>Please provide a narrative of the building's heating, cooling, ventilation &amp; service hot water systems</t>
  </si>
  <si>
    <t xml:space="preserve">6i. </t>
  </si>
  <si>
    <t>Equipment Name/Type</t>
  </si>
  <si>
    <t>Space Description</t>
  </si>
  <si>
    <t>Heating</t>
  </si>
  <si>
    <t>Cooling</t>
  </si>
  <si>
    <t>Fans</t>
  </si>
  <si>
    <t>Controls</t>
  </si>
  <si>
    <t>Additional Comments</t>
  </si>
  <si>
    <t>System Tag(s)</t>
  </si>
  <si>
    <t>Mfg. &amp; Model No.</t>
  </si>
  <si>
    <t>Existing Equipment Type</t>
  </si>
  <si>
    <t>Description of Spaces Served</t>
  </si>
  <si>
    <t>Zone classification</t>
  </si>
  <si>
    <t>Heating Source</t>
  </si>
  <si>
    <t>Rated Capacity (kBTU)</t>
  </si>
  <si>
    <t>Rated Efficiency (indicate units)</t>
  </si>
  <si>
    <t>Cooling Source</t>
  </si>
  <si>
    <t>Supply Airflow (CFM)</t>
  </si>
  <si>
    <t>Outdoor Airflow (CFM)</t>
  </si>
  <si>
    <t>System Fan Power (kW)</t>
  </si>
  <si>
    <t>Econo-mizer?</t>
  </si>
  <si>
    <t>ERV?</t>
  </si>
  <si>
    <t>DCV?</t>
  </si>
  <si>
    <t>6j.</t>
  </si>
  <si>
    <t>Heating Plant Equipment</t>
  </si>
  <si>
    <t>Spaces Served</t>
  </si>
  <si>
    <t>Heating Plant Equipment Specifications</t>
  </si>
  <si>
    <t>Existing Heating Plant Equipment Type</t>
  </si>
  <si>
    <t>Description of Spaces/Equipment Served</t>
  </si>
  <si>
    <t>Quantity</t>
  </si>
  <si>
    <t>Operating Efficiency (indicate units)</t>
  </si>
  <si>
    <t>Description of Controls</t>
  </si>
  <si>
    <t>6k.</t>
  </si>
  <si>
    <t>Cooling Plant Equipment</t>
  </si>
  <si>
    <t>Cooling Plant Equipment Specifications</t>
  </si>
  <si>
    <t>Existing Cooling Plant Equipment Type</t>
  </si>
  <si>
    <t>6l.</t>
  </si>
  <si>
    <t>Cooling Tower Equipment Name/Type</t>
  </si>
  <si>
    <t>Equipment  Served</t>
  </si>
  <si>
    <t>Cooling Tower Equipment Specifications</t>
  </si>
  <si>
    <t>Existing Plant Equipment Type</t>
  </si>
  <si>
    <t>Fan Type</t>
  </si>
  <si>
    <t>6m.</t>
  </si>
  <si>
    <t>Pumps</t>
  </si>
  <si>
    <t>Existing Pump Equipment Type (describe)</t>
  </si>
  <si>
    <t>GPM at pump</t>
  </si>
  <si>
    <t>Motor HP</t>
  </si>
  <si>
    <t>Motor Efficiency</t>
  </si>
  <si>
    <t>Control Type</t>
  </si>
  <si>
    <t>6n.</t>
  </si>
  <si>
    <t>Other Equipment</t>
  </si>
  <si>
    <t>Existing Plant Equipment Type (describe)</t>
  </si>
  <si>
    <t>Rated Efficiency</t>
  </si>
  <si>
    <t xml:space="preserve">6o. </t>
  </si>
  <si>
    <t>Appendix G only</t>
  </si>
  <si>
    <t>Baseline System Type</t>
  </si>
  <si>
    <t>Building Area Type (only for Appendix G)</t>
  </si>
  <si>
    <t>System Type (only for Section 11 ECB)</t>
  </si>
  <si>
    <t>Minimum Efficiency Reference</t>
  </si>
  <si>
    <t>Capacity (kBTU)</t>
  </si>
  <si>
    <t>Efficiency (indicate units)</t>
  </si>
  <si>
    <t>Design Supply Airflow (CFM)</t>
  </si>
  <si>
    <t>System Fan Power</t>
  </si>
  <si>
    <t>Nonresidential - 4-5 floors and &lt; 25,000 ft3</t>
  </si>
  <si>
    <t>Nonresidential - 4-5 floors and &lt; 25,000 ft4</t>
  </si>
  <si>
    <t>Nonresidential - 4-5 floors and &lt; 25,000 ft5</t>
  </si>
  <si>
    <t>6p.</t>
  </si>
  <si>
    <t>6q.</t>
  </si>
  <si>
    <t>6r.</t>
  </si>
  <si>
    <t>6s.</t>
  </si>
  <si>
    <t>6t.</t>
  </si>
  <si>
    <t>Modeling Firm</t>
  </si>
  <si>
    <t>Last Name (lead modeler)</t>
  </si>
  <si>
    <t>First Name (lead modeler)</t>
  </si>
  <si>
    <t>Email (lead modeler)</t>
  </si>
  <si>
    <t>Telephone (lead modeler)</t>
  </si>
  <si>
    <t>Energy Modeling Information</t>
  </si>
  <si>
    <t>7c</t>
  </si>
  <si>
    <t>Energy Modeling Information per Modeled Square Feet</t>
  </si>
  <si>
    <t>Modeling Protocol (Sect 11 or Apx G)</t>
  </si>
  <si>
    <t>Existing 
Building</t>
  </si>
  <si>
    <t>Total Energy Cost ($/sf)</t>
  </si>
  <si>
    <t>Modeling Software &amp; version</t>
  </si>
  <si>
    <t>Site EUI (kBtu/sf)</t>
  </si>
  <si>
    <t>Weather File</t>
  </si>
  <si>
    <t>Proposed Unmet Load Hours</t>
  </si>
  <si>
    <t>Baseline</t>
  </si>
  <si>
    <t>Baseline Unmet Load Hours</t>
  </si>
  <si>
    <t>Gross Square Feet</t>
  </si>
  <si>
    <t>Modeled Square Feet</t>
  </si>
  <si>
    <t>% Savings</t>
  </si>
  <si>
    <t>8a</t>
  </si>
  <si>
    <t>2018 Actual Building Model with Special Circumstance</t>
  </si>
  <si>
    <t>Model Output Location (Report)</t>
  </si>
  <si>
    <t>Utility Bills - Actual v. Modeled (% difference)</t>
  </si>
  <si>
    <t>Electric (kW)</t>
  </si>
  <si>
    <t>MBE</t>
  </si>
  <si>
    <t>Cv (RMSE)</t>
  </si>
  <si>
    <t>Matching Criteria Acceptable</t>
  </si>
  <si>
    <t>RMSEperiod-Electric Usage (kwh)</t>
  </si>
  <si>
    <t>RMSEperiod-Electric Usage (kw)</t>
  </si>
  <si>
    <t>RMSEperiod-Nat Gas Usage (therm)</t>
  </si>
  <si>
    <t>RMSEperiod-Steam Usage (kBTU)</t>
  </si>
  <si>
    <t>RMSEperiod-Fuel-Oil #2 Usage (kBTU)</t>
  </si>
  <si>
    <t>RMSEperiod-Other Fuel 1 Usage (kBTU)</t>
  </si>
  <si>
    <t>RMSEperiod-Other Fuel 2 Usage (kBTU)</t>
  </si>
  <si>
    <t>RMSEperiod-Other Fuel 3 Usage (kBTU)</t>
  </si>
  <si>
    <t>October</t>
  </si>
  <si>
    <t>For reference (can be deleted):</t>
  </si>
  <si>
    <t>M&amp;V Guidelines: Measurement and Verification for Performance-Based Contracts Version 4.0</t>
  </si>
  <si>
    <t>https://www.energy.gov/sites/prod/files/2016/01/f28/mv_guide_4_0.pdf</t>
  </si>
  <si>
    <t>Model Calibration 4.5.3, p4-19</t>
  </si>
  <si>
    <t>MBE indicates how well energy is predicted vs the measured. Postive = overpredicts, negative = underpredicts.</t>
  </si>
  <si>
    <t>At minimum:</t>
  </si>
  <si>
    <t>Interval = month</t>
  </si>
  <si>
    <t>Period = year</t>
  </si>
  <si>
    <t>Cv(RMSE) indicates uncertainty in the prediction. Lower values, better calibration.</t>
  </si>
  <si>
    <t>Table 4-2</t>
  </si>
  <si>
    <t>Actual w/o Special Circumstance v. Baseline</t>
  </si>
  <si>
    <t>% Usage (Baseline)</t>
  </si>
  <si>
    <t>% Usage (Actual Model)</t>
  </si>
  <si>
    <t>Energy Savings Per End Use (%)</t>
  </si>
  <si>
    <t>10a.</t>
  </si>
  <si>
    <t>Purchased Energy Rates &amp; Compliance Documentation</t>
  </si>
  <si>
    <t>Fuel</t>
  </si>
  <si>
    <t>Virtual Utility Rate ($/unit)</t>
  </si>
  <si>
    <t>Baseline Design
Total Charge ($)</t>
  </si>
  <si>
    <t>Actual Building Total Charge ($)</t>
  </si>
  <si>
    <t>District Steam ($/Mlb)</t>
  </si>
  <si>
    <t>COST SAVINGS</t>
  </si>
  <si>
    <t>EQUIVALENT?</t>
  </si>
  <si>
    <t>10b.</t>
  </si>
  <si>
    <t>Performance Site Energy Index - Appendix G ONLY</t>
  </si>
  <si>
    <t>10d.</t>
  </si>
  <si>
    <t>Weighted BPF - Appendix G ONLY</t>
  </si>
  <si>
    <t>Baseline Building</t>
  </si>
  <si>
    <t>Actual Building</t>
  </si>
  <si>
    <t>Space Classification</t>
  </si>
  <si>
    <t>Modeled Area</t>
  </si>
  <si>
    <t>Weighted BPF 
(Site Energy)</t>
  </si>
  <si>
    <t>Building Performance Factor (Site Energy)</t>
  </si>
  <si>
    <t>Baseline Regulated Site Energy (BTU)</t>
  </si>
  <si>
    <t>Weighted BPF 
(Carbon)</t>
  </si>
  <si>
    <t>Baseline Unregulated Site Energy (BTU)</t>
  </si>
  <si>
    <t>Healthcare/
hospital</t>
  </si>
  <si>
    <t>Total Site Energy (BTU)</t>
  </si>
  <si>
    <t>Performance Site Energy Index</t>
  </si>
  <si>
    <t>10c.</t>
  </si>
  <si>
    <t>Performance Carbon Index - Appendix G ONLY</t>
  </si>
  <si>
    <t>Building Performance Factor (Carbon)</t>
  </si>
  <si>
    <t>Baseline Regulated Carbon</t>
  </si>
  <si>
    <t>Baseline Unregulated Carbon</t>
  </si>
  <si>
    <t>Total Carbon</t>
  </si>
  <si>
    <t>Performance Carbon Index</t>
  </si>
  <si>
    <t>Version 1.01</t>
  </si>
  <si>
    <t>Version 1.1</t>
  </si>
  <si>
    <t>Tab 5c-d cell D18 - edit formula X 100 to conver Therms to kbtu</t>
  </si>
  <si>
    <t>5c.</t>
  </si>
  <si>
    <t>5d.</t>
  </si>
  <si>
    <t>6a.</t>
  </si>
  <si>
    <t>6b.</t>
  </si>
  <si>
    <t>6d.</t>
  </si>
  <si>
    <t>6h.    HVAC and SHW Narrative</t>
  </si>
  <si>
    <t>Version 1.2</t>
  </si>
  <si>
    <t>Version 1.3</t>
  </si>
  <si>
    <t>tab 4ef - kW column as Sum not Max - tab 8a kW matching</t>
  </si>
  <si>
    <t>Update print areas of several tabs</t>
  </si>
  <si>
    <t>Tab 4a cell D20 - edit formula</t>
  </si>
  <si>
    <t>Adjustments - Buildings (nyc.gov)</t>
  </si>
  <si>
    <t>The instructions for filling out this form can be found on the DOB website at:</t>
  </si>
  <si>
    <t>Do Not Edit:  Information</t>
  </si>
  <si>
    <t>Do Not Edit:  Formulas</t>
  </si>
  <si>
    <t>Do not Edit:  Error</t>
  </si>
  <si>
    <t>User Edit:  drop-down menu</t>
  </si>
  <si>
    <t>User Edit:  Fill in Box</t>
  </si>
  <si>
    <t>User Edit: Formula + Drop-down Menu</t>
  </si>
  <si>
    <t>User Edit:  Required Information</t>
  </si>
  <si>
    <t>Utility Rate Provider/Rate Structure (i.e., ConEd)</t>
  </si>
  <si>
    <r>
      <t>GHG (tCO</t>
    </r>
    <r>
      <rPr>
        <vertAlign val="subscript"/>
        <sz val="9"/>
        <color theme="1"/>
        <rFont val="Liberation Sans"/>
        <family val="2"/>
      </rPr>
      <t>2</t>
    </r>
    <r>
      <rPr>
        <sz val="9"/>
        <color theme="1"/>
        <rFont val="Liberation Sans"/>
        <family val="2"/>
      </rPr>
      <t>e/sf)</t>
    </r>
  </si>
  <si>
    <r>
      <rPr>
        <sz val="11"/>
        <color theme="1"/>
        <rFont val="Liberation Sans"/>
        <family val="2"/>
      </rPr>
      <t xml:space="preserve">Enter information for sections 7a and 7b. </t>
    </r>
    <r>
      <rPr>
        <i/>
        <sz val="11"/>
        <color theme="1"/>
        <rFont val="Liberation Sans"/>
        <family val="2"/>
      </rPr>
      <t>(must be typewritten)</t>
    </r>
  </si>
  <si>
    <t>7a.</t>
  </si>
  <si>
    <t>7b.</t>
  </si>
  <si>
    <t xml:space="preserve">            Utility Bill Comparison - including Special Circumstance</t>
  </si>
  <si>
    <r>
      <t xml:space="preserve">Baseline Model </t>
    </r>
    <r>
      <rPr>
        <sz val="10"/>
        <color theme="1"/>
        <rFont val="Liberation Sans"/>
        <family val="2"/>
      </rPr>
      <t>(No Special Circumstance)</t>
    </r>
  </si>
  <si>
    <r>
      <t>Total Area  Space Type (ft</t>
    </r>
    <r>
      <rPr>
        <vertAlign val="superscript"/>
        <sz val="8"/>
        <rFont val="Liberation Sans"/>
        <family val="2"/>
      </rPr>
      <t>2</t>
    </r>
    <r>
      <rPr>
        <sz val="8"/>
        <rFont val="Liberation Sans"/>
        <family val="2"/>
      </rPr>
      <t>)</t>
    </r>
  </si>
  <si>
    <r>
      <t>Window + Wall Area (ft</t>
    </r>
    <r>
      <rPr>
        <vertAlign val="superscript"/>
        <sz val="8"/>
        <rFont val="Liberation Sans"/>
        <family val="2"/>
      </rPr>
      <t>2</t>
    </r>
    <r>
      <rPr>
        <sz val="8"/>
        <rFont val="Liberation Sans"/>
        <family val="2"/>
      </rPr>
      <t>)</t>
    </r>
  </si>
  <si>
    <r>
      <t>(ft</t>
    </r>
    <r>
      <rPr>
        <vertAlign val="superscript"/>
        <sz val="8"/>
        <rFont val="Liberation Sans"/>
        <family val="2"/>
      </rPr>
      <t>2</t>
    </r>
    <r>
      <rPr>
        <sz val="8"/>
        <rFont val="Liberation Sans"/>
        <family val="2"/>
      </rPr>
      <t>)</t>
    </r>
  </si>
  <si>
    <r>
      <t>Roof + Skylight Area (ft</t>
    </r>
    <r>
      <rPr>
        <vertAlign val="superscript"/>
        <sz val="8"/>
        <rFont val="Liberation Sans"/>
        <family val="2"/>
      </rPr>
      <t>2</t>
    </r>
    <r>
      <rPr>
        <sz val="8"/>
        <rFont val="Liberation Sans"/>
        <family val="2"/>
      </rPr>
      <t>)</t>
    </r>
  </si>
  <si>
    <t>Utility Bill Comparison - Including Special Circumstance</t>
  </si>
  <si>
    <r>
      <t>Adjustment Option</t>
    </r>
    <r>
      <rPr>
        <i/>
        <sz val="10"/>
        <color theme="0"/>
        <rFont val="Liberation Sans"/>
        <family val="2"/>
      </rPr>
      <t xml:space="preserve"> (select)</t>
    </r>
  </si>
  <si>
    <r>
      <t xml:space="preserve">Enter information for Sections 1, 2 and 3. </t>
    </r>
    <r>
      <rPr>
        <i/>
        <sz val="11"/>
        <color theme="1"/>
        <rFont val="Liberation Sans"/>
        <family val="2"/>
      </rPr>
      <t>(must be typewritten)</t>
    </r>
  </si>
  <si>
    <t>Fill out the following tabs:
1, 2, 3 Information, 4a, 4b, 4c, 4d, 4e, 5a-b, 5c-d, 6a-b, 6c, 6d,   6e, 6f, 6g-h, 6i, 6j-n, 6o, 6p-t
Where modeling is used to demonstrate special circumstance usage, fill out tabs in addition to those listed above:
7, 8, 9a, 9b, 9c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</si>
</sst>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_(* #,##0_);_(* \(#,##0\);_(* &quot;-&quot;??_);_(@_)"/>
    <numFmt numFmtId="166" formatCode="0.000000000"/>
    <numFmt numFmtId="167" formatCode="0.000"/>
    <numFmt numFmtId="168" formatCode="&quot;$&quot;#,##0.000"/>
    <numFmt numFmtId="169" formatCode="_(* #,##0.000000000_);_(* \(#,##0.000000000\);_(* &quot;-&quot;??_);_(@_)"/>
    <numFmt numFmtId="170" formatCode="0.000000"/>
  </numFmts>
  <fonts count="58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u/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sz val="8"/>
      <color rgb="FF000000"/>
      <name val="Arial"/>
      <family val="2"/>
    </font>
    <font>
      <b/>
      <sz val="9"/>
      <color theme="1"/>
      <name val="Arial"/>
      <family val="2"/>
    </font>
    <font>
      <sz val="11"/>
      <color theme="1"/>
      <name val="Liberation Sans"/>
      <family val="2"/>
    </font>
    <font>
      <b/>
      <sz val="11"/>
      <color theme="10"/>
      <name val="Liberation Sans"/>
      <family val="2"/>
    </font>
    <font>
      <sz val="11"/>
      <color rgb="FFFF0000"/>
      <name val="Liberation Sans"/>
      <family val="2"/>
    </font>
    <font>
      <b/>
      <sz val="8"/>
      <color theme="1"/>
      <name val="Liberation Sans"/>
      <family val="2"/>
    </font>
    <font>
      <sz val="8"/>
      <color theme="1"/>
      <name val="Liberation Sans"/>
      <family val="2"/>
    </font>
    <font>
      <sz val="8"/>
      <name val="Liberation Sans"/>
      <family val="2"/>
    </font>
    <font>
      <b/>
      <sz val="10"/>
      <color theme="1"/>
      <name val="Liberation Sans"/>
      <family val="2"/>
    </font>
    <font>
      <b/>
      <sz val="9"/>
      <color theme="1"/>
      <name val="Liberation Sans"/>
      <family val="2"/>
    </font>
    <font>
      <sz val="9"/>
      <color theme="1"/>
      <name val="Liberation Sans"/>
      <family val="2"/>
    </font>
    <font>
      <i/>
      <sz val="11"/>
      <color theme="1"/>
      <name val="Liberation Sans"/>
      <family val="2"/>
    </font>
    <font>
      <sz val="10"/>
      <color theme="1"/>
      <name val="Liberation Sans"/>
      <family val="2"/>
    </font>
    <font>
      <sz val="7"/>
      <color theme="1"/>
      <name val="Liberation Sans"/>
      <family val="2"/>
    </font>
    <font>
      <vertAlign val="subscript"/>
      <sz val="9"/>
      <color theme="1"/>
      <name val="Liberation Sans"/>
      <family val="2"/>
    </font>
    <font>
      <b/>
      <sz val="11"/>
      <color theme="1"/>
      <name val="Liberation Sans"/>
      <family val="2"/>
    </font>
    <font>
      <b/>
      <sz val="8"/>
      <name val="Liberation Sans"/>
      <family val="2"/>
    </font>
    <font>
      <b/>
      <sz val="10"/>
      <name val="Liberation Sans"/>
      <family val="2"/>
    </font>
    <font>
      <b/>
      <sz val="9"/>
      <name val="Liberation Sans"/>
      <family val="2"/>
    </font>
    <font>
      <sz val="11"/>
      <name val="Liberation Sans"/>
      <family val="2"/>
    </font>
    <font>
      <b/>
      <sz val="10"/>
      <color rgb="FFFF0000"/>
      <name val="Liberation Sans"/>
      <family val="2"/>
    </font>
    <font>
      <sz val="10"/>
      <color theme="0"/>
      <name val="Liberation Sans"/>
      <family val="2"/>
    </font>
    <font>
      <vertAlign val="superscript"/>
      <sz val="8"/>
      <name val="Liberation Sans"/>
      <family val="2"/>
    </font>
    <font>
      <i/>
      <sz val="8"/>
      <name val="Liberation Sans"/>
      <family val="2"/>
    </font>
    <font>
      <b/>
      <sz val="10"/>
      <color rgb="FF000000"/>
      <name val="Liberation Sans"/>
      <family val="2"/>
    </font>
    <font>
      <b/>
      <sz val="8"/>
      <color rgb="FF000000"/>
      <name val="Liberation Sans"/>
      <family val="2"/>
    </font>
    <font>
      <sz val="8"/>
      <color rgb="FF000000"/>
      <name val="Liberation Sans"/>
      <family val="2"/>
    </font>
    <font>
      <b/>
      <sz val="11"/>
      <color rgb="FF000000"/>
      <name val="Liberation Sans"/>
      <family val="2"/>
    </font>
    <font>
      <sz val="11"/>
      <color theme="0"/>
      <name val="Liberation Sans"/>
      <family val="2"/>
    </font>
    <font>
      <b/>
      <sz val="11"/>
      <color theme="0"/>
      <name val="Liberation Sans"/>
      <family val="2"/>
    </font>
    <font>
      <i/>
      <sz val="10"/>
      <color theme="0"/>
      <name val="Liberation Sans"/>
      <family val="2"/>
    </font>
    <font>
      <b/>
      <sz val="12"/>
      <color theme="0"/>
      <name val="Liberation Sans"/>
      <family val="2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theme="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9" borderId="0" applyNumberFormat="0" applyBorder="0" applyAlignment="0" applyProtection="0"/>
    <xf numFmtId="0" fontId="18" fillId="10" borderId="0" applyNumberFormat="0" applyBorder="0" applyAlignment="0" applyProtection="0"/>
    <xf numFmtId="0" fontId="19" fillId="11" borderId="28" applyNumberFormat="0" applyAlignment="0" applyProtection="0"/>
    <xf numFmtId="43" fontId="21" fillId="0" borderId="0" applyFont="0" applyFill="0" applyBorder="0" applyAlignment="0" applyProtection="0"/>
    <xf numFmtId="0" fontId="8" fillId="0" borderId="0"/>
    <xf numFmtId="0" fontId="24" fillId="0" borderId="0" applyNumberFormat="0" applyFill="0" applyBorder="0" applyAlignment="0" applyProtection="0"/>
  </cellStyleXfs>
  <cellXfs count="543">
    <xf numFmtId="0" fontId="0" fillId="0" borderId="0" xfId="0"/>
    <xf numFmtId="0" fontId="1" fillId="0" borderId="0" xfId="0" applyFont="1"/>
    <xf numFmtId="2" fontId="0" fillId="0" borderId="0" xfId="0" applyNumberFormat="1"/>
    <xf numFmtId="0" fontId="7" fillId="0" borderId="0" xfId="0" applyNumberFormat="1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2" fontId="7" fillId="0" borderId="0" xfId="0" applyNumberFormat="1" applyFont="1" applyBorder="1" applyAlignment="1">
      <alignment horizontal="center" textRotation="90" wrapText="1"/>
    </xf>
    <xf numFmtId="2" fontId="2" fillId="0" borderId="0" xfId="0" applyNumberFormat="1" applyFont="1" applyBorder="1" applyAlignment="1"/>
    <xf numFmtId="2" fontId="2" fillId="0" borderId="0" xfId="0" applyNumberFormat="1" applyFont="1" applyBorder="1"/>
    <xf numFmtId="0" fontId="14" fillId="0" borderId="0" xfId="0" applyFont="1"/>
    <xf numFmtId="0" fontId="0" fillId="0" borderId="0" xfId="0" applyAlignment="1"/>
    <xf numFmtId="0" fontId="0" fillId="0" borderId="0" xfId="0" applyNumberFormat="1"/>
    <xf numFmtId="0" fontId="2" fillId="0" borderId="0" xfId="0" applyFont="1" applyFill="1" applyBorder="1"/>
    <xf numFmtId="165" fontId="5" fillId="0" borderId="1" xfId="9" applyNumberFormat="1" applyFont="1" applyBorder="1" applyAlignment="1" applyProtection="1">
      <alignment vertical="center" wrapText="1"/>
      <protection locked="0"/>
    </xf>
    <xf numFmtId="165" fontId="5" fillId="0" borderId="1" xfId="9" applyNumberFormat="1" applyFont="1" applyBorder="1" applyAlignment="1" applyProtection="1">
      <alignment horizontal="right" vertical="center" wrapText="1"/>
      <protection locked="0"/>
    </xf>
    <xf numFmtId="0" fontId="5" fillId="0" borderId="1" xfId="0" applyFont="1" applyBorder="1" applyAlignment="1" applyProtection="1">
      <alignment horizontal="right" vertical="center" wrapText="1"/>
      <protection locked="0"/>
    </xf>
    <xf numFmtId="165" fontId="5" fillId="4" borderId="1" xfId="9" applyNumberFormat="1" applyFont="1" applyFill="1" applyBorder="1" applyAlignment="1" applyProtection="1">
      <alignment vertical="center" wrapText="1"/>
      <protection hidden="1"/>
    </xf>
    <xf numFmtId="0" fontId="18" fillId="10" borderId="10" xfId="13" applyBorder="1"/>
    <xf numFmtId="0" fontId="0" fillId="8" borderId="11" xfId="0" applyFill="1" applyBorder="1"/>
    <xf numFmtId="0" fontId="10" fillId="9" borderId="11" xfId="12" applyBorder="1"/>
    <xf numFmtId="0" fontId="10" fillId="9" borderId="12" xfId="12" applyBorder="1"/>
    <xf numFmtId="0" fontId="0" fillId="0" borderId="14" xfId="0" applyBorder="1"/>
    <xf numFmtId="0" fontId="0" fillId="0" borderId="0" xfId="0" applyBorder="1"/>
    <xf numFmtId="0" fontId="0" fillId="0" borderId="15" xfId="0" applyBorder="1" applyAlignment="1"/>
    <xf numFmtId="0" fontId="0" fillId="0" borderId="15" xfId="0" applyBorder="1"/>
    <xf numFmtId="0" fontId="0" fillId="0" borderId="15" xfId="0" applyBorder="1" applyAlignment="1">
      <alignment wrapText="1"/>
    </xf>
    <xf numFmtId="0" fontId="0" fillId="0" borderId="6" xfId="0" applyBorder="1"/>
    <xf numFmtId="0" fontId="0" fillId="0" borderId="2" xfId="0" applyBorder="1"/>
    <xf numFmtId="0" fontId="0" fillId="0" borderId="8" xfId="0" applyBorder="1"/>
    <xf numFmtId="0" fontId="19" fillId="11" borderId="28" xfId="14"/>
    <xf numFmtId="0" fontId="0" fillId="0" borderId="1" xfId="0" applyBorder="1"/>
    <xf numFmtId="0" fontId="8" fillId="0" borderId="0" xfId="1"/>
    <xf numFmtId="0" fontId="0" fillId="0" borderId="14" xfId="0" applyBorder="1" applyAlignment="1">
      <alignment horizontal="center" vertical="top" wrapText="1"/>
    </xf>
    <xf numFmtId="0" fontId="17" fillId="0" borderId="0" xfId="0" applyFont="1"/>
    <xf numFmtId="167" fontId="0" fillId="0" borderId="0" xfId="0" applyNumberFormat="1"/>
    <xf numFmtId="9" fontId="5" fillId="4" borderId="1" xfId="11" applyFont="1" applyFill="1" applyBorder="1" applyAlignment="1" applyProtection="1">
      <alignment vertical="center" wrapText="1"/>
      <protection hidden="1"/>
    </xf>
    <xf numFmtId="0" fontId="17" fillId="0" borderId="0" xfId="0" applyFont="1" applyAlignment="1">
      <alignment horizontal="center"/>
    </xf>
    <xf numFmtId="0" fontId="17" fillId="5" borderId="32" xfId="0" applyFont="1" applyFill="1" applyBorder="1" applyAlignment="1">
      <alignment horizontal="center"/>
    </xf>
    <xf numFmtId="0" fontId="17" fillId="5" borderId="33" xfId="0" applyFont="1" applyFill="1" applyBorder="1" applyAlignment="1">
      <alignment horizontal="center"/>
    </xf>
    <xf numFmtId="0" fontId="17" fillId="5" borderId="34" xfId="0" applyFont="1" applyFill="1" applyBorder="1" applyAlignment="1">
      <alignment horizontal="center"/>
    </xf>
    <xf numFmtId="0" fontId="0" fillId="0" borderId="31" xfId="0" applyBorder="1"/>
    <xf numFmtId="0" fontId="0" fillId="0" borderId="19" xfId="0" applyBorder="1"/>
    <xf numFmtId="0" fontId="0" fillId="0" borderId="23" xfId="0" applyBorder="1"/>
    <xf numFmtId="0" fontId="0" fillId="0" borderId="36" xfId="0" applyBorder="1"/>
    <xf numFmtId="0" fontId="0" fillId="0" borderId="20" xfId="0" applyBorder="1"/>
    <xf numFmtId="0" fontId="17" fillId="5" borderId="0" xfId="0" applyFont="1" applyFill="1" applyBorder="1" applyAlignment="1">
      <alignment horizontal="center"/>
    </xf>
    <xf numFmtId="0" fontId="0" fillId="0" borderId="0" xfId="0" applyFill="1" applyBorder="1"/>
    <xf numFmtId="2" fontId="2" fillId="0" borderId="0" xfId="0" applyNumberFormat="1" applyFont="1" applyFill="1" applyBorder="1"/>
    <xf numFmtId="14" fontId="5" fillId="0" borderId="1" xfId="9" applyNumberFormat="1" applyFont="1" applyBorder="1" applyAlignment="1" applyProtection="1">
      <alignment vertical="center" wrapText="1"/>
      <protection locked="0"/>
    </xf>
    <xf numFmtId="1" fontId="1" fillId="4" borderId="1" xfId="10" applyNumberFormat="1" applyFont="1" applyFill="1" applyBorder="1" applyAlignment="1" applyProtection="1">
      <alignment vertical="center" wrapText="1"/>
      <protection hidden="1"/>
    </xf>
    <xf numFmtId="0" fontId="1" fillId="0" borderId="1" xfId="0" applyFont="1" applyBorder="1"/>
    <xf numFmtId="0" fontId="22" fillId="0" borderId="0" xfId="0" applyFont="1"/>
    <xf numFmtId="0" fontId="11" fillId="0" borderId="0" xfId="0" applyFont="1"/>
    <xf numFmtId="0" fontId="1" fillId="0" borderId="0" xfId="0" applyFont="1" applyAlignment="1">
      <alignment wrapText="1"/>
    </xf>
    <xf numFmtId="0" fontId="23" fillId="0" borderId="0" xfId="0" applyFont="1"/>
    <xf numFmtId="0" fontId="24" fillId="0" borderId="0" xfId="17"/>
    <xf numFmtId="9" fontId="0" fillId="0" borderId="0" xfId="11" applyFont="1"/>
    <xf numFmtId="9" fontId="6" fillId="4" borderId="1" xfId="11" applyFont="1" applyFill="1" applyBorder="1" applyAlignment="1" applyProtection="1">
      <alignment vertical="center" wrapText="1"/>
      <protection hidden="1"/>
    </xf>
    <xf numFmtId="9" fontId="5" fillId="4" borderId="1" xfId="11" applyFont="1" applyFill="1" applyBorder="1" applyAlignment="1" applyProtection="1">
      <alignment horizontal="center" vertical="center" wrapText="1"/>
      <protection hidden="1"/>
    </xf>
    <xf numFmtId="0" fontId="1" fillId="0" borderId="0" xfId="0" quotePrefix="1" applyFont="1" applyAlignment="1">
      <alignment horizontal="left" wrapText="1"/>
    </xf>
    <xf numFmtId="0" fontId="6" fillId="0" borderId="0" xfId="0" applyFont="1" applyFill="1" applyBorder="1" applyAlignment="1">
      <alignment horizontal="center" vertical="center" wrapText="1"/>
    </xf>
    <xf numFmtId="1" fontId="1" fillId="0" borderId="0" xfId="10" applyNumberFormat="1" applyFont="1" applyFill="1" applyBorder="1" applyAlignment="1" applyProtection="1">
      <alignment vertical="center" wrapText="1"/>
      <protection hidden="1"/>
    </xf>
    <xf numFmtId="0" fontId="5" fillId="2" borderId="3" xfId="0" applyFont="1" applyFill="1" applyBorder="1" applyAlignment="1">
      <alignment vertical="center" wrapText="1"/>
    </xf>
    <xf numFmtId="164" fontId="5" fillId="4" borderId="1" xfId="11" applyNumberFormat="1" applyFont="1" applyFill="1" applyBorder="1" applyAlignment="1" applyProtection="1">
      <alignment vertical="center" wrapText="1"/>
      <protection hidden="1"/>
    </xf>
    <xf numFmtId="0" fontId="6" fillId="0" borderId="0" xfId="0" applyFont="1" applyFill="1" applyBorder="1" applyAlignment="1">
      <alignment vertical="center" wrapText="1"/>
    </xf>
    <xf numFmtId="165" fontId="5" fillId="4" borderId="1" xfId="9" applyNumberFormat="1" applyFont="1" applyFill="1" applyBorder="1" applyAlignment="1" applyProtection="1">
      <alignment horizontal="left" vertical="center" wrapText="1"/>
      <protection hidden="1"/>
    </xf>
    <xf numFmtId="2" fontId="7" fillId="0" borderId="0" xfId="0" applyNumberFormat="1" applyFont="1" applyFill="1" applyBorder="1" applyAlignment="1">
      <alignment horizontal="center" textRotation="90" wrapText="1"/>
    </xf>
    <xf numFmtId="0" fontId="0" fillId="4" borderId="0" xfId="0" applyFill="1"/>
    <xf numFmtId="0" fontId="0" fillId="4" borderId="0" xfId="0" quotePrefix="1" applyFill="1" applyAlignment="1">
      <alignment horizontal="left"/>
    </xf>
    <xf numFmtId="2" fontId="0" fillId="4" borderId="0" xfId="0" applyNumberFormat="1" applyFill="1"/>
    <xf numFmtId="0" fontId="0" fillId="4" borderId="0" xfId="0" applyFill="1" applyAlignment="1">
      <alignment horizontal="left"/>
    </xf>
    <xf numFmtId="0" fontId="0" fillId="14" borderId="0" xfId="0" applyFill="1"/>
    <xf numFmtId="0" fontId="14" fillId="14" borderId="0" xfId="0" applyFont="1" applyFill="1"/>
    <xf numFmtId="0" fontId="0" fillId="0" borderId="0" xfId="0" quotePrefix="1" applyAlignment="1">
      <alignment horizontal="left" wrapText="1"/>
    </xf>
    <xf numFmtId="0" fontId="5" fillId="2" borderId="1" xfId="0" quotePrefix="1" applyFont="1" applyFill="1" applyBorder="1" applyAlignment="1" applyProtection="1">
      <alignment horizontal="left" vertical="center" wrapText="1"/>
      <protection hidden="1"/>
    </xf>
    <xf numFmtId="0" fontId="1" fillId="16" borderId="1" xfId="0" applyFont="1" applyFill="1" applyBorder="1" applyProtection="1">
      <protection hidden="1"/>
    </xf>
    <xf numFmtId="0" fontId="5" fillId="0" borderId="1" xfId="0" applyFont="1" applyBorder="1" applyAlignment="1" applyProtection="1">
      <alignment horizontal="right" vertical="center" wrapText="1"/>
      <protection hidden="1"/>
    </xf>
    <xf numFmtId="0" fontId="17" fillId="0" borderId="1" xfId="0" applyFont="1" applyBorder="1" applyAlignment="1">
      <alignment wrapText="1"/>
    </xf>
    <xf numFmtId="0" fontId="17" fillId="0" borderId="1" xfId="0" applyFont="1" applyBorder="1"/>
    <xf numFmtId="14" fontId="0" fillId="0" borderId="1" xfId="0" applyNumberFormat="1" applyBorder="1"/>
    <xf numFmtId="169" fontId="1" fillId="4" borderId="1" xfId="9" applyNumberFormat="1" applyFont="1" applyFill="1" applyBorder="1" applyAlignment="1" applyProtection="1">
      <alignment horizontal="right" wrapText="1"/>
      <protection hidden="1"/>
    </xf>
    <xf numFmtId="166" fontId="1" fillId="16" borderId="1" xfId="0" applyNumberFormat="1" applyFont="1" applyFill="1" applyBorder="1" applyProtection="1">
      <protection hidden="1"/>
    </xf>
    <xf numFmtId="166" fontId="1" fillId="15" borderId="1" xfId="0" applyNumberFormat="1" applyFont="1" applyFill="1" applyBorder="1" applyProtection="1">
      <protection locked="0"/>
    </xf>
    <xf numFmtId="0" fontId="13" fillId="6" borderId="1" xfId="0" applyFont="1" applyFill="1" applyBorder="1" applyAlignment="1" applyProtection="1">
      <alignment horizontal="left" vertical="center" wrapText="1"/>
      <protection locked="0" hidden="1"/>
    </xf>
    <xf numFmtId="1" fontId="5" fillId="4" borderId="1" xfId="10" applyNumberFormat="1" applyFont="1" applyFill="1" applyBorder="1" applyAlignment="1" applyProtection="1">
      <alignment vertical="center" wrapText="1"/>
      <protection hidden="1"/>
    </xf>
    <xf numFmtId="3" fontId="26" fillId="0" borderId="47" xfId="0" applyNumberFormat="1" applyFont="1" applyBorder="1" applyAlignment="1" applyProtection="1">
      <alignment horizontal="center" vertical="center" wrapText="1"/>
      <protection locked="0"/>
    </xf>
    <xf numFmtId="166" fontId="0" fillId="0" borderId="1" xfId="0" applyNumberFormat="1" applyBorder="1"/>
    <xf numFmtId="0" fontId="17" fillId="0" borderId="5" xfId="0" applyFont="1" applyBorder="1"/>
    <xf numFmtId="0" fontId="0" fillId="0" borderId="5" xfId="0" quotePrefix="1" applyBorder="1" applyAlignment="1">
      <alignment horizontal="left"/>
    </xf>
    <xf numFmtId="0" fontId="6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vertical="center" wrapText="1"/>
      <protection hidden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28" fillId="0" borderId="0" xfId="0" applyFont="1"/>
    <xf numFmtId="0" fontId="29" fillId="0" borderId="0" xfId="17" applyFont="1"/>
    <xf numFmtId="0" fontId="28" fillId="12" borderId="1" xfId="8" applyFont="1" applyFill="1" applyBorder="1" applyAlignment="1" applyProtection="1">
      <alignment horizontal="left" vertical="center" wrapText="1"/>
      <protection hidden="1"/>
    </xf>
    <xf numFmtId="0" fontId="31" fillId="2" borderId="1" xfId="0" applyFont="1" applyFill="1" applyBorder="1" applyAlignment="1" applyProtection="1">
      <alignment vertical="center" wrapText="1"/>
      <protection hidden="1"/>
    </xf>
    <xf numFmtId="0" fontId="32" fillId="2" borderId="13" xfId="0" applyFont="1" applyFill="1" applyBorder="1" applyAlignment="1" applyProtection="1">
      <alignment horizontal="center" vertical="center" wrapText="1"/>
      <protection hidden="1"/>
    </xf>
    <xf numFmtId="0" fontId="32" fillId="2" borderId="1" xfId="0" applyFont="1" applyFill="1" applyBorder="1" applyAlignment="1" applyProtection="1">
      <alignment vertical="center" wrapText="1"/>
      <protection hidden="1"/>
    </xf>
    <xf numFmtId="0" fontId="32" fillId="0" borderId="0" xfId="0" applyFont="1"/>
    <xf numFmtId="0" fontId="32" fillId="0" borderId="1" xfId="0" applyFont="1" applyBorder="1" applyAlignment="1" applyProtection="1">
      <alignment vertical="center" wrapText="1"/>
      <protection locked="0"/>
    </xf>
    <xf numFmtId="168" fontId="32" fillId="0" borderId="1" xfId="0" applyNumberFormat="1" applyFont="1" applyBorder="1" applyAlignment="1" applyProtection="1">
      <alignment vertical="center" wrapText="1"/>
      <protection locked="0"/>
    </xf>
    <xf numFmtId="44" fontId="32" fillId="0" borderId="1" xfId="10" applyFont="1" applyBorder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horizontal="right" vertical="center" wrapText="1"/>
      <protection locked="0"/>
    </xf>
    <xf numFmtId="0" fontId="32" fillId="2" borderId="1" xfId="0" applyFont="1" applyFill="1" applyBorder="1" applyAlignment="1">
      <alignment vertical="center" wrapText="1"/>
    </xf>
    <xf numFmtId="44" fontId="32" fillId="4" borderId="1" xfId="10" applyFont="1" applyFill="1" applyBorder="1" applyAlignment="1" applyProtection="1">
      <alignment vertical="center" wrapText="1"/>
      <protection hidden="1"/>
    </xf>
    <xf numFmtId="0" fontId="28" fillId="0" borderId="0" xfId="0" applyNumberFormat="1" applyFont="1"/>
    <xf numFmtId="0" fontId="31" fillId="2" borderId="1" xfId="0" quotePrefix="1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vertical="center" wrapText="1"/>
    </xf>
    <xf numFmtId="167" fontId="32" fillId="4" borderId="1" xfId="10" applyNumberFormat="1" applyFont="1" applyFill="1" applyBorder="1" applyAlignment="1" applyProtection="1">
      <alignment vertical="center" wrapText="1"/>
      <protection hidden="1"/>
    </xf>
    <xf numFmtId="0" fontId="33" fillId="13" borderId="1" xfId="0" applyFont="1" applyFill="1" applyBorder="1" applyAlignment="1" applyProtection="1">
      <alignment horizontal="center" vertical="center" wrapText="1"/>
      <protection locked="0"/>
    </xf>
    <xf numFmtId="165" fontId="33" fillId="0" borderId="1" xfId="9" applyNumberFormat="1" applyFont="1" applyFill="1" applyBorder="1" applyAlignment="1" applyProtection="1">
      <alignment horizontal="center" vertical="center" wrapText="1"/>
      <protection locked="0"/>
    </xf>
    <xf numFmtId="165" fontId="32" fillId="4" borderId="1" xfId="9" applyNumberFormat="1" applyFont="1" applyFill="1" applyBorder="1" applyAlignment="1" applyProtection="1">
      <alignment vertical="center" wrapText="1"/>
      <protection hidden="1"/>
    </xf>
    <xf numFmtId="0" fontId="28" fillId="0" borderId="0" xfId="0" applyFont="1" applyBorder="1" applyAlignment="1"/>
    <xf numFmtId="2" fontId="28" fillId="0" borderId="0" xfId="0" applyNumberFormat="1" applyFont="1"/>
    <xf numFmtId="0" fontId="33" fillId="13" borderId="1" xfId="0" quotePrefix="1" applyFont="1" applyFill="1" applyBorder="1" applyAlignment="1" applyProtection="1">
      <alignment horizontal="center" vertical="center" wrapText="1"/>
      <protection locked="0"/>
    </xf>
    <xf numFmtId="1" fontId="32" fillId="4" borderId="1" xfId="10" applyNumberFormat="1" applyFont="1" applyFill="1" applyBorder="1" applyAlignment="1" applyProtection="1">
      <alignment vertical="center" wrapText="1"/>
      <protection hidden="1"/>
    </xf>
    <xf numFmtId="2" fontId="32" fillId="4" borderId="1" xfId="10" applyNumberFormat="1" applyFont="1" applyFill="1" applyBorder="1" applyAlignment="1" applyProtection="1">
      <alignment vertical="center" wrapText="1"/>
      <protection hidden="1"/>
    </xf>
    <xf numFmtId="0" fontId="34" fillId="2" borderId="1" xfId="0" applyFont="1" applyFill="1" applyBorder="1" applyAlignment="1" applyProtection="1">
      <alignment vertical="center" wrapText="1"/>
      <protection hidden="1"/>
    </xf>
    <xf numFmtId="0" fontId="35" fillId="2" borderId="1" xfId="0" quotePrefix="1" applyFont="1" applyFill="1" applyBorder="1" applyAlignment="1">
      <alignment horizontal="left" vertical="center" wrapText="1"/>
    </xf>
    <xf numFmtId="0" fontId="35" fillId="2" borderId="1" xfId="0" applyFont="1" applyFill="1" applyBorder="1" applyAlignment="1" applyProtection="1">
      <alignment vertical="center" wrapText="1"/>
      <protection hidden="1"/>
    </xf>
    <xf numFmtId="0" fontId="35" fillId="2" borderId="1" xfId="0" applyFont="1" applyFill="1" applyBorder="1" applyAlignment="1">
      <alignment vertical="center" wrapText="1"/>
    </xf>
    <xf numFmtId="0" fontId="32" fillId="2" borderId="1" xfId="0" quotePrefix="1" applyFont="1" applyFill="1" applyBorder="1" applyAlignment="1" applyProtection="1">
      <alignment horizontal="left" vertical="center" wrapText="1"/>
      <protection hidden="1"/>
    </xf>
    <xf numFmtId="165" fontId="32" fillId="4" borderId="1" xfId="9" applyNumberFormat="1" applyFont="1" applyFill="1" applyBorder="1" applyAlignment="1" applyProtection="1">
      <alignment horizontal="left" vertical="center" wrapText="1"/>
      <protection hidden="1"/>
    </xf>
    <xf numFmtId="0" fontId="28" fillId="0" borderId="0" xfId="0" applyFont="1" applyProtection="1">
      <protection hidden="1"/>
    </xf>
    <xf numFmtId="9" fontId="32" fillId="4" borderId="1" xfId="11" applyNumberFormat="1" applyFont="1" applyFill="1" applyBorder="1" applyAlignment="1" applyProtection="1">
      <alignment vertical="center" wrapText="1"/>
      <protection hidden="1"/>
    </xf>
    <xf numFmtId="9" fontId="32" fillId="4" borderId="1" xfId="11" applyFont="1" applyFill="1" applyBorder="1" applyAlignment="1" applyProtection="1">
      <alignment vertical="center" wrapText="1"/>
      <protection hidden="1"/>
    </xf>
    <xf numFmtId="0" fontId="28" fillId="0" borderId="0" xfId="0" applyFont="1" applyAlignment="1">
      <alignment horizontal="right" vertical="center" wrapText="1"/>
    </xf>
    <xf numFmtId="0" fontId="28" fillId="0" borderId="0" xfId="0" applyFont="1" applyAlignment="1">
      <alignment vertical="center" wrapText="1"/>
    </xf>
    <xf numFmtId="0" fontId="38" fillId="0" borderId="0" xfId="0" applyFont="1" applyAlignment="1">
      <alignment vertical="center"/>
    </xf>
    <xf numFmtId="0" fontId="38" fillId="0" borderId="20" xfId="0" applyFont="1" applyBorder="1" applyAlignment="1" applyProtection="1">
      <alignment vertical="center" wrapText="1"/>
      <protection locked="0"/>
    </xf>
    <xf numFmtId="0" fontId="38" fillId="0" borderId="16" xfId="0" applyFont="1" applyBorder="1" applyAlignment="1" applyProtection="1">
      <alignment vertical="center" wrapText="1"/>
      <protection locked="0"/>
    </xf>
    <xf numFmtId="0" fontId="38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/>
    </xf>
    <xf numFmtId="0" fontId="34" fillId="0" borderId="16" xfId="0" applyFont="1" applyBorder="1" applyAlignment="1">
      <alignment vertical="center" wrapText="1"/>
    </xf>
    <xf numFmtId="0" fontId="36" fillId="0" borderId="37" xfId="0" applyFont="1" applyBorder="1" applyAlignment="1">
      <alignment horizontal="right" vertical="center"/>
    </xf>
    <xf numFmtId="0" fontId="36" fillId="0" borderId="33" xfId="0" applyFont="1" applyBorder="1" applyAlignment="1" applyProtection="1">
      <alignment horizontal="right" vertical="center"/>
      <protection hidden="1"/>
    </xf>
    <xf numFmtId="44" fontId="32" fillId="4" borderId="34" xfId="10" applyFont="1" applyFill="1" applyBorder="1" applyAlignment="1" applyProtection="1">
      <alignment vertical="center" wrapText="1"/>
      <protection hidden="1"/>
    </xf>
    <xf numFmtId="0" fontId="36" fillId="0" borderId="26" xfId="0" applyFont="1" applyBorder="1" applyAlignment="1">
      <alignment horizontal="right" vertical="center"/>
    </xf>
    <xf numFmtId="0" fontId="36" fillId="0" borderId="7" xfId="0" applyFont="1" applyBorder="1" applyAlignment="1" applyProtection="1">
      <alignment horizontal="right" vertical="center"/>
      <protection hidden="1"/>
    </xf>
    <xf numFmtId="2" fontId="32" fillId="4" borderId="29" xfId="9" applyNumberFormat="1" applyFont="1" applyFill="1" applyBorder="1" applyAlignment="1" applyProtection="1">
      <alignment vertical="center" wrapText="1"/>
      <protection hidden="1"/>
    </xf>
    <xf numFmtId="0" fontId="36" fillId="0" borderId="25" xfId="0" applyFont="1" applyBorder="1" applyAlignment="1">
      <alignment horizontal="right" vertical="center"/>
    </xf>
    <xf numFmtId="0" fontId="36" fillId="0" borderId="35" xfId="0" applyFont="1" applyBorder="1" applyAlignment="1" applyProtection="1">
      <alignment horizontal="right" vertical="center"/>
      <protection hidden="1"/>
    </xf>
    <xf numFmtId="170" fontId="32" fillId="4" borderId="30" xfId="9" applyNumberFormat="1" applyFont="1" applyFill="1" applyBorder="1" applyAlignment="1" applyProtection="1">
      <alignment vertical="center" wrapText="1"/>
      <protection hidden="1"/>
    </xf>
    <xf numFmtId="0" fontId="36" fillId="0" borderId="48" xfId="0" applyFont="1" applyBorder="1" applyAlignment="1">
      <alignment horizontal="right" vertical="center"/>
    </xf>
    <xf numFmtId="10" fontId="32" fillId="4" borderId="34" xfId="11" applyNumberFormat="1" applyFont="1" applyFill="1" applyBorder="1" applyAlignment="1" applyProtection="1">
      <alignment vertical="center" wrapText="1"/>
      <protection hidden="1"/>
    </xf>
    <xf numFmtId="10" fontId="32" fillId="4" borderId="29" xfId="11" applyNumberFormat="1" applyFont="1" applyFill="1" applyBorder="1" applyAlignment="1" applyProtection="1">
      <alignment vertical="center" wrapText="1"/>
      <protection hidden="1"/>
    </xf>
    <xf numFmtId="10" fontId="32" fillId="4" borderId="30" xfId="11" applyNumberFormat="1" applyFont="1" applyFill="1" applyBorder="1" applyAlignment="1" applyProtection="1">
      <alignment vertical="center" wrapText="1"/>
      <protection hidden="1"/>
    </xf>
    <xf numFmtId="0" fontId="28" fillId="0" borderId="0" xfId="0" applyFont="1" applyBorder="1"/>
    <xf numFmtId="0" fontId="28" fillId="0" borderId="0" xfId="0" applyFont="1" applyAlignment="1"/>
    <xf numFmtId="0" fontId="37" fillId="0" borderId="0" xfId="0" applyFont="1" applyAlignment="1">
      <alignment vertical="center"/>
    </xf>
    <xf numFmtId="0" fontId="34" fillId="0" borderId="16" xfId="0" applyFont="1" applyBorder="1" applyAlignment="1">
      <alignment horizontal="left" vertical="center" wrapText="1"/>
    </xf>
    <xf numFmtId="0" fontId="38" fillId="0" borderId="0" xfId="0" applyFont="1"/>
    <xf numFmtId="0" fontId="33" fillId="2" borderId="1" xfId="0" applyFont="1" applyFill="1" applyBorder="1" applyAlignment="1" applyProtection="1">
      <alignment vertical="center" wrapText="1"/>
      <protection hidden="1"/>
    </xf>
    <xf numFmtId="0" fontId="33" fillId="0" borderId="1" xfId="0" applyFont="1" applyBorder="1" applyAlignment="1" applyProtection="1">
      <alignment vertical="center" wrapText="1"/>
      <protection locked="0"/>
    </xf>
    <xf numFmtId="0" fontId="33" fillId="6" borderId="1" xfId="0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Border="1"/>
    <xf numFmtId="0" fontId="33" fillId="0" borderId="0" xfId="0" applyFont="1" applyBorder="1" applyAlignment="1" applyProtection="1">
      <alignment vertical="center" wrapText="1"/>
      <protection locked="0"/>
    </xf>
    <xf numFmtId="0" fontId="33" fillId="2" borderId="3" xfId="0" applyFont="1" applyFill="1" applyBorder="1" applyAlignment="1" applyProtection="1">
      <alignment vertical="center" wrapText="1"/>
      <protection hidden="1"/>
    </xf>
    <xf numFmtId="0" fontId="41" fillId="0" borderId="0" xfId="0" applyFont="1"/>
    <xf numFmtId="0" fontId="31" fillId="0" borderId="0" xfId="0" applyFont="1" applyBorder="1"/>
    <xf numFmtId="0" fontId="27" fillId="2" borderId="1" xfId="0" quotePrefix="1" applyFont="1" applyFill="1" applyBorder="1" applyAlignment="1">
      <alignment horizontal="left" vertical="center" wrapText="1"/>
    </xf>
    <xf numFmtId="0" fontId="34" fillId="2" borderId="1" xfId="0" applyFont="1" applyFill="1" applyBorder="1" applyAlignment="1">
      <alignment horizontal="left" vertical="center" wrapText="1"/>
    </xf>
    <xf numFmtId="0" fontId="43" fillId="2" borderId="1" xfId="0" applyFont="1" applyFill="1" applyBorder="1" applyAlignment="1" applyProtection="1">
      <alignment vertical="center" wrapText="1"/>
      <protection hidden="1"/>
    </xf>
    <xf numFmtId="0" fontId="42" fillId="2" borderId="1" xfId="0" applyFont="1" applyFill="1" applyBorder="1" applyAlignment="1">
      <alignment vertical="center"/>
    </xf>
    <xf numFmtId="0" fontId="32" fillId="4" borderId="1" xfId="8" applyFont="1" applyFill="1" applyBorder="1" applyAlignment="1" applyProtection="1">
      <alignment horizontal="center" vertical="center" wrapText="1"/>
      <protection hidden="1"/>
    </xf>
    <xf numFmtId="0" fontId="28" fillId="0" borderId="0" xfId="0" applyFont="1" applyBorder="1" applyProtection="1">
      <protection locked="0"/>
    </xf>
    <xf numFmtId="0" fontId="34" fillId="0" borderId="0" xfId="0" applyFont="1"/>
    <xf numFmtId="0" fontId="34" fillId="0" borderId="0" xfId="0" applyFont="1" applyBorder="1"/>
    <xf numFmtId="0" fontId="32" fillId="12" borderId="1" xfId="8" applyFont="1" applyFill="1" applyBorder="1" applyAlignment="1" applyProtection="1">
      <alignment horizontal="center" vertical="center" wrapText="1"/>
      <protection locked="0" hidden="1"/>
    </xf>
    <xf numFmtId="0" fontId="28" fillId="0" borderId="0" xfId="0" applyFont="1" applyAlignment="1">
      <alignment wrapText="1"/>
    </xf>
    <xf numFmtId="0" fontId="43" fillId="2" borderId="1" xfId="0" applyFont="1" applyFill="1" applyBorder="1" applyAlignment="1">
      <alignment vertical="center"/>
    </xf>
    <xf numFmtId="0" fontId="33" fillId="2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 applyProtection="1">
      <alignment horizontal="center" vertical="center" wrapText="1"/>
      <protection locked="0"/>
    </xf>
    <xf numFmtId="0" fontId="33" fillId="6" borderId="1" xfId="0" applyFont="1" applyFill="1" applyBorder="1" applyAlignment="1" applyProtection="1">
      <alignment vertical="center" wrapText="1"/>
      <protection locked="0"/>
    </xf>
    <xf numFmtId="0" fontId="33" fillId="2" borderId="1" xfId="0" applyFont="1" applyFill="1" applyBorder="1" applyAlignment="1">
      <alignment vertical="center" wrapText="1"/>
    </xf>
    <xf numFmtId="0" fontId="33" fillId="2" borderId="1" xfId="0" applyFont="1" applyFill="1" applyBorder="1" applyAlignment="1">
      <alignment horizontal="left" vertical="center" wrapText="1"/>
    </xf>
    <xf numFmtId="0" fontId="33" fillId="0" borderId="3" xfId="0" applyFont="1" applyBorder="1" applyAlignment="1" applyProtection="1">
      <alignment horizontal="center" vertical="center" wrapText="1"/>
      <protection locked="0"/>
    </xf>
    <xf numFmtId="0" fontId="43" fillId="2" borderId="1" xfId="0" applyFont="1" applyFill="1" applyBorder="1" applyAlignment="1">
      <alignment vertical="center" wrapText="1"/>
    </xf>
    <xf numFmtId="0" fontId="33" fillId="4" borderId="1" xfId="0" applyFont="1" applyFill="1" applyBorder="1" applyAlignment="1" applyProtection="1">
      <alignment vertical="center" wrapText="1"/>
      <protection hidden="1"/>
    </xf>
    <xf numFmtId="2" fontId="33" fillId="0" borderId="1" xfId="0" applyNumberFormat="1" applyFont="1" applyBorder="1" applyAlignment="1" applyProtection="1">
      <alignment vertical="center" wrapText="1"/>
      <protection locked="0"/>
    </xf>
    <xf numFmtId="165" fontId="33" fillId="4" borderId="1" xfId="9" applyNumberFormat="1" applyFont="1" applyFill="1" applyBorder="1" applyAlignment="1" applyProtection="1">
      <alignment vertical="center" wrapText="1"/>
      <protection hidden="1"/>
    </xf>
    <xf numFmtId="0" fontId="45" fillId="0" borderId="0" xfId="0" applyFont="1" applyFill="1"/>
    <xf numFmtId="2" fontId="45" fillId="0" borderId="0" xfId="0" applyNumberFormat="1" applyFont="1" applyFill="1"/>
    <xf numFmtId="0" fontId="28" fillId="0" borderId="0" xfId="0" applyFont="1" applyFill="1"/>
    <xf numFmtId="0" fontId="45" fillId="0" borderId="0" xfId="0" applyFont="1"/>
    <xf numFmtId="2" fontId="45" fillId="0" borderId="0" xfId="0" applyNumberFormat="1" applyFont="1"/>
    <xf numFmtId="0" fontId="42" fillId="2" borderId="1" xfId="0" applyFont="1" applyFill="1" applyBorder="1" applyAlignment="1">
      <alignment vertical="center" wrapText="1"/>
    </xf>
    <xf numFmtId="1" fontId="33" fillId="4" borderId="1" xfId="0" applyNumberFormat="1" applyFont="1" applyFill="1" applyBorder="1" applyAlignment="1" applyProtection="1">
      <alignment vertical="center" wrapText="1"/>
      <protection hidden="1"/>
    </xf>
    <xf numFmtId="0" fontId="33" fillId="2" borderId="1" xfId="0" applyFont="1" applyFill="1" applyBorder="1" applyAlignment="1" applyProtection="1">
      <alignment horizontal="center" vertical="center" wrapText="1"/>
      <protection hidden="1"/>
    </xf>
    <xf numFmtId="1" fontId="42" fillId="4" borderId="1" xfId="0" applyNumberFormat="1" applyFont="1" applyFill="1" applyBorder="1" applyAlignment="1" applyProtection="1">
      <alignment vertical="center" wrapText="1"/>
      <protection hidden="1"/>
    </xf>
    <xf numFmtId="0" fontId="42" fillId="4" borderId="1" xfId="0" applyFont="1" applyFill="1" applyBorder="1" applyAlignment="1" applyProtection="1">
      <alignment vertical="center" wrapText="1"/>
      <protection hidden="1"/>
    </xf>
    <xf numFmtId="0" fontId="46" fillId="0" borderId="0" xfId="0" applyFont="1"/>
    <xf numFmtId="0" fontId="38" fillId="0" borderId="0" xfId="8" applyFont="1" applyAlignment="1">
      <alignment vertical="center" wrapText="1"/>
    </xf>
    <xf numFmtId="0" fontId="34" fillId="6" borderId="1" xfId="8" applyFont="1" applyFill="1" applyBorder="1" applyAlignment="1" applyProtection="1">
      <alignment horizontal="center" vertical="center"/>
      <protection locked="0"/>
    </xf>
    <xf numFmtId="0" fontId="34" fillId="2" borderId="1" xfId="8" applyFont="1" applyFill="1" applyBorder="1" applyAlignment="1" applyProtection="1">
      <alignment horizontal="center" vertical="center"/>
      <protection hidden="1"/>
    </xf>
    <xf numFmtId="0" fontId="38" fillId="0" borderId="0" xfId="8" applyFont="1"/>
    <xf numFmtId="0" fontId="33" fillId="2" borderId="3" xfId="0" applyFont="1" applyFill="1" applyBorder="1" applyAlignment="1">
      <alignment vertical="center" wrapText="1"/>
    </xf>
    <xf numFmtId="0" fontId="32" fillId="2" borderId="1" xfId="8" applyFont="1" applyFill="1" applyBorder="1" applyAlignment="1">
      <alignment horizontal="center" wrapText="1"/>
    </xf>
    <xf numFmtId="0" fontId="32" fillId="4" borderId="1" xfId="8" applyFont="1" applyFill="1" applyBorder="1" applyAlignment="1" applyProtection="1">
      <alignment horizontal="center" vertical="center"/>
      <protection hidden="1"/>
    </xf>
    <xf numFmtId="2" fontId="32" fillId="4" borderId="3" xfId="8" applyNumberFormat="1" applyFont="1" applyFill="1" applyBorder="1" applyAlignment="1" applyProtection="1">
      <alignment horizontal="center" vertical="center"/>
      <protection hidden="1"/>
    </xf>
    <xf numFmtId="0" fontId="32" fillId="4" borderId="5" xfId="8" applyFont="1" applyFill="1" applyBorder="1" applyAlignment="1" applyProtection="1">
      <alignment vertical="center"/>
      <protection hidden="1"/>
    </xf>
    <xf numFmtId="0" fontId="47" fillId="0" borderId="0" xfId="8" applyFont="1"/>
    <xf numFmtId="2" fontId="47" fillId="0" borderId="0" xfId="8" applyNumberFormat="1" applyFont="1" applyAlignment="1">
      <alignment horizontal="center" vertical="center"/>
    </xf>
    <xf numFmtId="0" fontId="32" fillId="2" borderId="1" xfId="8" applyFont="1" applyFill="1" applyBorder="1" applyAlignment="1">
      <alignment horizontal="center"/>
    </xf>
    <xf numFmtId="0" fontId="32" fillId="2" borderId="1" xfId="8" applyFont="1" applyFill="1" applyBorder="1" applyAlignment="1">
      <alignment horizontal="right"/>
    </xf>
    <xf numFmtId="0" fontId="32" fillId="4" borderId="3" xfId="8" applyNumberFormat="1" applyFont="1" applyFill="1" applyBorder="1" applyAlignment="1" applyProtection="1">
      <alignment horizontal="center" vertical="center"/>
      <protection hidden="1"/>
    </xf>
    <xf numFmtId="0" fontId="45" fillId="0" borderId="10" xfId="0" applyFont="1" applyBorder="1" applyAlignment="1">
      <alignment horizontal="center"/>
    </xf>
    <xf numFmtId="0" fontId="45" fillId="0" borderId="11" xfId="0" applyFont="1" applyBorder="1" applyAlignment="1">
      <alignment horizontal="center"/>
    </xf>
    <xf numFmtId="0" fontId="45" fillId="0" borderId="12" xfId="0" applyFont="1" applyBorder="1" applyAlignment="1">
      <alignment horizontal="center"/>
    </xf>
    <xf numFmtId="0" fontId="45" fillId="0" borderId="0" xfId="0" applyFont="1" applyAlignment="1">
      <alignment wrapText="1"/>
    </xf>
    <xf numFmtId="2" fontId="33" fillId="2" borderId="13" xfId="0" applyNumberFormat="1" applyFont="1" applyFill="1" applyBorder="1" applyAlignment="1">
      <alignment horizontal="center" vertical="center" wrapText="1"/>
    </xf>
    <xf numFmtId="0" fontId="33" fillId="2" borderId="13" xfId="0" applyFont="1" applyFill="1" applyBorder="1" applyAlignment="1">
      <alignment horizontal="center" vertical="center" wrapText="1"/>
    </xf>
    <xf numFmtId="2" fontId="33" fillId="2" borderId="7" xfId="0" applyNumberFormat="1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2" fontId="33" fillId="4" borderId="1" xfId="0" applyNumberFormat="1" applyFont="1" applyFill="1" applyBorder="1" applyAlignment="1" applyProtection="1">
      <alignment horizontal="center" vertical="center" wrapText="1"/>
      <protection hidden="1"/>
    </xf>
    <xf numFmtId="2" fontId="33" fillId="0" borderId="1" xfId="0" applyNumberFormat="1" applyFont="1" applyBorder="1" applyAlignment="1" applyProtection="1">
      <alignment horizontal="center" vertical="center" wrapText="1"/>
      <protection locked="0"/>
    </xf>
    <xf numFmtId="0" fontId="49" fillId="2" borderId="1" xfId="0" applyFont="1" applyFill="1" applyBorder="1" applyAlignment="1">
      <alignment horizontal="center" vertical="center" wrapText="1"/>
    </xf>
    <xf numFmtId="3" fontId="33" fillId="4" borderId="1" xfId="0" applyNumberFormat="1" applyFont="1" applyFill="1" applyBorder="1" applyAlignment="1" applyProtection="1">
      <alignment vertical="center" wrapText="1"/>
      <protection hidden="1"/>
    </xf>
    <xf numFmtId="0" fontId="49" fillId="2" borderId="1" xfId="0" applyFont="1" applyFill="1" applyBorder="1" applyAlignment="1">
      <alignment vertical="center" wrapText="1"/>
    </xf>
    <xf numFmtId="2" fontId="49" fillId="4" borderId="1" xfId="0" applyNumberFormat="1" applyFont="1" applyFill="1" applyBorder="1" applyAlignment="1" applyProtection="1">
      <alignment vertical="center" wrapText="1"/>
      <protection hidden="1"/>
    </xf>
    <xf numFmtId="0" fontId="49" fillId="0" borderId="1" xfId="0" applyFont="1" applyBorder="1" applyAlignment="1" applyProtection="1">
      <alignment vertical="center" wrapText="1"/>
      <protection locked="0"/>
    </xf>
    <xf numFmtId="0" fontId="45" fillId="0" borderId="10" xfId="0" applyFont="1" applyBorder="1" applyAlignment="1">
      <alignment wrapText="1"/>
    </xf>
    <xf numFmtId="0" fontId="45" fillId="0" borderId="11" xfId="0" applyFont="1" applyBorder="1"/>
    <xf numFmtId="2" fontId="45" fillId="0" borderId="11" xfId="0" applyNumberFormat="1" applyFont="1" applyBorder="1"/>
    <xf numFmtId="0" fontId="45" fillId="0" borderId="12" xfId="0" applyFont="1" applyBorder="1"/>
    <xf numFmtId="0" fontId="45" fillId="0" borderId="14" xfId="0" applyFont="1" applyBorder="1" applyAlignment="1">
      <alignment wrapText="1"/>
    </xf>
    <xf numFmtId="0" fontId="45" fillId="0" borderId="0" xfId="0" applyFont="1" applyBorder="1"/>
    <xf numFmtId="2" fontId="45" fillId="0" borderId="0" xfId="0" applyNumberFormat="1" applyFont="1" applyBorder="1"/>
    <xf numFmtId="0" fontId="45" fillId="0" borderId="15" xfId="0" applyFont="1" applyBorder="1"/>
    <xf numFmtId="0" fontId="45" fillId="0" borderId="0" xfId="0" applyFont="1" applyBorder="1" applyProtection="1">
      <protection hidden="1"/>
    </xf>
    <xf numFmtId="0" fontId="45" fillId="0" borderId="6" xfId="0" applyFont="1" applyBorder="1" applyAlignment="1">
      <alignment wrapText="1"/>
    </xf>
    <xf numFmtId="0" fontId="45" fillId="0" borderId="2" xfId="0" applyFont="1" applyBorder="1"/>
    <xf numFmtId="2" fontId="45" fillId="0" borderId="2" xfId="0" applyNumberFormat="1" applyFont="1" applyBorder="1"/>
    <xf numFmtId="0" fontId="45" fillId="0" borderId="8" xfId="0" applyFont="1" applyBorder="1"/>
    <xf numFmtId="0" fontId="43" fillId="2" borderId="1" xfId="0" applyFont="1" applyFill="1" applyBorder="1" applyAlignment="1">
      <alignment wrapText="1"/>
    </xf>
    <xf numFmtId="0" fontId="33" fillId="2" borderId="1" xfId="0" applyFont="1" applyFill="1" applyBorder="1" applyAlignment="1">
      <alignment horizontal="center" vertical="center" textRotation="90" wrapText="1"/>
    </xf>
    <xf numFmtId="0" fontId="33" fillId="4" borderId="1" xfId="0" applyFont="1" applyFill="1" applyBorder="1" applyAlignment="1" applyProtection="1">
      <alignment horizontal="center" vertical="center" wrapText="1"/>
      <protection hidden="1"/>
    </xf>
    <xf numFmtId="0" fontId="33" fillId="0" borderId="1" xfId="0" applyFont="1" applyBorder="1" applyAlignment="1" applyProtection="1">
      <alignment horizontal="center" vertical="center" wrapText="1"/>
      <protection locked="0" hidden="1"/>
    </xf>
    <xf numFmtId="164" fontId="33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42" fillId="4" borderId="1" xfId="0" applyFont="1" applyFill="1" applyBorder="1" applyAlignment="1" applyProtection="1">
      <alignment horizontal="center" vertical="center" wrapText="1"/>
      <protection hidden="1"/>
    </xf>
    <xf numFmtId="0" fontId="42" fillId="0" borderId="5" xfId="0" applyFont="1" applyBorder="1" applyAlignment="1" applyProtection="1">
      <alignment vertical="center" wrapText="1"/>
      <protection locked="0"/>
    </xf>
    <xf numFmtId="0" fontId="42" fillId="0" borderId="1" xfId="0" applyFont="1" applyBorder="1" applyAlignment="1" applyProtection="1">
      <alignment horizontal="center" vertical="center" wrapText="1"/>
      <protection locked="0"/>
    </xf>
    <xf numFmtId="0" fontId="33" fillId="2" borderId="1" xfId="0" quotePrefix="1" applyFont="1" applyFill="1" applyBorder="1" applyAlignment="1">
      <alignment horizontal="center" vertical="center" wrapText="1"/>
    </xf>
    <xf numFmtId="0" fontId="33" fillId="6" borderId="1" xfId="0" quotePrefix="1" applyFont="1" applyFill="1" applyBorder="1" applyAlignment="1" applyProtection="1">
      <alignment horizontal="left" vertical="center" wrapText="1"/>
      <protection locked="0"/>
    </xf>
    <xf numFmtId="0" fontId="30" fillId="0" borderId="0" xfId="0" applyFont="1"/>
    <xf numFmtId="43" fontId="52" fillId="18" borderId="13" xfId="0" applyNumberFormat="1" applyFont="1" applyFill="1" applyBorder="1" applyAlignment="1" applyProtection="1">
      <alignment vertical="center" wrapText="1"/>
      <protection hidden="1"/>
    </xf>
    <xf numFmtId="165" fontId="52" fillId="18" borderId="13" xfId="0" applyNumberFormat="1" applyFont="1" applyFill="1" applyBorder="1" applyAlignment="1" applyProtection="1">
      <alignment vertical="center" wrapText="1"/>
      <protection hidden="1"/>
    </xf>
    <xf numFmtId="165" fontId="52" fillId="18" borderId="1" xfId="0" applyNumberFormat="1" applyFont="1" applyFill="1" applyBorder="1" applyAlignment="1" applyProtection="1">
      <alignment vertical="center" wrapText="1"/>
      <protection hidden="1"/>
    </xf>
    <xf numFmtId="0" fontId="31" fillId="2" borderId="1" xfId="0" quotePrefix="1" applyFont="1" applyFill="1" applyBorder="1" applyAlignment="1" applyProtection="1">
      <alignment horizontal="left" vertical="center" wrapText="1"/>
      <protection hidden="1"/>
    </xf>
    <xf numFmtId="0" fontId="31" fillId="0" borderId="0" xfId="0" applyFont="1" applyFill="1" applyBorder="1" applyAlignment="1">
      <alignment vertical="center" wrapText="1"/>
    </xf>
    <xf numFmtId="165" fontId="32" fillId="0" borderId="1" xfId="9" applyNumberFormat="1" applyFont="1" applyBorder="1" applyAlignment="1" applyProtection="1">
      <alignment horizontal="right" vertical="center" wrapText="1"/>
      <protection locked="0"/>
    </xf>
    <xf numFmtId="165" fontId="32" fillId="0" borderId="3" xfId="9" applyNumberFormat="1" applyFont="1" applyBorder="1" applyAlignment="1" applyProtection="1">
      <alignment horizontal="right" vertical="center" wrapText="1"/>
      <protection locked="0"/>
    </xf>
    <xf numFmtId="0" fontId="32" fillId="6" borderId="1" xfId="0" applyFont="1" applyFill="1" applyBorder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horizontal="right" vertical="center" wrapText="1"/>
      <protection hidden="1"/>
    </xf>
    <xf numFmtId="0" fontId="28" fillId="0" borderId="0" xfId="0" applyFont="1" applyBorder="1" applyAlignment="1">
      <alignment wrapText="1"/>
    </xf>
    <xf numFmtId="0" fontId="34" fillId="2" borderId="1" xfId="0" quotePrefix="1" applyFont="1" applyFill="1" applyBorder="1" applyAlignment="1" applyProtection="1">
      <alignment horizontal="left" vertical="top" wrapText="1"/>
      <protection hidden="1"/>
    </xf>
    <xf numFmtId="0" fontId="3" fillId="2" borderId="1" xfId="0" applyFont="1" applyFill="1" applyBorder="1" applyAlignment="1" applyProtection="1">
      <alignment vertical="center" wrapText="1"/>
      <protection hidden="1"/>
    </xf>
    <xf numFmtId="0" fontId="3" fillId="2" borderId="1" xfId="0" applyFont="1" applyFill="1" applyBorder="1" applyAlignment="1" applyProtection="1">
      <alignment horizontal="left" vertical="center" wrapText="1"/>
      <protection hidden="1"/>
    </xf>
    <xf numFmtId="0" fontId="31" fillId="2" borderId="3" xfId="0" applyFont="1" applyFill="1" applyBorder="1" applyAlignment="1">
      <alignment horizontal="center" vertical="center" wrapText="1"/>
    </xf>
    <xf numFmtId="14" fontId="32" fillId="0" borderId="1" xfId="9" applyNumberFormat="1" applyFont="1" applyBorder="1" applyAlignment="1" applyProtection="1">
      <alignment vertical="center" wrapText="1"/>
      <protection locked="0"/>
    </xf>
    <xf numFmtId="165" fontId="32" fillId="0" borderId="1" xfId="9" applyNumberFormat="1" applyFont="1" applyBorder="1" applyAlignment="1" applyProtection="1">
      <alignment vertical="center" wrapText="1"/>
      <protection locked="0"/>
    </xf>
    <xf numFmtId="0" fontId="32" fillId="2" borderId="3" xfId="0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28" fillId="0" borderId="0" xfId="0" applyFont="1" applyFill="1" applyBorder="1"/>
    <xf numFmtId="0" fontId="31" fillId="0" borderId="0" xfId="0" applyFont="1" applyFill="1" applyBorder="1" applyAlignment="1">
      <alignment horizontal="center" vertical="center" wrapText="1"/>
    </xf>
    <xf numFmtId="1" fontId="32" fillId="0" borderId="0" xfId="10" applyNumberFormat="1" applyFont="1" applyFill="1" applyBorder="1" applyAlignment="1" applyProtection="1">
      <alignment vertical="center" wrapText="1"/>
      <protection hidden="1"/>
    </xf>
    <xf numFmtId="0" fontId="31" fillId="2" borderId="4" xfId="0" applyFont="1" applyFill="1" applyBorder="1" applyAlignment="1" applyProtection="1">
      <alignment horizontal="center" vertical="center" wrapText="1"/>
      <protection hidden="1"/>
    </xf>
    <xf numFmtId="1" fontId="32" fillId="4" borderId="3" xfId="10" applyNumberFormat="1" applyFont="1" applyFill="1" applyBorder="1" applyAlignment="1" applyProtection="1">
      <alignment vertical="center" wrapText="1"/>
      <protection hidden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  <protection hidden="1"/>
    </xf>
    <xf numFmtId="0" fontId="32" fillId="2" borderId="3" xfId="0" applyFont="1" applyFill="1" applyBorder="1" applyAlignment="1" applyProtection="1">
      <alignment vertical="center" wrapText="1"/>
      <protection hidden="1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0" xfId="0" applyFont="1" applyBorder="1" applyAlignment="1">
      <alignment horizontal="center" vertical="center" wrapText="1"/>
    </xf>
    <xf numFmtId="0" fontId="41" fillId="2" borderId="1" xfId="0" applyFont="1" applyFill="1" applyBorder="1" applyAlignment="1" applyProtection="1">
      <alignment horizontal="center" vertical="center" wrapText="1"/>
      <protection hidden="1"/>
    </xf>
    <xf numFmtId="0" fontId="38" fillId="0" borderId="20" xfId="0" applyFont="1" applyBorder="1" applyAlignment="1" applyProtection="1">
      <alignment wrapText="1"/>
      <protection locked="0"/>
    </xf>
    <xf numFmtId="0" fontId="54" fillId="19" borderId="0" xfId="0" applyFont="1" applyFill="1"/>
    <xf numFmtId="0" fontId="55" fillId="19" borderId="16" xfId="0" applyFont="1" applyFill="1" applyBorder="1" applyAlignment="1">
      <alignment horizontal="center" vertical="center" wrapText="1"/>
    </xf>
    <xf numFmtId="0" fontId="55" fillId="19" borderId="1" xfId="0" applyFont="1" applyFill="1" applyBorder="1" applyAlignment="1" applyProtection="1">
      <alignment horizontal="center" vertical="center" wrapText="1"/>
      <protection hidden="1"/>
    </xf>
    <xf numFmtId="0" fontId="37" fillId="0" borderId="0" xfId="0" applyFont="1" applyAlignment="1">
      <alignment horizontal="right" vertical="center"/>
    </xf>
    <xf numFmtId="0" fontId="55" fillId="19" borderId="0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28" fillId="4" borderId="1" xfId="0" applyFont="1" applyFill="1" applyBorder="1" applyAlignment="1">
      <alignment vertical="center"/>
    </xf>
    <xf numFmtId="0" fontId="28" fillId="7" borderId="1" xfId="0" applyFont="1" applyFill="1" applyBorder="1" applyAlignment="1">
      <alignment vertical="center"/>
    </xf>
    <xf numFmtId="0" fontId="28" fillId="15" borderId="0" xfId="0" applyFont="1" applyFill="1" applyAlignment="1">
      <alignment vertical="center"/>
    </xf>
    <xf numFmtId="0" fontId="28" fillId="6" borderId="1" xfId="0" applyFont="1" applyFill="1" applyBorder="1" applyAlignment="1">
      <alignment vertical="center"/>
    </xf>
    <xf numFmtId="0" fontId="28" fillId="13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vertical="center"/>
    </xf>
    <xf numFmtId="0" fontId="57" fillId="19" borderId="1" xfId="0" applyFont="1" applyFill="1" applyBorder="1" applyAlignment="1"/>
    <xf numFmtId="1" fontId="38" fillId="4" borderId="10" xfId="10" applyNumberFormat="1" applyFont="1" applyFill="1" applyBorder="1" applyAlignment="1" applyProtection="1">
      <alignment horizontal="left" vertical="center" wrapText="1" indent="2"/>
      <protection hidden="1"/>
    </xf>
    <xf numFmtId="1" fontId="38" fillId="4" borderId="11" xfId="10" applyNumberFormat="1" applyFont="1" applyFill="1" applyBorder="1" applyAlignment="1" applyProtection="1">
      <alignment horizontal="left" vertical="center" wrapText="1" indent="2"/>
      <protection hidden="1"/>
    </xf>
    <xf numFmtId="1" fontId="38" fillId="4" borderId="12" xfId="10" applyNumberFormat="1" applyFont="1" applyFill="1" applyBorder="1" applyAlignment="1" applyProtection="1">
      <alignment horizontal="left" vertical="center" wrapText="1" indent="2"/>
      <protection hidden="1"/>
    </xf>
    <xf numFmtId="1" fontId="38" fillId="4" borderId="14" xfId="10" applyNumberFormat="1" applyFont="1" applyFill="1" applyBorder="1" applyAlignment="1" applyProtection="1">
      <alignment horizontal="left" vertical="center" wrapText="1" indent="2"/>
      <protection hidden="1"/>
    </xf>
    <xf numFmtId="1" fontId="38" fillId="4" borderId="0" xfId="10" applyNumberFormat="1" applyFont="1" applyFill="1" applyBorder="1" applyAlignment="1" applyProtection="1">
      <alignment horizontal="left" vertical="center" wrapText="1" indent="2"/>
      <protection hidden="1"/>
    </xf>
    <xf numFmtId="1" fontId="38" fillId="4" borderId="15" xfId="10" applyNumberFormat="1" applyFont="1" applyFill="1" applyBorder="1" applyAlignment="1" applyProtection="1">
      <alignment horizontal="left" vertical="center" wrapText="1" indent="2"/>
      <protection hidden="1"/>
    </xf>
    <xf numFmtId="1" fontId="38" fillId="4" borderId="6" xfId="10" applyNumberFormat="1" applyFont="1" applyFill="1" applyBorder="1" applyAlignment="1" applyProtection="1">
      <alignment horizontal="left" vertical="center" wrapText="1" indent="2"/>
      <protection hidden="1"/>
    </xf>
    <xf numFmtId="1" fontId="38" fillId="4" borderId="2" xfId="10" applyNumberFormat="1" applyFont="1" applyFill="1" applyBorder="1" applyAlignment="1" applyProtection="1">
      <alignment horizontal="left" vertical="center" wrapText="1" indent="2"/>
      <protection hidden="1"/>
    </xf>
    <xf numFmtId="1" fontId="38" fillId="4" borderId="8" xfId="10" applyNumberFormat="1" applyFont="1" applyFill="1" applyBorder="1" applyAlignment="1" applyProtection="1">
      <alignment horizontal="left" vertical="center" wrapText="1" indent="2"/>
      <protection hidden="1"/>
    </xf>
    <xf numFmtId="0" fontId="38" fillId="0" borderId="21" xfId="0" applyFont="1" applyBorder="1" applyAlignment="1" applyProtection="1">
      <alignment wrapText="1"/>
      <protection locked="0"/>
    </xf>
    <xf numFmtId="0" fontId="38" fillId="0" borderId="18" xfId="0" applyFont="1" applyBorder="1" applyAlignment="1" applyProtection="1">
      <alignment wrapText="1"/>
      <protection locked="0"/>
    </xf>
    <xf numFmtId="0" fontId="38" fillId="0" borderId="17" xfId="0" applyFont="1" applyBorder="1" applyAlignment="1" applyProtection="1">
      <alignment wrapText="1"/>
      <protection locked="0"/>
    </xf>
    <xf numFmtId="0" fontId="55" fillId="19" borderId="1" xfId="0" quotePrefix="1" applyFont="1" applyFill="1" applyBorder="1" applyAlignment="1" applyProtection="1">
      <alignment horizontal="center" vertical="center" wrapText="1"/>
      <protection hidden="1"/>
    </xf>
    <xf numFmtId="0" fontId="55" fillId="19" borderId="1" xfId="0" applyFont="1" applyFill="1" applyBorder="1" applyAlignment="1" applyProtection="1">
      <alignment horizontal="center" vertical="center" wrapText="1"/>
      <protection hidden="1"/>
    </xf>
    <xf numFmtId="0" fontId="45" fillId="6" borderId="3" xfId="0" applyFont="1" applyFill="1" applyBorder="1" applyAlignment="1" applyProtection="1">
      <alignment horizontal="center" vertical="center" wrapText="1"/>
      <protection locked="0"/>
    </xf>
    <xf numFmtId="0" fontId="45" fillId="6" borderId="4" xfId="0" applyFont="1" applyFill="1" applyBorder="1" applyAlignment="1" applyProtection="1">
      <alignment horizontal="center" vertical="center" wrapText="1"/>
      <protection locked="0"/>
    </xf>
    <xf numFmtId="0" fontId="45" fillId="6" borderId="5" xfId="0" applyFont="1" applyFill="1" applyBorder="1" applyAlignment="1" applyProtection="1">
      <alignment horizontal="center" vertical="center" wrapText="1"/>
      <protection locked="0"/>
    </xf>
    <xf numFmtId="0" fontId="55" fillId="19" borderId="0" xfId="0" applyFont="1" applyFill="1" applyBorder="1" applyAlignment="1">
      <alignment horizontal="left" vertical="center" wrapText="1"/>
    </xf>
    <xf numFmtId="0" fontId="38" fillId="0" borderId="23" xfId="0" applyFont="1" applyBorder="1" applyAlignment="1" applyProtection="1">
      <alignment wrapText="1"/>
      <protection locked="0"/>
    </xf>
    <xf numFmtId="0" fontId="38" fillId="0" borderId="36" xfId="0" applyFont="1" applyBorder="1" applyAlignment="1" applyProtection="1">
      <alignment wrapText="1"/>
      <protection locked="0"/>
    </xf>
    <xf numFmtId="0" fontId="38" fillId="0" borderId="20" xfId="0" applyFont="1" applyBorder="1" applyAlignment="1" applyProtection="1">
      <alignment wrapText="1"/>
      <protection locked="0"/>
    </xf>
    <xf numFmtId="0" fontId="55" fillId="19" borderId="21" xfId="0" applyFont="1" applyFill="1" applyBorder="1" applyAlignment="1">
      <alignment vertical="center" wrapText="1"/>
    </xf>
    <xf numFmtId="0" fontId="55" fillId="19" borderId="18" xfId="0" applyFont="1" applyFill="1" applyBorder="1" applyAlignment="1">
      <alignment vertical="center" wrapText="1"/>
    </xf>
    <xf numFmtId="0" fontId="55" fillId="19" borderId="17" xfId="0" applyFont="1" applyFill="1" applyBorder="1" applyAlignment="1">
      <alignment vertical="center" wrapText="1"/>
    </xf>
    <xf numFmtId="0" fontId="38" fillId="0" borderId="19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  <protection hidden="1"/>
    </xf>
    <xf numFmtId="0" fontId="31" fillId="2" borderId="4" xfId="0" applyFont="1" applyFill="1" applyBorder="1" applyAlignment="1" applyProtection="1">
      <alignment horizontal="center" vertical="center" wrapText="1"/>
      <protection hidden="1"/>
    </xf>
    <xf numFmtId="0" fontId="31" fillId="2" borderId="10" xfId="0" applyFont="1" applyFill="1" applyBorder="1" applyAlignment="1" applyProtection="1">
      <alignment horizontal="center" vertical="center" wrapText="1"/>
      <protection hidden="1"/>
    </xf>
    <xf numFmtId="0" fontId="31" fillId="2" borderId="11" xfId="0" applyFont="1" applyFill="1" applyBorder="1" applyAlignment="1" applyProtection="1">
      <alignment horizontal="center" vertical="center" wrapText="1"/>
      <protection hidden="1"/>
    </xf>
    <xf numFmtId="0" fontId="31" fillId="2" borderId="12" xfId="0" applyFont="1" applyFill="1" applyBorder="1" applyAlignment="1" applyProtection="1">
      <alignment horizontal="center" vertical="center" wrapText="1"/>
      <protection hidden="1"/>
    </xf>
    <xf numFmtId="0" fontId="31" fillId="2" borderId="5" xfId="0" applyFont="1" applyFill="1" applyBorder="1" applyAlignment="1" applyProtection="1">
      <alignment horizontal="center" vertical="center" wrapText="1"/>
      <protection hidden="1"/>
    </xf>
    <xf numFmtId="165" fontId="32" fillId="0" borderId="3" xfId="9" applyNumberFormat="1" applyFont="1" applyBorder="1" applyAlignment="1" applyProtection="1">
      <alignment horizontal="center" vertical="center" wrapText="1"/>
      <protection locked="0"/>
    </xf>
    <xf numFmtId="165" fontId="32" fillId="0" borderId="4" xfId="9" applyNumberFormat="1" applyFont="1" applyBorder="1" applyAlignment="1" applyProtection="1">
      <alignment horizontal="center" vertical="center" wrapText="1"/>
      <protection locked="0"/>
    </xf>
    <xf numFmtId="165" fontId="32" fillId="0" borderId="5" xfId="9" applyNumberFormat="1" applyFont="1" applyBorder="1" applyAlignment="1" applyProtection="1">
      <alignment horizontal="center" vertical="center" wrapText="1"/>
      <protection locked="0"/>
    </xf>
    <xf numFmtId="0" fontId="31" fillId="2" borderId="3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5" xfId="0" applyFont="1" applyFill="1" applyBorder="1" applyAlignment="1">
      <alignment horizontal="center" vertical="center" wrapTex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11" xfId="0" applyFont="1" applyFill="1" applyBorder="1" applyAlignment="1">
      <alignment horizontal="center" vertical="center" wrapText="1"/>
    </xf>
    <xf numFmtId="0" fontId="31" fillId="2" borderId="12" xfId="0" applyFont="1" applyFill="1" applyBorder="1" applyAlignment="1">
      <alignment horizontal="center" vertical="center" wrapText="1"/>
    </xf>
    <xf numFmtId="1" fontId="31" fillId="4" borderId="3" xfId="10" applyNumberFormat="1" applyFont="1" applyFill="1" applyBorder="1" applyAlignment="1" applyProtection="1">
      <alignment horizontal="center" vertical="center" wrapText="1"/>
      <protection hidden="1"/>
    </xf>
    <xf numFmtId="1" fontId="31" fillId="4" borderId="4" xfId="10" applyNumberFormat="1" applyFont="1" applyFill="1" applyBorder="1" applyAlignment="1" applyProtection="1">
      <alignment horizontal="center" vertical="center" wrapText="1"/>
      <protection hidden="1"/>
    </xf>
    <xf numFmtId="1" fontId="31" fillId="4" borderId="5" xfId="10" applyNumberFormat="1" applyFont="1" applyFill="1" applyBorder="1" applyAlignment="1" applyProtection="1">
      <alignment horizontal="center" vertical="center" wrapText="1"/>
      <protection hidden="1"/>
    </xf>
    <xf numFmtId="165" fontId="5" fillId="0" borderId="3" xfId="9" applyNumberFormat="1" applyFont="1" applyBorder="1" applyAlignment="1" applyProtection="1">
      <alignment horizontal="center" vertical="center" wrapText="1"/>
      <protection locked="0"/>
    </xf>
    <xf numFmtId="165" fontId="5" fillId="0" borderId="4" xfId="9" applyNumberFormat="1" applyFont="1" applyBorder="1" applyAlignment="1" applyProtection="1">
      <alignment horizontal="center" vertical="center" wrapText="1"/>
      <protection locked="0"/>
    </xf>
    <xf numFmtId="165" fontId="5" fillId="0" borderId="5" xfId="9" applyNumberFormat="1" applyFont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hidden="1"/>
    </xf>
    <xf numFmtId="0" fontId="6" fillId="2" borderId="4" xfId="0" applyFont="1" applyFill="1" applyBorder="1" applyAlignment="1" applyProtection="1">
      <alignment horizontal="center" vertical="center" wrapText="1"/>
      <protection hidden="1"/>
    </xf>
    <xf numFmtId="0" fontId="6" fillId="2" borderId="5" xfId="0" applyFont="1" applyFill="1" applyBorder="1" applyAlignment="1" applyProtection="1">
      <alignment horizontal="center" vertical="center" wrapText="1"/>
      <protection hidden="1"/>
    </xf>
    <xf numFmtId="1" fontId="6" fillId="4" borderId="3" xfId="10" applyNumberFormat="1" applyFont="1" applyFill="1" applyBorder="1" applyAlignment="1" applyProtection="1">
      <alignment horizontal="center" vertical="center" wrapText="1"/>
      <protection hidden="1"/>
    </xf>
    <xf numFmtId="1" fontId="6" fillId="4" borderId="4" xfId="10" applyNumberFormat="1" applyFont="1" applyFill="1" applyBorder="1" applyAlignment="1" applyProtection="1">
      <alignment horizontal="center" vertical="center" wrapText="1"/>
      <protection hidden="1"/>
    </xf>
    <xf numFmtId="1" fontId="6" fillId="4" borderId="5" xfId="10" applyNumberFormat="1" applyFont="1" applyFill="1" applyBorder="1" applyAlignment="1" applyProtection="1">
      <alignment horizontal="center" vertical="center" wrapText="1"/>
      <protection hidden="1"/>
    </xf>
    <xf numFmtId="165" fontId="6" fillId="0" borderId="3" xfId="9" quotePrefix="1" applyNumberFormat="1" applyFont="1" applyBorder="1" applyAlignment="1" applyProtection="1">
      <alignment horizontal="center" vertical="center" wrapText="1"/>
      <protection locked="0"/>
    </xf>
    <xf numFmtId="165" fontId="6" fillId="0" borderId="4" xfId="9" applyNumberFormat="1" applyFont="1" applyBorder="1" applyAlignment="1" applyProtection="1">
      <alignment horizontal="center" vertical="center" wrapText="1"/>
      <protection locked="0"/>
    </xf>
    <xf numFmtId="165" fontId="6" fillId="0" borderId="5" xfId="9" applyNumberFormat="1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vertical="center" wrapText="1"/>
      <protection hidden="1"/>
    </xf>
    <xf numFmtId="0" fontId="5" fillId="2" borderId="3" xfId="0" applyFont="1" applyFill="1" applyBorder="1" applyAlignment="1" applyProtection="1">
      <alignment horizontal="left" vertical="center" wrapText="1"/>
      <protection hidden="1"/>
    </xf>
    <xf numFmtId="0" fontId="5" fillId="2" borderId="5" xfId="0" applyFont="1" applyFill="1" applyBorder="1" applyAlignment="1" applyProtection="1">
      <alignment horizontal="left" vertical="center" wrapText="1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25" fillId="2" borderId="1" xfId="0" applyFont="1" applyFill="1" applyBorder="1" applyAlignment="1" applyProtection="1">
      <alignment horizontal="center" vertical="center" wrapText="1"/>
      <protection hidden="1"/>
    </xf>
    <xf numFmtId="164" fontId="25" fillId="4" borderId="3" xfId="11" applyNumberFormat="1" applyFont="1" applyFill="1" applyBorder="1" applyAlignment="1" applyProtection="1">
      <alignment horizontal="center" vertical="center" wrapText="1"/>
      <protection hidden="1"/>
    </xf>
    <xf numFmtId="164" fontId="25" fillId="4" borderId="4" xfId="11" applyNumberFormat="1" applyFont="1" applyFill="1" applyBorder="1" applyAlignment="1" applyProtection="1">
      <alignment horizontal="center" vertical="center" wrapText="1"/>
      <protection hidden="1"/>
    </xf>
    <xf numFmtId="164" fontId="25" fillId="4" borderId="5" xfId="11" applyNumberFormat="1" applyFont="1" applyFill="1" applyBorder="1" applyAlignment="1" applyProtection="1">
      <alignment horizontal="center" vertical="center" wrapText="1"/>
      <protection hidden="1"/>
    </xf>
    <xf numFmtId="0" fontId="32" fillId="2" borderId="3" xfId="0" applyFont="1" applyFill="1" applyBorder="1" applyAlignment="1" applyProtection="1">
      <alignment vertical="center" wrapText="1"/>
      <protection hidden="1"/>
    </xf>
    <xf numFmtId="0" fontId="32" fillId="2" borderId="5" xfId="0" applyFont="1" applyFill="1" applyBorder="1" applyAlignment="1" applyProtection="1">
      <alignment vertical="center" wrapText="1"/>
      <protection hidden="1"/>
    </xf>
    <xf numFmtId="0" fontId="31" fillId="2" borderId="1" xfId="0" applyFont="1" applyFill="1" applyBorder="1" applyAlignment="1" applyProtection="1">
      <alignment vertical="center" wrapText="1"/>
      <protection hidden="1"/>
    </xf>
    <xf numFmtId="0" fontId="34" fillId="2" borderId="3" xfId="0" applyFont="1" applyFill="1" applyBorder="1" applyAlignment="1" applyProtection="1">
      <alignment horizontal="center" vertical="center" wrapText="1"/>
      <protection hidden="1"/>
    </xf>
    <xf numFmtId="0" fontId="34" fillId="2" borderId="4" xfId="0" applyFont="1" applyFill="1" applyBorder="1" applyAlignment="1" applyProtection="1">
      <alignment horizontal="center" vertical="center" wrapText="1"/>
      <protection hidden="1"/>
    </xf>
    <xf numFmtId="0" fontId="34" fillId="2" borderId="5" xfId="0" applyFont="1" applyFill="1" applyBorder="1" applyAlignment="1" applyProtection="1">
      <alignment horizontal="center" vertical="center" wrapText="1"/>
      <protection hidden="1"/>
    </xf>
    <xf numFmtId="0" fontId="32" fillId="2" borderId="1" xfId="0" applyFont="1" applyFill="1" applyBorder="1" applyAlignment="1" applyProtection="1">
      <alignment vertical="center" wrapText="1"/>
      <protection hidden="1"/>
    </xf>
    <xf numFmtId="0" fontId="32" fillId="2" borderId="3" xfId="0" applyFont="1" applyFill="1" applyBorder="1" applyAlignment="1" applyProtection="1">
      <alignment horizontal="left" vertical="center" wrapText="1"/>
      <protection hidden="1"/>
    </xf>
    <xf numFmtId="0" fontId="32" fillId="2" borderId="5" xfId="0" applyFont="1" applyFill="1" applyBorder="1" applyAlignment="1" applyProtection="1">
      <alignment horizontal="left" vertical="center" wrapText="1"/>
      <protection hidden="1"/>
    </xf>
    <xf numFmtId="0" fontId="31" fillId="2" borderId="7" xfId="0" applyFont="1" applyFill="1" applyBorder="1" applyAlignment="1" applyProtection="1">
      <alignment vertical="center" wrapText="1"/>
      <protection hidden="1"/>
    </xf>
    <xf numFmtId="0" fontId="43" fillId="17" borderId="3" xfId="0" applyFont="1" applyFill="1" applyBorder="1" applyAlignment="1" applyProtection="1">
      <alignment horizontal="center" vertical="center" wrapText="1"/>
      <protection hidden="1"/>
    </xf>
    <xf numFmtId="0" fontId="43" fillId="17" borderId="4" xfId="0" applyFont="1" applyFill="1" applyBorder="1" applyAlignment="1" applyProtection="1">
      <alignment horizontal="center" vertical="center" wrapText="1"/>
      <protection hidden="1"/>
    </xf>
    <xf numFmtId="0" fontId="51" fillId="17" borderId="3" xfId="0" applyFont="1" applyFill="1" applyBorder="1" applyAlignment="1" applyProtection="1">
      <alignment horizontal="center" vertical="center" wrapText="1"/>
      <protection hidden="1"/>
    </xf>
    <xf numFmtId="0" fontId="51" fillId="17" borderId="5" xfId="0" applyFont="1" applyFill="1" applyBorder="1" applyAlignment="1" applyProtection="1">
      <alignment horizontal="center" vertical="center" wrapText="1"/>
      <protection hidden="1"/>
    </xf>
    <xf numFmtId="0" fontId="53" fillId="17" borderId="3" xfId="0" applyFont="1" applyFill="1" applyBorder="1" applyAlignment="1" applyProtection="1">
      <alignment horizontal="center" vertical="center" wrapText="1"/>
      <protection hidden="1"/>
    </xf>
    <xf numFmtId="0" fontId="53" fillId="17" borderId="4" xfId="0" applyFont="1" applyFill="1" applyBorder="1" applyAlignment="1" applyProtection="1">
      <alignment horizontal="center" vertical="center" wrapText="1"/>
      <protection hidden="1"/>
    </xf>
    <xf numFmtId="0" fontId="53" fillId="17" borderId="5" xfId="0" applyFont="1" applyFill="1" applyBorder="1" applyAlignment="1" applyProtection="1">
      <alignment horizontal="center" vertical="center" wrapText="1"/>
      <protection hidden="1"/>
    </xf>
    <xf numFmtId="43" fontId="53" fillId="18" borderId="3" xfId="0" applyNumberFormat="1" applyFont="1" applyFill="1" applyBorder="1" applyAlignment="1" applyProtection="1">
      <alignment horizontal="center" vertical="center" wrapText="1"/>
      <protection hidden="1"/>
    </xf>
    <xf numFmtId="43" fontId="53" fillId="18" borderId="4" xfId="0" applyNumberFormat="1" applyFont="1" applyFill="1" applyBorder="1" applyAlignment="1" applyProtection="1">
      <alignment horizontal="center" vertical="center" wrapText="1"/>
      <protection hidden="1"/>
    </xf>
    <xf numFmtId="43" fontId="53" fillId="18" borderId="5" xfId="0" applyNumberFormat="1" applyFont="1" applyFill="1" applyBorder="1" applyAlignment="1" applyProtection="1">
      <alignment horizontal="center" vertical="center" wrapText="1"/>
      <protection hidden="1"/>
    </xf>
    <xf numFmtId="0" fontId="28" fillId="0" borderId="10" xfId="0" applyFont="1" applyBorder="1" applyAlignment="1" applyProtection="1">
      <alignment horizontal="left" vertical="top"/>
      <protection locked="0"/>
    </xf>
    <xf numFmtId="0" fontId="28" fillId="0" borderId="11" xfId="0" applyFont="1" applyBorder="1" applyAlignment="1" applyProtection="1">
      <alignment horizontal="left" vertical="top"/>
      <protection locked="0"/>
    </xf>
    <xf numFmtId="0" fontId="28" fillId="0" borderId="12" xfId="0" applyFont="1" applyBorder="1" applyAlignment="1" applyProtection="1">
      <alignment horizontal="left" vertical="top"/>
      <protection locked="0"/>
    </xf>
    <xf numFmtId="0" fontId="28" fillId="0" borderId="14" xfId="0" applyFont="1" applyBorder="1" applyAlignment="1" applyProtection="1">
      <alignment horizontal="left" vertical="top"/>
      <protection locked="0"/>
    </xf>
    <xf numFmtId="0" fontId="28" fillId="0" borderId="0" xfId="0" applyFont="1" applyBorder="1" applyAlignment="1" applyProtection="1">
      <alignment horizontal="left" vertical="top"/>
      <protection locked="0"/>
    </xf>
    <xf numFmtId="0" fontId="28" fillId="0" borderId="15" xfId="0" applyFont="1" applyBorder="1" applyAlignment="1" applyProtection="1">
      <alignment horizontal="left" vertical="top"/>
      <protection locked="0"/>
    </xf>
    <xf numFmtId="0" fontId="28" fillId="0" borderId="6" xfId="0" applyFont="1" applyBorder="1" applyAlignment="1" applyProtection="1">
      <alignment horizontal="left" vertical="top"/>
      <protection locked="0"/>
    </xf>
    <xf numFmtId="0" fontId="28" fillId="0" borderId="2" xfId="0" applyFont="1" applyBorder="1" applyAlignment="1" applyProtection="1">
      <alignment horizontal="left" vertical="top"/>
      <protection locked="0"/>
    </xf>
    <xf numFmtId="0" fontId="28" fillId="0" borderId="8" xfId="0" applyFont="1" applyBorder="1" applyAlignment="1" applyProtection="1">
      <alignment horizontal="left" vertical="top"/>
      <protection locked="0"/>
    </xf>
    <xf numFmtId="0" fontId="50" fillId="17" borderId="3" xfId="0" applyFont="1" applyFill="1" applyBorder="1" applyAlignment="1" applyProtection="1">
      <alignment vertical="center" wrapText="1"/>
      <protection hidden="1"/>
    </xf>
    <xf numFmtId="0" fontId="50" fillId="17" borderId="5" xfId="0" applyFont="1" applyFill="1" applyBorder="1" applyAlignment="1" applyProtection="1">
      <alignment vertical="center" wrapText="1"/>
      <protection hidden="1"/>
    </xf>
    <xf numFmtId="0" fontId="34" fillId="2" borderId="1" xfId="0" applyFont="1" applyFill="1" applyBorder="1" applyAlignment="1" applyProtection="1">
      <alignment horizontal="center" vertical="center" wrapText="1"/>
      <protection hidden="1"/>
    </xf>
    <xf numFmtId="0" fontId="31" fillId="2" borderId="3" xfId="0" applyFont="1" applyFill="1" applyBorder="1" applyAlignment="1" applyProtection="1">
      <alignment vertical="center" wrapText="1"/>
      <protection hidden="1"/>
    </xf>
    <xf numFmtId="0" fontId="31" fillId="2" borderId="5" xfId="0" applyFont="1" applyFill="1" applyBorder="1" applyAlignment="1" applyProtection="1">
      <alignment vertical="center" wrapText="1"/>
      <protection hidden="1"/>
    </xf>
    <xf numFmtId="0" fontId="34" fillId="2" borderId="3" xfId="0" applyFont="1" applyFill="1" applyBorder="1" applyAlignment="1" applyProtection="1">
      <alignment vertical="center" wrapText="1"/>
      <protection hidden="1"/>
    </xf>
    <xf numFmtId="0" fontId="34" fillId="2" borderId="5" xfId="0" applyFont="1" applyFill="1" applyBorder="1" applyAlignment="1" applyProtection="1">
      <alignment vertical="center" wrapText="1"/>
      <protection hidden="1"/>
    </xf>
    <xf numFmtId="0" fontId="42" fillId="2" borderId="1" xfId="0" applyFont="1" applyFill="1" applyBorder="1" applyAlignment="1">
      <alignment horizontal="center" vertical="center" wrapText="1"/>
    </xf>
    <xf numFmtId="0" fontId="43" fillId="2" borderId="1" xfId="0" applyFont="1" applyFill="1" applyBorder="1" applyAlignment="1">
      <alignment horizontal="center" vertical="center" wrapText="1"/>
    </xf>
    <xf numFmtId="0" fontId="33" fillId="2" borderId="10" xfId="0" applyFont="1" applyFill="1" applyBorder="1" applyAlignment="1">
      <alignment horizontal="center" vertical="center" wrapText="1"/>
    </xf>
    <xf numFmtId="0" fontId="33" fillId="2" borderId="12" xfId="0" applyFont="1" applyFill="1" applyBorder="1" applyAlignment="1">
      <alignment horizontal="center" vertical="center" wrapText="1"/>
    </xf>
    <xf numFmtId="0" fontId="33" fillId="2" borderId="14" xfId="0" applyFont="1" applyFill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33" fillId="2" borderId="6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3" fillId="2" borderId="13" xfId="0" applyFont="1" applyFill="1" applyBorder="1" applyAlignment="1">
      <alignment horizontal="center" vertical="center" wrapText="1"/>
    </xf>
    <xf numFmtId="0" fontId="33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42" fillId="2" borderId="1" xfId="0" applyFont="1" applyFill="1" applyBorder="1" applyAlignment="1">
      <alignment horizontal="left" vertical="center" wrapText="1"/>
    </xf>
    <xf numFmtId="0" fontId="33" fillId="0" borderId="1" xfId="0" applyFont="1" applyBorder="1" applyAlignment="1" applyProtection="1">
      <alignment vertical="center" wrapText="1"/>
      <protection locked="0"/>
    </xf>
    <xf numFmtId="0" fontId="33" fillId="2" borderId="1" xfId="0" applyFont="1" applyFill="1" applyBorder="1" applyAlignment="1">
      <alignment horizontal="center" vertical="center" textRotation="90" wrapText="1"/>
    </xf>
    <xf numFmtId="0" fontId="33" fillId="6" borderId="1" xfId="0" applyFont="1" applyFill="1" applyBorder="1" applyAlignment="1" applyProtection="1">
      <alignment horizontal="center" vertical="center" wrapText="1"/>
      <protection locked="0"/>
    </xf>
    <xf numFmtId="0" fontId="33" fillId="13" borderId="3" xfId="0" applyFont="1" applyFill="1" applyBorder="1" applyAlignment="1" applyProtection="1">
      <alignment horizontal="center" vertical="center" wrapText="1"/>
      <protection locked="0"/>
    </xf>
    <xf numFmtId="0" fontId="33" fillId="13" borderId="4" xfId="0" applyFont="1" applyFill="1" applyBorder="1" applyAlignment="1" applyProtection="1">
      <alignment horizontal="center" vertical="center" wrapText="1"/>
      <protection locked="0"/>
    </xf>
    <xf numFmtId="0" fontId="33" fillId="13" borderId="5" xfId="0" applyFont="1" applyFill="1" applyBorder="1" applyAlignment="1" applyProtection="1">
      <alignment horizontal="center" vertical="center" wrapText="1"/>
      <protection locked="0"/>
    </xf>
    <xf numFmtId="0" fontId="33" fillId="2" borderId="11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 wrapText="1"/>
    </xf>
    <xf numFmtId="0" fontId="33" fillId="0" borderId="3" xfId="0" applyFont="1" applyBorder="1" applyAlignment="1" applyProtection="1">
      <alignment horizontal="center" vertical="center" wrapText="1"/>
      <protection locked="0" hidden="1"/>
    </xf>
    <xf numFmtId="0" fontId="33" fillId="0" borderId="4" xfId="0" applyFont="1" applyBorder="1" applyAlignment="1" applyProtection="1">
      <alignment horizontal="center" vertical="center" wrapText="1"/>
      <protection locked="0" hidden="1"/>
    </xf>
    <xf numFmtId="0" fontId="33" fillId="0" borderId="5" xfId="0" applyFont="1" applyBorder="1" applyAlignment="1" applyProtection="1">
      <alignment horizontal="center" vertical="center" wrapText="1"/>
      <protection locked="0" hidden="1"/>
    </xf>
    <xf numFmtId="0" fontId="33" fillId="3" borderId="3" xfId="0" applyFont="1" applyFill="1" applyBorder="1" applyAlignment="1">
      <alignment horizontal="left" vertical="center" wrapText="1"/>
    </xf>
    <xf numFmtId="0" fontId="33" fillId="3" borderId="4" xfId="0" applyFont="1" applyFill="1" applyBorder="1" applyAlignment="1">
      <alignment horizontal="left" vertical="center" wrapText="1"/>
    </xf>
    <xf numFmtId="0" fontId="33" fillId="6" borderId="3" xfId="0" applyFont="1" applyFill="1" applyBorder="1" applyAlignment="1" applyProtection="1">
      <alignment horizontal="center" vertical="center" wrapText="1"/>
      <protection locked="0"/>
    </xf>
    <xf numFmtId="0" fontId="33" fillId="6" borderId="5" xfId="0" applyFont="1" applyFill="1" applyBorder="1" applyAlignment="1" applyProtection="1">
      <alignment horizontal="center" vertical="center" wrapText="1"/>
      <protection locked="0"/>
    </xf>
    <xf numFmtId="0" fontId="43" fillId="2" borderId="3" xfId="0" applyFont="1" applyFill="1" applyBorder="1" applyAlignment="1">
      <alignment horizontal="left" vertical="center" wrapText="1"/>
    </xf>
    <xf numFmtId="0" fontId="43" fillId="2" borderId="4" xfId="0" applyFont="1" applyFill="1" applyBorder="1" applyAlignment="1">
      <alignment horizontal="left" vertical="center" wrapText="1"/>
    </xf>
    <xf numFmtId="0" fontId="43" fillId="2" borderId="5" xfId="0" applyFont="1" applyFill="1" applyBorder="1" applyAlignment="1">
      <alignment horizontal="left" vertical="center" wrapText="1"/>
    </xf>
    <xf numFmtId="0" fontId="42" fillId="2" borderId="3" xfId="0" applyFont="1" applyFill="1" applyBorder="1" applyAlignment="1">
      <alignment horizontal="left" vertical="center" wrapText="1"/>
    </xf>
    <xf numFmtId="0" fontId="42" fillId="2" borderId="4" xfId="0" applyFont="1" applyFill="1" applyBorder="1" applyAlignment="1">
      <alignment horizontal="left" vertical="center" wrapText="1"/>
    </xf>
    <xf numFmtId="0" fontId="42" fillId="2" borderId="5" xfId="0" applyFont="1" applyFill="1" applyBorder="1" applyAlignment="1">
      <alignment horizontal="left" vertical="center" wrapText="1"/>
    </xf>
    <xf numFmtId="0" fontId="33" fillId="2" borderId="1" xfId="0" quotePrefix="1" applyFont="1" applyFill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 wrapText="1"/>
    </xf>
    <xf numFmtId="0" fontId="43" fillId="2" borderId="4" xfId="0" applyFont="1" applyFill="1" applyBorder="1" applyAlignment="1">
      <alignment horizontal="center" vertical="center" wrapText="1"/>
    </xf>
    <xf numFmtId="0" fontId="43" fillId="2" borderId="5" xfId="0" applyFont="1" applyFill="1" applyBorder="1" applyAlignment="1">
      <alignment horizontal="center" vertical="center" wrapText="1"/>
    </xf>
    <xf numFmtId="0" fontId="44" fillId="2" borderId="3" xfId="0" applyFont="1" applyFill="1" applyBorder="1" applyAlignment="1">
      <alignment horizontal="left" wrapText="1"/>
    </xf>
    <xf numFmtId="0" fontId="44" fillId="2" borderId="4" xfId="0" applyFont="1" applyFill="1" applyBorder="1" applyAlignment="1">
      <alignment horizontal="left" wrapText="1"/>
    </xf>
    <xf numFmtId="0" fontId="44" fillId="2" borderId="5" xfId="0" applyFont="1" applyFill="1" applyBorder="1" applyAlignment="1">
      <alignment horizontal="left" wrapText="1"/>
    </xf>
    <xf numFmtId="0" fontId="32" fillId="2" borderId="1" xfId="8" applyFont="1" applyFill="1" applyBorder="1" applyAlignment="1">
      <alignment horizontal="center" vertical="center" textRotation="90" wrapText="1"/>
    </xf>
    <xf numFmtId="0" fontId="32" fillId="2" borderId="44" xfId="8" applyFont="1" applyFill="1" applyBorder="1" applyAlignment="1">
      <alignment horizontal="center" vertical="center" wrapText="1"/>
    </xf>
    <xf numFmtId="0" fontId="32" fillId="2" borderId="9" xfId="8" applyFont="1" applyFill="1" applyBorder="1" applyAlignment="1">
      <alignment horizontal="center" vertical="center" wrapText="1"/>
    </xf>
    <xf numFmtId="0" fontId="32" fillId="2" borderId="7" xfId="8" applyFont="1" applyFill="1" applyBorder="1" applyAlignment="1">
      <alignment horizontal="center" vertical="center" wrapText="1"/>
    </xf>
    <xf numFmtId="0" fontId="32" fillId="2" borderId="6" xfId="8" applyFont="1" applyFill="1" applyBorder="1" applyAlignment="1">
      <alignment horizontal="right" vertical="center" wrapText="1"/>
    </xf>
    <xf numFmtId="0" fontId="32" fillId="2" borderId="2" xfId="8" applyFont="1" applyFill="1" applyBorder="1" applyAlignment="1">
      <alignment horizontal="right" vertical="center" wrapText="1"/>
    </xf>
    <xf numFmtId="0" fontId="32" fillId="2" borderId="45" xfId="8" applyFont="1" applyFill="1" applyBorder="1" applyAlignment="1">
      <alignment horizontal="right" vertical="center" wrapText="1"/>
    </xf>
    <xf numFmtId="0" fontId="32" fillId="2" borderId="46" xfId="8" applyFont="1" applyFill="1" applyBorder="1" applyAlignment="1">
      <alignment horizontal="right" vertical="center" wrapText="1"/>
    </xf>
    <xf numFmtId="0" fontId="32" fillId="2" borderId="3" xfId="8" applyFont="1" applyFill="1" applyBorder="1" applyAlignment="1">
      <alignment horizontal="right" vertical="center" wrapText="1"/>
    </xf>
    <xf numFmtId="0" fontId="32" fillId="2" borderId="5" xfId="8" applyFont="1" applyFill="1" applyBorder="1" applyAlignment="1">
      <alignment horizontal="right" vertical="center" wrapText="1"/>
    </xf>
    <xf numFmtId="0" fontId="32" fillId="2" borderId="3" xfId="8" applyFont="1" applyFill="1" applyBorder="1" applyAlignment="1">
      <alignment horizontal="center" wrapText="1"/>
    </xf>
    <xf numFmtId="0" fontId="32" fillId="2" borderId="5" xfId="8" applyFont="1" applyFill="1" applyBorder="1" applyAlignment="1">
      <alignment horizontal="center" wrapText="1"/>
    </xf>
    <xf numFmtId="0" fontId="32" fillId="2" borderId="4" xfId="8" applyFont="1" applyFill="1" applyBorder="1" applyAlignment="1">
      <alignment horizontal="right" vertical="center" wrapText="1"/>
    </xf>
    <xf numFmtId="0" fontId="32" fillId="2" borderId="3" xfId="8" quotePrefix="1" applyFont="1" applyFill="1" applyBorder="1" applyAlignment="1">
      <alignment horizontal="right" vertical="center" wrapText="1"/>
    </xf>
    <xf numFmtId="2" fontId="33" fillId="4" borderId="3" xfId="8" quotePrefix="1" applyNumberFormat="1" applyFont="1" applyFill="1" applyBorder="1" applyAlignment="1" applyProtection="1">
      <alignment horizontal="center" wrapText="1"/>
      <protection hidden="1"/>
    </xf>
    <xf numFmtId="2" fontId="33" fillId="4" borderId="5" xfId="8" applyNumberFormat="1" applyFont="1" applyFill="1" applyBorder="1" applyAlignment="1" applyProtection="1">
      <alignment horizontal="center" wrapText="1"/>
      <protection hidden="1"/>
    </xf>
    <xf numFmtId="0" fontId="32" fillId="2" borderId="41" xfId="8" applyFont="1" applyFill="1" applyBorder="1" applyAlignment="1">
      <alignment horizontal="right" vertical="center" wrapText="1"/>
    </xf>
    <xf numFmtId="0" fontId="32" fillId="2" borderId="42" xfId="8" applyFont="1" applyFill="1" applyBorder="1" applyAlignment="1">
      <alignment horizontal="right" vertical="center" wrapText="1"/>
    </xf>
    <xf numFmtId="0" fontId="32" fillId="2" borderId="43" xfId="8" applyFont="1" applyFill="1" applyBorder="1" applyAlignment="1">
      <alignment horizontal="right" vertical="center" wrapText="1"/>
    </xf>
    <xf numFmtId="0" fontId="33" fillId="2" borderId="1" xfId="0" applyFont="1" applyFill="1" applyBorder="1" applyAlignment="1">
      <alignment vertical="center" wrapText="1"/>
    </xf>
    <xf numFmtId="0" fontId="43" fillId="2" borderId="1" xfId="0" applyFont="1" applyFill="1" applyBorder="1" applyAlignment="1" applyProtection="1">
      <alignment horizontal="center" vertical="center" wrapText="1"/>
      <protection hidden="1"/>
    </xf>
    <xf numFmtId="0" fontId="42" fillId="2" borderId="1" xfId="0" applyFont="1" applyFill="1" applyBorder="1" applyAlignment="1">
      <alignment vertical="center" wrapText="1"/>
    </xf>
    <xf numFmtId="0" fontId="38" fillId="2" borderId="3" xfId="8" applyFont="1" applyFill="1" applyBorder="1" applyAlignment="1">
      <alignment horizontal="center" vertical="center" wrapText="1"/>
    </xf>
    <xf numFmtId="0" fontId="38" fillId="2" borderId="4" xfId="8" applyFont="1" applyFill="1" applyBorder="1" applyAlignment="1">
      <alignment horizontal="center" vertical="center" wrapText="1"/>
    </xf>
    <xf numFmtId="0" fontId="38" fillId="2" borderId="5" xfId="8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2" fillId="2" borderId="13" xfId="8" applyFont="1" applyFill="1" applyBorder="1" applyAlignment="1">
      <alignment horizontal="center" vertical="center" textRotation="90" wrapText="1"/>
    </xf>
    <xf numFmtId="0" fontId="32" fillId="2" borderId="9" xfId="8" applyFont="1" applyFill="1" applyBorder="1" applyAlignment="1">
      <alignment horizontal="center" vertical="center" textRotation="90" wrapText="1"/>
    </xf>
    <xf numFmtId="0" fontId="32" fillId="2" borderId="7" xfId="8" applyFont="1" applyFill="1" applyBorder="1" applyAlignment="1">
      <alignment horizontal="center" vertical="center" textRotation="90" wrapText="1"/>
    </xf>
    <xf numFmtId="0" fontId="34" fillId="2" borderId="1" xfId="8" applyFont="1" applyFill="1" applyBorder="1" applyAlignment="1">
      <alignment horizontal="center" vertical="center" wrapText="1"/>
    </xf>
    <xf numFmtId="0" fontId="32" fillId="2" borderId="13" xfId="8" applyFont="1" applyFill="1" applyBorder="1" applyAlignment="1">
      <alignment horizontal="center" vertical="center" wrapText="1"/>
    </xf>
    <xf numFmtId="0" fontId="32" fillId="2" borderId="13" xfId="8" applyFont="1" applyFill="1" applyBorder="1" applyAlignment="1">
      <alignment horizontal="center" wrapText="1"/>
    </xf>
    <xf numFmtId="0" fontId="32" fillId="2" borderId="40" xfId="8" applyFont="1" applyFill="1" applyBorder="1" applyAlignment="1">
      <alignment horizontal="center" wrapText="1"/>
    </xf>
    <xf numFmtId="0" fontId="33" fillId="0" borderId="3" xfId="0" applyFont="1" applyBorder="1" applyAlignment="1" applyProtection="1">
      <alignment vertical="center" wrapText="1"/>
      <protection locked="0"/>
    </xf>
    <xf numFmtId="0" fontId="33" fillId="0" borderId="5" xfId="0" applyFont="1" applyBorder="1" applyAlignment="1" applyProtection="1">
      <alignment vertical="center" wrapText="1"/>
      <protection locked="0"/>
    </xf>
    <xf numFmtId="0" fontId="33" fillId="2" borderId="1" xfId="0" applyFont="1" applyFill="1" applyBorder="1" applyAlignment="1" applyProtection="1">
      <alignment vertical="center" wrapText="1"/>
      <protection hidden="1"/>
    </xf>
    <xf numFmtId="0" fontId="42" fillId="2" borderId="1" xfId="0" applyFont="1" applyFill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/>
      <protection locked="0"/>
    </xf>
    <xf numFmtId="0" fontId="33" fillId="2" borderId="3" xfId="0" applyFont="1" applyFill="1" applyBorder="1" applyAlignment="1">
      <alignment horizontal="left" vertical="center" wrapText="1"/>
    </xf>
    <xf numFmtId="0" fontId="33" fillId="2" borderId="5" xfId="0" applyFont="1" applyFill="1" applyBorder="1" applyAlignment="1">
      <alignment horizontal="left" vertical="center" wrapText="1"/>
    </xf>
    <xf numFmtId="2" fontId="33" fillId="4" borderId="3" xfId="0" applyNumberFormat="1" applyFont="1" applyFill="1" applyBorder="1" applyAlignment="1" applyProtection="1">
      <alignment horizontal="center" vertical="center" wrapText="1"/>
      <protection hidden="1"/>
    </xf>
    <xf numFmtId="2" fontId="33" fillId="4" borderId="5" xfId="0" applyNumberFormat="1" applyFont="1" applyFill="1" applyBorder="1" applyAlignment="1" applyProtection="1">
      <alignment horizontal="center" vertical="center" wrapText="1"/>
      <protection hidden="1"/>
    </xf>
    <xf numFmtId="0" fontId="33" fillId="0" borderId="1" xfId="0" applyFont="1" applyBorder="1" applyAlignment="1" applyProtection="1">
      <alignment horizontal="center" vertical="center" wrapText="1"/>
      <protection locked="0"/>
    </xf>
    <xf numFmtId="0" fontId="33" fillId="0" borderId="3" xfId="0" applyFont="1" applyBorder="1" applyAlignment="1" applyProtection="1">
      <alignment horizontal="center" vertical="center" wrapText="1"/>
      <protection locked="0"/>
    </xf>
    <xf numFmtId="0" fontId="33" fillId="0" borderId="5" xfId="0" applyFont="1" applyBorder="1" applyAlignment="1" applyProtection="1">
      <alignment horizontal="center" vertical="center" wrapText="1"/>
      <protection locked="0"/>
    </xf>
    <xf numFmtId="0" fontId="33" fillId="2" borderId="1" xfId="0" applyFont="1" applyFill="1" applyBorder="1" applyAlignment="1" applyProtection="1">
      <alignment horizontal="center" vertical="center" wrapText="1"/>
      <protection hidden="1"/>
    </xf>
    <xf numFmtId="0" fontId="42" fillId="2" borderId="1" xfId="0" applyFont="1" applyFill="1" applyBorder="1" applyAlignment="1" applyProtection="1">
      <alignment horizontal="center" vertical="center" wrapText="1"/>
      <protection hidden="1"/>
    </xf>
    <xf numFmtId="0" fontId="42" fillId="2" borderId="3" xfId="0" applyFont="1" applyFill="1" applyBorder="1" applyAlignment="1" applyProtection="1">
      <alignment horizontal="center" vertical="center" wrapText="1"/>
      <protection hidden="1"/>
    </xf>
    <xf numFmtId="0" fontId="42" fillId="2" borderId="4" xfId="0" applyFont="1" applyFill="1" applyBorder="1" applyAlignment="1" applyProtection="1">
      <alignment horizontal="center" vertical="center" wrapText="1"/>
      <protection hidden="1"/>
    </xf>
    <xf numFmtId="0" fontId="42" fillId="2" borderId="5" xfId="0" applyFont="1" applyFill="1" applyBorder="1" applyAlignment="1" applyProtection="1">
      <alignment horizontal="center" vertical="center" wrapText="1"/>
      <protection hidden="1"/>
    </xf>
    <xf numFmtId="0" fontId="33" fillId="2" borderId="13" xfId="0" applyFont="1" applyFill="1" applyBorder="1" applyAlignment="1" applyProtection="1">
      <alignment horizontal="center" vertical="center" wrapText="1"/>
      <protection hidden="1"/>
    </xf>
    <xf numFmtId="0" fontId="33" fillId="2" borderId="7" xfId="0" applyFont="1" applyFill="1" applyBorder="1" applyAlignment="1" applyProtection="1">
      <alignment horizontal="center" vertical="center" wrapText="1"/>
      <protection hidden="1"/>
    </xf>
    <xf numFmtId="0" fontId="33" fillId="0" borderId="3" xfId="0" applyFont="1" applyBorder="1" applyAlignment="1" applyProtection="1">
      <alignment horizontal="left" vertical="center" wrapText="1"/>
      <protection locked="0"/>
    </xf>
    <xf numFmtId="0" fontId="33" fillId="0" borderId="5" xfId="0" applyFont="1" applyBorder="1" applyAlignment="1" applyProtection="1">
      <alignment horizontal="left" vertical="center" wrapText="1"/>
      <protection locked="0"/>
    </xf>
    <xf numFmtId="0" fontId="43" fillId="2" borderId="1" xfId="0" applyFont="1" applyFill="1" applyBorder="1" applyAlignment="1" applyProtection="1">
      <alignment horizontal="left" vertical="center" wrapText="1"/>
      <protection hidden="1"/>
    </xf>
    <xf numFmtId="0" fontId="36" fillId="0" borderId="51" xfId="0" applyFont="1" applyBorder="1" applyAlignment="1" applyProtection="1">
      <alignment horizontal="center" vertical="center" textRotation="90"/>
      <protection hidden="1"/>
    </xf>
    <xf numFmtId="0" fontId="36" fillId="0" borderId="52" xfId="0" applyFont="1" applyBorder="1" applyAlignment="1" applyProtection="1">
      <alignment horizontal="center" vertical="center" textRotation="90"/>
      <protection hidden="1"/>
    </xf>
    <xf numFmtId="0" fontId="36" fillId="0" borderId="53" xfId="0" applyFont="1" applyBorder="1" applyAlignment="1" applyProtection="1">
      <alignment horizontal="center" vertical="center" textRotation="90"/>
      <protection hidden="1"/>
    </xf>
    <xf numFmtId="0" fontId="34" fillId="0" borderId="21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6" fillId="0" borderId="51" xfId="0" applyFont="1" applyBorder="1" applyAlignment="1" applyProtection="1">
      <alignment horizontal="center" vertical="center" textRotation="90" wrapText="1"/>
      <protection hidden="1"/>
    </xf>
    <xf numFmtId="0" fontId="36" fillId="0" borderId="52" xfId="0" applyFont="1" applyBorder="1" applyAlignment="1" applyProtection="1">
      <alignment horizontal="center" vertical="center" textRotation="90" wrapText="1"/>
      <protection hidden="1"/>
    </xf>
    <xf numFmtId="0" fontId="36" fillId="0" borderId="53" xfId="0" applyFont="1" applyBorder="1" applyAlignment="1" applyProtection="1">
      <alignment horizontal="center" vertical="center" textRotation="90" wrapText="1"/>
      <protection hidden="1"/>
    </xf>
    <xf numFmtId="0" fontId="36" fillId="0" borderId="3" xfId="0" applyFont="1" applyBorder="1" applyAlignment="1" applyProtection="1">
      <alignment horizontal="center"/>
      <protection locked="0"/>
    </xf>
    <xf numFmtId="0" fontId="36" fillId="0" borderId="24" xfId="0" applyFont="1" applyBorder="1" applyAlignment="1" applyProtection="1">
      <alignment horizontal="center"/>
      <protection locked="0"/>
    </xf>
    <xf numFmtId="0" fontId="36" fillId="0" borderId="49" xfId="0" applyFont="1" applyBorder="1" applyAlignment="1" applyProtection="1">
      <alignment horizontal="center"/>
      <protection locked="0"/>
    </xf>
    <xf numFmtId="0" fontId="36" fillId="0" borderId="50" xfId="0" applyFont="1" applyBorder="1" applyAlignment="1" applyProtection="1">
      <alignment horizontal="center"/>
      <protection locked="0"/>
    </xf>
    <xf numFmtId="2" fontId="32" fillId="4" borderId="39" xfId="9" applyNumberFormat="1" applyFont="1" applyFill="1" applyBorder="1" applyAlignment="1" applyProtection="1">
      <alignment horizontal="center" vertical="center" wrapText="1"/>
      <protection hidden="1"/>
    </xf>
    <xf numFmtId="2" fontId="32" fillId="4" borderId="38" xfId="9" applyNumberFormat="1" applyFont="1" applyFill="1" applyBorder="1" applyAlignment="1" applyProtection="1">
      <alignment horizontal="center" vertical="center" wrapText="1"/>
      <protection hidden="1"/>
    </xf>
    <xf numFmtId="0" fontId="36" fillId="0" borderId="6" xfId="0" applyFont="1" applyBorder="1" applyAlignment="1" applyProtection="1">
      <alignment horizontal="center"/>
      <protection locked="0"/>
    </xf>
    <xf numFmtId="0" fontId="36" fillId="0" borderId="27" xfId="0" applyFont="1" applyBorder="1" applyAlignment="1" applyProtection="1">
      <alignment horizontal="center"/>
      <protection locked="0"/>
    </xf>
    <xf numFmtId="0" fontId="34" fillId="0" borderId="21" xfId="0" applyFont="1" applyBorder="1" applyAlignment="1">
      <alignment vertical="center" wrapText="1"/>
    </xf>
    <xf numFmtId="0" fontId="34" fillId="0" borderId="18" xfId="0" applyFont="1" applyBorder="1" applyAlignment="1">
      <alignment vertical="center" wrapText="1"/>
    </xf>
    <xf numFmtId="0" fontId="34" fillId="0" borderId="17" xfId="0" applyFont="1" applyBorder="1" applyAlignment="1">
      <alignment vertical="center" wrapText="1"/>
    </xf>
    <xf numFmtId="0" fontId="38" fillId="0" borderId="21" xfId="0" applyFont="1" applyBorder="1" applyAlignment="1" applyProtection="1">
      <alignment vertical="center" wrapText="1"/>
      <protection locked="0"/>
    </xf>
    <xf numFmtId="0" fontId="38" fillId="0" borderId="17" xfId="0" applyFont="1" applyBorder="1" applyAlignment="1" applyProtection="1">
      <alignment vertical="center" wrapText="1"/>
      <protection locked="0"/>
    </xf>
    <xf numFmtId="0" fontId="38" fillId="0" borderId="18" xfId="0" applyFont="1" applyBorder="1" applyAlignment="1" applyProtection="1">
      <alignment vertical="center" wrapText="1"/>
      <protection locked="0"/>
    </xf>
    <xf numFmtId="0" fontId="2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34" fillId="2" borderId="1" xfId="0" applyFont="1" applyFill="1" applyBorder="1" applyAlignment="1">
      <alignment horizontal="center" vertical="center" wrapText="1"/>
    </xf>
    <xf numFmtId="0" fontId="34" fillId="2" borderId="1" xfId="0" quotePrefix="1" applyFont="1" applyFill="1" applyBorder="1" applyAlignment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 wrapText="1"/>
      <protection hidden="1"/>
    </xf>
    <xf numFmtId="0" fontId="32" fillId="2" borderId="1" xfId="0" applyFont="1" applyFill="1" applyBorder="1" applyAlignment="1">
      <alignment vertical="center" wrapText="1"/>
    </xf>
    <xf numFmtId="0" fontId="32" fillId="2" borderId="3" xfId="0" applyFont="1" applyFill="1" applyBorder="1" applyAlignment="1">
      <alignment horizontal="left" vertical="center" wrapText="1"/>
    </xf>
    <xf numFmtId="0" fontId="32" fillId="2" borderId="5" xfId="0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 applyProtection="1">
      <alignment horizontal="center" vertical="center" wrapText="1"/>
      <protection hidden="1"/>
    </xf>
    <xf numFmtId="0" fontId="32" fillId="2" borderId="1" xfId="0" quotePrefix="1" applyFont="1" applyFill="1" applyBorder="1" applyAlignment="1" applyProtection="1">
      <alignment horizontal="left" vertical="center" wrapText="1"/>
      <protection hidden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1" xfId="0" quotePrefix="1" applyFont="1" applyFill="1" applyBorder="1" applyAlignment="1">
      <alignment horizontal="left" vertical="center" wrapText="1"/>
    </xf>
    <xf numFmtId="0" fontId="32" fillId="2" borderId="1" xfId="0" applyFont="1" applyFill="1" applyBorder="1" applyAlignment="1">
      <alignment horizontal="left" vertical="center" wrapText="1"/>
    </xf>
    <xf numFmtId="0" fontId="32" fillId="2" borderId="3" xfId="0" quotePrefix="1" applyFont="1" applyFill="1" applyBorder="1" applyAlignment="1">
      <alignment horizontal="left" vertical="center" wrapText="1"/>
    </xf>
    <xf numFmtId="0" fontId="35" fillId="2" borderId="1" xfId="0" quotePrefix="1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center" vertical="center" wrapText="1"/>
    </xf>
  </cellXfs>
  <cellStyles count="18">
    <cellStyle name="20% - Accent1" xfId="12" builtinId="30"/>
    <cellStyle name="Calculation" xfId="14" builtinId="22"/>
    <cellStyle name="Comma" xfId="9" builtinId="3"/>
    <cellStyle name="Comma 4 2" xfId="15" xr:uid="{44B71490-8CEE-43D9-8869-D31B70ECA5A2}"/>
    <cellStyle name="Currency" xfId="10" builtinId="4"/>
    <cellStyle name="Good" xfId="13" builtinId="26"/>
    <cellStyle name="Hyperlink" xfId="17" builtinId="8"/>
    <cellStyle name="Normal" xfId="0" builtinId="0"/>
    <cellStyle name="Normal 10 2" xfId="16" xr:uid="{05E9051F-0EAC-4494-97FF-C605DFC7B27A}"/>
    <cellStyle name="Normal 2" xfId="1" xr:uid="{00000000-0005-0000-0000-000006000000}"/>
    <cellStyle name="Normal 3" xfId="2" xr:uid="{00000000-0005-0000-0000-000007000000}"/>
    <cellStyle name="Normal 3 2" xfId="3" xr:uid="{00000000-0005-0000-0000-000008000000}"/>
    <cellStyle name="Normal 3 3" xfId="4" xr:uid="{00000000-0005-0000-0000-000009000000}"/>
    <cellStyle name="Normal 3 4" xfId="5" xr:uid="{00000000-0005-0000-0000-00000A000000}"/>
    <cellStyle name="Normal 4" xfId="6" xr:uid="{00000000-0005-0000-0000-00000B000000}"/>
    <cellStyle name="Normal 5" xfId="8" xr:uid="{00000000-0005-0000-0000-00000C000000}"/>
    <cellStyle name="Normal 5 2" xfId="7" xr:uid="{00000000-0005-0000-0000-00000D000000}"/>
    <cellStyle name="Percent" xfId="11" builtinId="5"/>
  </cellStyles>
  <dxfs count="60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247D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3.xml"/><Relationship Id="rId42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38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openxmlformats.org/officeDocument/2006/relationships/externalLink" Target="externalLinks/externalLink6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4.xml"/><Relationship Id="rId43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Electric</a:t>
            </a:r>
            <a:r>
              <a:rPr lang="en-US" baseline="0"/>
              <a:t> Usage (kwh)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Measured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'4e-f. Usage to GHG'!$C$6:$C$17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1E-4F7C-845E-B05A3B06333F}"/>
            </c:ext>
          </c:extLst>
        </c:ser>
        <c:ser>
          <c:idx val="1"/>
          <c:order val="1"/>
          <c:tx>
            <c:v>Modeled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'8a. Usage - Actual v Modeled'!$C$6:$C$17</c:f>
              <c:numCache>
                <c:formatCode>#,##0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1E-4F7C-845E-B05A3B0633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3482335"/>
        <c:axId val="657024367"/>
      </c:lineChart>
      <c:catAx>
        <c:axId val="71348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024367"/>
        <c:crosses val="autoZero"/>
        <c:auto val="1"/>
        <c:lblAlgn val="ctr"/>
        <c:lblOffset val="100"/>
        <c:noMultiLvlLbl val="0"/>
      </c:catAx>
      <c:valAx>
        <c:axId val="65702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2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Natural Gas</a:t>
            </a:r>
            <a:r>
              <a:rPr lang="en-US" baseline="0"/>
              <a:t> Usage (therm)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Measured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'4e-f. Usage to GHG'!$E$6:$E$17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A6-42F6-AA2D-29547D646DFE}"/>
            </c:ext>
          </c:extLst>
        </c:ser>
        <c:ser>
          <c:idx val="1"/>
          <c:order val="1"/>
          <c:tx>
            <c:v>Modeled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'8a. Usage - Actual v Modeled'!$E$6:$E$17</c:f>
              <c:numCache>
                <c:formatCode>_(* #,##0_);_(* \(#,##0\);_(* "-"??_);_(@_)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A6-42F6-AA2D-29547D646D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3482335"/>
        <c:axId val="657024367"/>
      </c:lineChart>
      <c:catAx>
        <c:axId val="71348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024367"/>
        <c:crosses val="autoZero"/>
        <c:auto val="1"/>
        <c:lblAlgn val="ctr"/>
        <c:lblOffset val="100"/>
        <c:noMultiLvlLbl val="0"/>
      </c:catAx>
      <c:valAx>
        <c:axId val="65702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2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Input Other Fuel </a:t>
            </a:r>
            <a:r>
              <a:rPr lang="en-US" baseline="0"/>
              <a:t>Usage (kBTU)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Measured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'4e-f. Usage to GHG'!$G$6:$G$17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B1-4E02-8DCE-17B00260BE7F}"/>
            </c:ext>
          </c:extLst>
        </c:ser>
        <c:ser>
          <c:idx val="1"/>
          <c:order val="1"/>
          <c:tx>
            <c:v>Modeled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'8a. Usage - Actual v Modeled'!$G$6:$G$17</c:f>
              <c:numCache>
                <c:formatCode>_(* #,##0_);_(* \(#,##0\);_(* "-"??_);_(@_)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B1-4E02-8DCE-17B00260BE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3482335"/>
        <c:axId val="657024367"/>
      </c:lineChart>
      <c:catAx>
        <c:axId val="71348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024367"/>
        <c:crosses val="autoZero"/>
        <c:auto val="1"/>
        <c:lblAlgn val="ctr"/>
        <c:lblOffset val="100"/>
        <c:noMultiLvlLbl val="0"/>
      </c:catAx>
      <c:valAx>
        <c:axId val="65702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2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Input Other</a:t>
            </a:r>
            <a:r>
              <a:rPr lang="en-US" baseline="0"/>
              <a:t> </a:t>
            </a:r>
            <a:r>
              <a:rPr lang="en-US"/>
              <a:t>Fuel </a:t>
            </a:r>
            <a:r>
              <a:rPr lang="en-US" baseline="0"/>
              <a:t>Usage (kBTU)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Measured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'4e-f. Usage to GHG'!$H$6:$H$17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9-4A0A-B8DE-898EBAE8FDD6}"/>
            </c:ext>
          </c:extLst>
        </c:ser>
        <c:ser>
          <c:idx val="1"/>
          <c:order val="1"/>
          <c:tx>
            <c:v>Modeled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'8a. Usage - Actual v Modeled'!$H$6:$H$17</c:f>
              <c:numCache>
                <c:formatCode>_(* #,##0_);_(* \(#,##0\);_(* "-"??_);_(@_)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9-4A0A-B8DE-898EBAE8FD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3482335"/>
        <c:axId val="657024367"/>
      </c:lineChart>
      <c:catAx>
        <c:axId val="71348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024367"/>
        <c:crosses val="autoZero"/>
        <c:auto val="1"/>
        <c:lblAlgn val="ctr"/>
        <c:lblOffset val="100"/>
        <c:noMultiLvlLbl val="0"/>
      </c:catAx>
      <c:valAx>
        <c:axId val="65702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2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District</a:t>
            </a:r>
            <a:r>
              <a:rPr lang="en-US" baseline="0"/>
              <a:t> </a:t>
            </a:r>
            <a:r>
              <a:rPr lang="en-US"/>
              <a:t>Steam </a:t>
            </a:r>
            <a:r>
              <a:rPr lang="en-US" baseline="0"/>
              <a:t>Usage (kBTU)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Measured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'4e-f. Usage to GHG'!$F$6:$F$17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2C-4A85-B6E6-2623D2CF5A7C}"/>
            </c:ext>
          </c:extLst>
        </c:ser>
        <c:ser>
          <c:idx val="1"/>
          <c:order val="1"/>
          <c:tx>
            <c:v>Modeled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'8a. Usage - Actual v Modeled'!$F$6:$F$17</c:f>
              <c:numCache>
                <c:formatCode>_(* #,##0_);_(* \(#,##0\);_(* "-"??_);_(@_)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2C-4A85-B6E6-2623D2CF5A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3482335"/>
        <c:axId val="657024367"/>
      </c:lineChart>
      <c:catAx>
        <c:axId val="71348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024367"/>
        <c:crosses val="autoZero"/>
        <c:auto val="1"/>
        <c:lblAlgn val="ctr"/>
        <c:lblOffset val="100"/>
        <c:noMultiLvlLbl val="0"/>
      </c:catAx>
      <c:valAx>
        <c:axId val="65702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2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Electric</a:t>
            </a:r>
            <a:r>
              <a:rPr lang="en-US" baseline="0"/>
              <a:t> Usage (kW)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Measured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'4e-f. Usage to GHG'!$D$6:$D$17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3F-4BE7-B346-2D511B938AA3}"/>
            </c:ext>
          </c:extLst>
        </c:ser>
        <c:ser>
          <c:idx val="1"/>
          <c:order val="1"/>
          <c:tx>
            <c:v>Modeled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'8a. Usage - Actual v Modeled'!$D$6:$D$17</c:f>
              <c:numCache>
                <c:formatCode>_(* #,##0_);_(* \(#,##0\);_(* "-"??_);_(@_)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63F-4BE7-B346-2D511B938A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3482335"/>
        <c:axId val="657024367"/>
      </c:lineChart>
      <c:catAx>
        <c:axId val="71348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024367"/>
        <c:crosses val="autoZero"/>
        <c:auto val="1"/>
        <c:lblAlgn val="ctr"/>
        <c:lblOffset val="100"/>
        <c:noMultiLvlLbl val="0"/>
      </c:catAx>
      <c:valAx>
        <c:axId val="65702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2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Input Other Fuel Usage </a:t>
            </a:r>
            <a:r>
              <a:rPr lang="en-US" baseline="0"/>
              <a:t>(kBTU)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Measured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'4e-f. Usage to GHG'!$I$6:$I$17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FE-45C0-A7BC-2C843B930C76}"/>
            </c:ext>
          </c:extLst>
        </c:ser>
        <c:ser>
          <c:idx val="1"/>
          <c:order val="1"/>
          <c:tx>
            <c:v>Modeled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'8a. Usage - Actual v Modeled'!$I$6:$I$17</c:f>
              <c:numCache>
                <c:formatCode>_(* #,##0_);_(* \(#,##0\);_(* "-"??_);_(@_)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FE-45C0-A7BC-2C843B930C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3482335"/>
        <c:axId val="657024367"/>
      </c:lineChart>
      <c:catAx>
        <c:axId val="71348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024367"/>
        <c:crosses val="autoZero"/>
        <c:auto val="1"/>
        <c:lblAlgn val="ctr"/>
        <c:lblOffset val="100"/>
        <c:noMultiLvlLbl val="0"/>
      </c:catAx>
      <c:valAx>
        <c:axId val="65702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2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>
      <c:oddHeader>&amp;L&amp;G&amp;C
&amp;"-,Bold"&amp;16EN97A: GHG Adjustments Form</c:oddHeader>
    </c:headerFooter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Input Other Fuel</a:t>
            </a:r>
            <a:r>
              <a:rPr lang="en-US" baseline="0"/>
              <a:t> Usage </a:t>
            </a:r>
            <a:r>
              <a:rPr lang="en-US"/>
              <a:t>(kBTU)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Measured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'4e-f. Usage to GHG'!$K$6:$K$17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F4-4D26-A497-A14F0166E784}"/>
            </c:ext>
          </c:extLst>
        </c:ser>
        <c:ser>
          <c:idx val="1"/>
          <c:order val="1"/>
          <c:tx>
            <c:v>Modeled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'8a. Usage - Actual v Modeled'!$K$6:$K$17</c:f>
              <c:numCache>
                <c:formatCode>_(* #,##0_);_(* \(#,##0\);_(* "-"??_);_(@_)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F4-4D26-A497-A14F0166E7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3482335"/>
        <c:axId val="657024367"/>
      </c:lineChart>
      <c:catAx>
        <c:axId val="71348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024367"/>
        <c:crosses val="autoZero"/>
        <c:auto val="1"/>
        <c:lblAlgn val="ctr"/>
        <c:lblOffset val="100"/>
        <c:noMultiLvlLbl val="0"/>
      </c:catAx>
      <c:valAx>
        <c:axId val="65702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2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Input Other</a:t>
            </a:r>
            <a:r>
              <a:rPr lang="en-US" baseline="0"/>
              <a:t> Fuel Usage (kBTU)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Measured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'4e-f. Usage to GHG'!$J$6:$J$17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1C-4804-A252-43019263120E}"/>
            </c:ext>
          </c:extLst>
        </c:ser>
        <c:ser>
          <c:idx val="1"/>
          <c:order val="1"/>
          <c:tx>
            <c:v>Modeled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'8a. Usage - Actual v Modeled'!$A$6:$B$17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 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'8a. Usage - Actual v Modeled'!$J$6:$J$17</c:f>
              <c:numCache>
                <c:formatCode>_(* #,##0_);_(* \(#,##0\);_(* "-"??_);_(@_)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1C-4804-A252-4301926312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3482335"/>
        <c:axId val="657024367"/>
      </c:lineChart>
      <c:catAx>
        <c:axId val="71348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024367"/>
        <c:crosses val="autoZero"/>
        <c:auto val="1"/>
        <c:lblAlgn val="ctr"/>
        <c:lblOffset val="100"/>
        <c:noMultiLvlLbl val="0"/>
      </c:catAx>
      <c:valAx>
        <c:axId val="65702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2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>
      <c:oddHeader>&amp;L&amp;G&amp;C
&amp;"-,Bold"&amp;16EN97A: GHG Adjustments Form</c:oddHeader>
    </c:headerFooter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220979</xdr:colOff>
      <xdr:row>28</xdr:row>
      <xdr:rowOff>149033</xdr:rowOff>
    </xdr:from>
    <xdr:to>
      <xdr:col>8</xdr:col>
      <xdr:colOff>1191658</xdr:colOff>
      <xdr:row>44</xdr:row>
      <xdr:rowOff>20954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6729" y="5578283"/>
          <a:ext cx="7333379" cy="27675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470501</xdr:colOff>
      <xdr:row>22</xdr:row>
      <xdr:rowOff>72352</xdr:rowOff>
    </xdr:from>
    <xdr:ext cx="2329399" cy="944473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351" y="10549852"/>
          <a:ext cx="2329399" cy="944473"/>
        </a:xfrm>
        <a:prstGeom prst="rect">
          <a:avLst/>
        </a:prstGeom>
      </xdr:spPr>
    </xdr:pic>
    <xdr:clientData/>
  </xdr:oneCellAnchor>
  <xdr:oneCellAnchor>
    <xdr:from>
      <xdr:col>1</xdr:col>
      <xdr:colOff>21871</xdr:colOff>
      <xdr:row>29</xdr:row>
      <xdr:rowOff>154919</xdr:rowOff>
    </xdr:from>
    <xdr:ext cx="5147387" cy="3919352"/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721" y="11921469"/>
          <a:ext cx="5147387" cy="3919352"/>
        </a:xfrm>
        <a:prstGeom prst="rect">
          <a:avLst/>
        </a:prstGeom>
      </xdr:spPr>
    </xdr:pic>
    <xdr:clientData/>
  </xdr:oneCellAnchor>
  <xdr:oneCellAnchor>
    <xdr:from>
      <xdr:col>1</xdr:col>
      <xdr:colOff>16933</xdr:colOff>
      <xdr:row>54</xdr:row>
      <xdr:rowOff>127001</xdr:rowOff>
    </xdr:from>
    <xdr:ext cx="4331791" cy="2050345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783" y="16497301"/>
          <a:ext cx="4331791" cy="205034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1</xdr:row>
      <xdr:rowOff>85725</xdr:rowOff>
    </xdr:from>
    <xdr:to>
      <xdr:col>8</xdr:col>
      <xdr:colOff>6350</xdr:colOff>
      <xdr:row>16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50800</xdr:rowOff>
    </xdr:from>
    <xdr:to>
      <xdr:col>7</xdr:col>
      <xdr:colOff>673100</xdr:colOff>
      <xdr:row>31</xdr:row>
      <xdr:rowOff>177800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</xdr:colOff>
      <xdr:row>34</xdr:row>
      <xdr:rowOff>38100</xdr:rowOff>
    </xdr:from>
    <xdr:to>
      <xdr:col>7</xdr:col>
      <xdr:colOff>669925</xdr:colOff>
      <xdr:row>49</xdr:row>
      <xdr:rowOff>82550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377825</xdr:colOff>
      <xdr:row>34</xdr:row>
      <xdr:rowOff>22225</xdr:rowOff>
    </xdr:from>
    <xdr:to>
      <xdr:col>14</xdr:col>
      <xdr:colOff>476250</xdr:colOff>
      <xdr:row>49</xdr:row>
      <xdr:rowOff>53975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377825</xdr:colOff>
      <xdr:row>17</xdr:row>
      <xdr:rowOff>34925</xdr:rowOff>
    </xdr:from>
    <xdr:to>
      <xdr:col>14</xdr:col>
      <xdr:colOff>469900</xdr:colOff>
      <xdr:row>31</xdr:row>
      <xdr:rowOff>161925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393700</xdr:colOff>
      <xdr:row>1</xdr:row>
      <xdr:rowOff>69850</xdr:rowOff>
    </xdr:from>
    <xdr:to>
      <xdr:col>14</xdr:col>
      <xdr:colOff>485775</xdr:colOff>
      <xdr:row>16</xdr:row>
      <xdr:rowOff>101600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1</xdr:row>
      <xdr:rowOff>95250</xdr:rowOff>
    </xdr:from>
    <xdr:to>
      <xdr:col>8</xdr:col>
      <xdr:colOff>6350</xdr:colOff>
      <xdr:row>16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50800</xdr:rowOff>
    </xdr:from>
    <xdr:to>
      <xdr:col>7</xdr:col>
      <xdr:colOff>711200</xdr:colOff>
      <xdr:row>31</xdr:row>
      <xdr:rowOff>177800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476251</xdr:colOff>
      <xdr:row>1</xdr:row>
      <xdr:rowOff>98425</xdr:rowOff>
    </xdr:from>
    <xdr:to>
      <xdr:col>15</xdr:col>
      <xdr:colOff>95250</xdr:colOff>
      <xdr:row>16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yco365-my.sharepoint.com/Users/emhoffman/Desktop/Modeling%20Checklists/LEED%20EAc2%20Workboo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yco365-my.sharepoint.com/Users/emhoffman/Desktop/Modeling%20Checklists/Copy%20of%20NCPXXXXX%20WB%20Template%20V3B%2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yco365-my.sharepoint.com/personal/lalafoyiannis_buildings_nyc_gov/Documents/ST97/Adjustments%20Program%20(IT)%20and%20Supporting%20Docs/EN97/EN97A-08.21.202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yco365-my.sharepoint.com/personal/lalafoyiannis_buildings_nyc_gov/Documents/ST97/Adjustments%20Program%20(IT)%20and%20Supporting%20Docs/EN97/MPP%20V7%20SAV-IT%20Tool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yco365-my.sharepoint.com/Users/emhoffman/Desktop/Modeling%20Checklists/MPP%20NC%20-%20ERP%20Tables%20v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yco365-my.sharepoint.com/personal/lalafoyiannis_buildings_nyc_gov/Documents/ST97/Adjustments%20Program%20(IT)%20and%20Supporting%20Docs/EN97/Model%20Calibration%20Too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yco365-my.sharepoint.com/Users/emhoffman/Desktop/Copy%20of%20v4_Minimum%20Energy%20Performance%20Calculator_June_7_2016_Fix_Unlocked%20-%20UPDATED%20FOR%20BM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Opaque Envelope"/>
      <sheetName val="QC Checklist"/>
      <sheetName val="Envelope Lookup"/>
      <sheetName val="Shading &amp; Fenestration"/>
      <sheetName val="Lighting"/>
      <sheetName val="Equipment"/>
      <sheetName val="Service Water Heating"/>
      <sheetName val="General HVAC"/>
      <sheetName val="Air-Side HVAC Details"/>
      <sheetName val="Water-Side HVAC Details"/>
      <sheetName val="Lighting Lookup"/>
      <sheetName val="HVAC Lookup"/>
    </sheetNames>
    <sheetDataSet>
      <sheetData sheetId="0" refreshError="1"/>
      <sheetData sheetId="1" refreshError="1"/>
      <sheetData sheetId="2" refreshError="1"/>
      <sheetData sheetId="3">
        <row r="1">
          <cell r="X1" t="str">
            <v>Nonmetal framing (all)</v>
          </cell>
          <cell r="Y1" t="str">
            <v>Metal framing (curtainwall/storefront)</v>
          </cell>
          <cell r="Z1" t="str">
            <v>Metal framing (entrance door)</v>
          </cell>
          <cell r="AA1" t="str">
            <v>Metal framing (all other)</v>
          </cell>
          <cell r="AC1" t="str">
            <v>Skylight with Curb, Glass, 0%-2.0%</v>
          </cell>
          <cell r="AD1" t="str">
            <v>Skylight with Curb, Glass, 2.1%-5.0%</v>
          </cell>
          <cell r="AE1" t="str">
            <v>Skylight with Curb, Plastic, 0%-2.0%</v>
          </cell>
          <cell r="AF1" t="str">
            <v>Skylight with Curb, Plastic, 2.1%-5.0%</v>
          </cell>
          <cell r="AG1" t="str">
            <v>Skylight without Curb, All, 0%-2.0%</v>
          </cell>
          <cell r="AH1" t="str">
            <v>Skylight without Curb, All, 2.1%-5.0%</v>
          </cell>
        </row>
        <row r="2">
          <cell r="A2" t="str">
            <v>1A</v>
          </cell>
          <cell r="BP2" t="str">
            <v>New</v>
          </cell>
          <cell r="BQ2" t="str">
            <v>Residential</v>
          </cell>
        </row>
        <row r="3">
          <cell r="A3" t="str">
            <v>1B</v>
          </cell>
          <cell r="BP3" t="str">
            <v/>
          </cell>
          <cell r="BQ3" t="str">
            <v>Semiheated</v>
          </cell>
        </row>
        <row r="4">
          <cell r="A4" t="str">
            <v>2A</v>
          </cell>
          <cell r="BQ4" t="str">
            <v/>
          </cell>
        </row>
        <row r="5">
          <cell r="A5" t="str">
            <v>2B</v>
          </cell>
        </row>
        <row r="6">
          <cell r="A6" t="str">
            <v>3A</v>
          </cell>
        </row>
        <row r="7">
          <cell r="A7" t="str">
            <v>3B</v>
          </cell>
        </row>
        <row r="8">
          <cell r="A8" t="str">
            <v>3C</v>
          </cell>
        </row>
        <row r="9">
          <cell r="A9" t="str">
            <v>4A</v>
          </cell>
        </row>
        <row r="10">
          <cell r="A10" t="str">
            <v>4B</v>
          </cell>
        </row>
        <row r="11">
          <cell r="A11" t="str">
            <v>4C</v>
          </cell>
        </row>
        <row r="12">
          <cell r="A12" t="str">
            <v>5A</v>
          </cell>
        </row>
        <row r="13">
          <cell r="A13" t="str">
            <v>5B</v>
          </cell>
        </row>
        <row r="14">
          <cell r="A14" t="str">
            <v>5C</v>
          </cell>
        </row>
        <row r="15">
          <cell r="A15" t="str">
            <v>6A</v>
          </cell>
        </row>
        <row r="16">
          <cell r="A16" t="str">
            <v>6B</v>
          </cell>
        </row>
        <row r="17">
          <cell r="A17" t="str">
            <v>7A</v>
          </cell>
        </row>
        <row r="18">
          <cell r="A18" t="str">
            <v>7B</v>
          </cell>
        </row>
        <row r="19">
          <cell r="A19">
            <v>8</v>
          </cell>
        </row>
      </sheetData>
      <sheetData sheetId="4">
        <row r="37">
          <cell r="H37" t="str">
            <v>NFRC testing for site-assembled fenestration</v>
          </cell>
        </row>
        <row r="38">
          <cell r="H38" t="str">
            <v>NFRC testing for manufactured fenestration assemblies</v>
          </cell>
        </row>
        <row r="39">
          <cell r="H39" t="str">
            <v>Table A8.2 (windows) and Table A8.1 (skylights)</v>
          </cell>
        </row>
        <row r="40">
          <cell r="H40" t="str">
            <v>LBNL Window 5 or Window 6 calculations</v>
          </cell>
        </row>
        <row r="41">
          <cell r="H41" t="str">
            <v>Energy simulation includes separate frame and glazing</v>
          </cell>
        </row>
        <row r="42">
          <cell r="H42" t="str">
            <v>Other (Describe)</v>
          </cell>
        </row>
      </sheetData>
      <sheetData sheetId="5">
        <row r="27">
          <cell r="B27" t="str">
            <v>Dormitory-Living Quarters</v>
          </cell>
        </row>
        <row r="28">
          <cell r="B28" t="str">
            <v>Active Storage</v>
          </cell>
        </row>
        <row r="29">
          <cell r="B29" t="str">
            <v>Lobby</v>
          </cell>
        </row>
        <row r="30">
          <cell r="B30" t="str">
            <v>Corridor/Transition</v>
          </cell>
        </row>
        <row r="31">
          <cell r="B31" t="str">
            <v>Stairs-Active</v>
          </cell>
        </row>
        <row r="32">
          <cell r="B32" t="str">
            <v>Conference/Meeting/Multipurpose</v>
          </cell>
        </row>
        <row r="33">
          <cell r="B33" t="str">
            <v>Electrical/Mechanical</v>
          </cell>
        </row>
        <row r="34">
          <cell r="B34" t="str">
            <v>Office-Enclosed</v>
          </cell>
        </row>
        <row r="35">
          <cell r="B35" t="str">
            <v>Workshop</v>
          </cell>
        </row>
        <row r="36">
          <cell r="B36" t="str">
            <v>Restrooms</v>
          </cell>
        </row>
        <row r="37">
          <cell r="B37" t="str">
            <v>Gymnasium/Exercise Center-Playing Area</v>
          </cell>
        </row>
        <row r="38">
          <cell r="B38" t="str">
            <v>Dressing/Locker/Fitting Room</v>
          </cell>
        </row>
      </sheetData>
      <sheetData sheetId="6" refreshError="1"/>
      <sheetData sheetId="7" refreshError="1"/>
      <sheetData sheetId="8">
        <row r="20">
          <cell r="B20" t="str">
            <v>Heat Pump System</v>
          </cell>
        </row>
        <row r="21">
          <cell r="B21" t="str">
            <v>Unit Heater</v>
          </cell>
        </row>
        <row r="30">
          <cell r="C30" t="str">
            <v>System 1 - PTAC</v>
          </cell>
        </row>
        <row r="32">
          <cell r="C32" t="str">
            <v>-</v>
          </cell>
        </row>
      </sheetData>
      <sheetData sheetId="9" refreshError="1"/>
      <sheetData sheetId="10" refreshError="1"/>
      <sheetData sheetId="11"/>
      <sheetData sheetId="12">
        <row r="9">
          <cell r="L9" t="str">
            <v>kBtu/h</v>
          </cell>
        </row>
        <row r="10">
          <cell r="A10" t="str">
            <v>System 1 - PTAC</v>
          </cell>
          <cell r="B10">
            <v>1</v>
          </cell>
          <cell r="C10" t="str">
            <v>System 1 - PTAC</v>
          </cell>
          <cell r="D10" t="str">
            <v>System 1 (District Cooling) - 4-pipe Fan Coil with HW Boiler</v>
          </cell>
          <cell r="E10" t="str">
            <v>System 1 (District Heating) - PTAC</v>
          </cell>
          <cell r="F10" t="str">
            <v>System 1 (District Heating &amp; Cooling) - 4-pipe Fan Coil</v>
          </cell>
          <cell r="G10" t="str">
            <v>Describe the California Title-24 Baseline System Type</v>
          </cell>
          <cell r="H10">
            <v>2.9999999999999997E-4</v>
          </cell>
          <cell r="I10">
            <v>0</v>
          </cell>
          <cell r="J10">
            <v>0</v>
          </cell>
          <cell r="K10">
            <v>0</v>
          </cell>
          <cell r="L10" t="str">
            <v>tons</v>
          </cell>
          <cell r="U10">
            <v>0</v>
          </cell>
          <cell r="W10">
            <v>0.82499999999999996</v>
          </cell>
        </row>
        <row r="11">
          <cell r="A11" t="str">
            <v>System 2 - PTHP</v>
          </cell>
          <cell r="B11">
            <v>2</v>
          </cell>
          <cell r="C11" t="str">
            <v>System 2 - PTHP</v>
          </cell>
          <cell r="D11" t="str">
            <v>System 2 (District Cooling) - 4-pipe Fan Coil with HW Boiler</v>
          </cell>
          <cell r="E11" t="str">
            <v/>
          </cell>
          <cell r="F11" t="str">
            <v/>
          </cell>
          <cell r="G11" t="str">
            <v/>
          </cell>
          <cell r="H11">
            <v>2.9999999999999997E-4</v>
          </cell>
          <cell r="I11">
            <v>0</v>
          </cell>
          <cell r="J11">
            <v>0</v>
          </cell>
          <cell r="K11">
            <v>0</v>
          </cell>
          <cell r="L11" t="str">
            <v>kW</v>
          </cell>
          <cell r="U11">
            <v>1</v>
          </cell>
          <cell r="V11">
            <v>0.82499999999999996</v>
          </cell>
          <cell r="W11">
            <v>0.84</v>
          </cell>
        </row>
        <row r="12">
          <cell r="A12" t="str">
            <v>System 3 - PSZ-AC</v>
          </cell>
          <cell r="B12">
            <v>3</v>
          </cell>
          <cell r="C12" t="str">
            <v>System 3 - PSZ-AC</v>
          </cell>
          <cell r="D12" t="str">
            <v>System 3 (District Cooling) - 2-pipe CV AHU with Fossil Fuel Furnace</v>
          </cell>
          <cell r="E12" t="str">
            <v>System 3 (District Heating) - PSZ-AC with District Heating</v>
          </cell>
          <cell r="F12" t="str">
            <v>System 3 (District Heating &amp; Cooling) - 4-pipe CV AHU</v>
          </cell>
          <cell r="G12" t="str">
            <v/>
          </cell>
          <cell r="H12">
            <v>9.3999999999999997E-4</v>
          </cell>
          <cell r="I12">
            <v>1</v>
          </cell>
          <cell r="J12">
            <v>1</v>
          </cell>
          <cell r="K12">
            <v>0</v>
          </cell>
          <cell r="L12" t="str">
            <v>Btuh</v>
          </cell>
          <cell r="U12">
            <v>1.5</v>
          </cell>
          <cell r="V12">
            <v>0.84</v>
          </cell>
          <cell r="W12">
            <v>0.84</v>
          </cell>
        </row>
        <row r="13">
          <cell r="A13" t="str">
            <v>System 4 - PSZ-HP</v>
          </cell>
          <cell r="B13">
            <v>4</v>
          </cell>
          <cell r="C13" t="str">
            <v>System 4 - PSZ-HP</v>
          </cell>
          <cell r="D13" t="str">
            <v>System 4 (District Cooling) - 2-pipe CV AHU with Fossil Fuel Furnace</v>
          </cell>
          <cell r="E13" t="str">
            <v/>
          </cell>
          <cell r="F13" t="str">
            <v/>
          </cell>
          <cell r="G13" t="str">
            <v/>
          </cell>
          <cell r="H13">
            <v>9.3999999999999997E-4</v>
          </cell>
          <cell r="I13">
            <v>1</v>
          </cell>
          <cell r="J13">
            <v>1</v>
          </cell>
          <cell r="K13">
            <v>0</v>
          </cell>
          <cell r="U13">
            <v>2</v>
          </cell>
          <cell r="V13">
            <v>0.84</v>
          </cell>
          <cell r="W13">
            <v>0.875</v>
          </cell>
        </row>
        <row r="14">
          <cell r="A14" t="str">
            <v>System 5 - Packaged VAV with Reheat</v>
          </cell>
          <cell r="B14">
            <v>5</v>
          </cell>
          <cell r="C14" t="str">
            <v>System 5 - Packaged VAV with Reheat</v>
          </cell>
          <cell r="D14" t="str">
            <v>System 5 (District Cooling) - Change to System 7 - VAV with Reheat</v>
          </cell>
          <cell r="E14" t="str">
            <v>System 5 (District Heating) - Packaged VAV with Reheat</v>
          </cell>
          <cell r="F14" t="str">
            <v>System 5 (District Heating &amp; Cooling) - Change to System 7 - VAV with Reheat</v>
          </cell>
          <cell r="G14" t="str">
            <v/>
          </cell>
          <cell r="H14">
            <v>1.2999999999999999E-3</v>
          </cell>
          <cell r="I14">
            <v>1</v>
          </cell>
          <cell r="J14">
            <v>1</v>
          </cell>
          <cell r="K14">
            <v>0</v>
          </cell>
          <cell r="U14">
            <v>3</v>
          </cell>
          <cell r="V14">
            <v>0.875</v>
          </cell>
          <cell r="W14">
            <v>0.875</v>
          </cell>
        </row>
        <row r="15">
          <cell r="A15" t="str">
            <v>System 6 - Packaged VAV with PFP Boxes</v>
          </cell>
          <cell r="B15">
            <v>6</v>
          </cell>
          <cell r="C15" t="str">
            <v>System 6 - Packaged VAV with PFP Boxes</v>
          </cell>
          <cell r="D15" t="str">
            <v>System 6 (District Cooling) - Change to System 8 - VAV with PFP Boxes</v>
          </cell>
          <cell r="E15" t="str">
            <v/>
          </cell>
          <cell r="F15" t="str">
            <v/>
          </cell>
          <cell r="G15" t="str">
            <v/>
          </cell>
          <cell r="H15">
            <v>1.2999999999999999E-3</v>
          </cell>
          <cell r="I15">
            <v>1</v>
          </cell>
          <cell r="J15">
            <v>1</v>
          </cell>
          <cell r="K15">
            <v>0</v>
          </cell>
          <cell r="U15">
            <v>5</v>
          </cell>
          <cell r="V15">
            <v>0.875</v>
          </cell>
          <cell r="W15">
            <v>0.89500000000000002</v>
          </cell>
        </row>
        <row r="16">
          <cell r="A16" t="str">
            <v>System 7 - VAV with Reheat</v>
          </cell>
          <cell r="B16">
            <v>7</v>
          </cell>
          <cell r="C16" t="str">
            <v>System 7 - VAV with Reheat</v>
          </cell>
          <cell r="D16" t="str">
            <v>System 7 (District Cooling) - VAV with Reheat</v>
          </cell>
          <cell r="E16" t="str">
            <v>System 7 (District Heating) - VAV with Reheat</v>
          </cell>
          <cell r="F16" t="str">
            <v>System 7 (Heating &amp; Cooling) - VAV with Reheat</v>
          </cell>
          <cell r="G16" t="str">
            <v/>
          </cell>
          <cell r="H16">
            <v>1.2999999999999999E-3</v>
          </cell>
          <cell r="I16">
            <v>1</v>
          </cell>
          <cell r="J16">
            <v>1</v>
          </cell>
          <cell r="K16">
            <v>0</v>
          </cell>
          <cell r="U16">
            <v>7.5</v>
          </cell>
          <cell r="V16">
            <v>0.89500000000000002</v>
          </cell>
          <cell r="W16">
            <v>0.89500000000000002</v>
          </cell>
        </row>
        <row r="17">
          <cell r="A17" t="str">
            <v>System 8 - VAV with PFP Boxes</v>
          </cell>
          <cell r="B17">
            <v>8</v>
          </cell>
          <cell r="C17" t="str">
            <v>System 8 - VAV with PFP Boxes</v>
          </cell>
          <cell r="D17" t="str">
            <v>System 8 (District Cooling)- VAV with PFP Boxes</v>
          </cell>
          <cell r="E17" t="str">
            <v/>
          </cell>
          <cell r="F17" t="str">
            <v/>
          </cell>
          <cell r="G17" t="str">
            <v/>
          </cell>
          <cell r="H17">
            <v>1.2999999999999999E-3</v>
          </cell>
          <cell r="I17">
            <v>1</v>
          </cell>
          <cell r="J17">
            <v>1</v>
          </cell>
          <cell r="K17">
            <v>0</v>
          </cell>
          <cell r="U17">
            <v>10</v>
          </cell>
          <cell r="V17">
            <v>0.89500000000000002</v>
          </cell>
          <cell r="W17">
            <v>0.91</v>
          </cell>
        </row>
        <row r="18">
          <cell r="A18" t="str">
            <v>System 9 - Heating and Ventilation</v>
          </cell>
          <cell r="B18">
            <v>9</v>
          </cell>
          <cell r="C18" t="str">
            <v>System 9 - Heating and Ventilation</v>
          </cell>
          <cell r="D18" t="str">
            <v>System 9 - Heating and Ventilation</v>
          </cell>
          <cell r="E18" t="str">
            <v>System 9 (District Heating) - Heating and Ventilation</v>
          </cell>
          <cell r="F18" t="str">
            <v>System 9 (District Heating) - Heating and Ventilation</v>
          </cell>
          <cell r="G18" t="str">
            <v/>
          </cell>
          <cell r="H18">
            <v>2.9999999999999997E-4</v>
          </cell>
          <cell r="I18">
            <v>0</v>
          </cell>
          <cell r="J18">
            <v>0</v>
          </cell>
          <cell r="K18">
            <v>5.3999999999999998E-5</v>
          </cell>
          <cell r="U18">
            <v>15</v>
          </cell>
          <cell r="V18">
            <v>0.91</v>
          </cell>
          <cell r="W18">
            <v>0.91</v>
          </cell>
        </row>
        <row r="19">
          <cell r="A19" t="str">
            <v>System 10 - Heating and Ventilation</v>
          </cell>
          <cell r="B19">
            <v>10</v>
          </cell>
          <cell r="C19" t="str">
            <v>System 10 - Heating and Ventilation</v>
          </cell>
          <cell r="D19" t="str">
            <v>System 10 - Heating and Ventilation</v>
          </cell>
          <cell r="E19" t="str">
            <v/>
          </cell>
          <cell r="F19" t="str">
            <v/>
          </cell>
          <cell r="G19" t="str">
            <v/>
          </cell>
          <cell r="H19">
            <v>2.9999999999999997E-4</v>
          </cell>
          <cell r="I19">
            <v>0</v>
          </cell>
          <cell r="J19">
            <v>0</v>
          </cell>
          <cell r="K19">
            <v>5.3999999999999998E-5</v>
          </cell>
          <cell r="U19">
            <v>20</v>
          </cell>
          <cell r="V19">
            <v>0.91</v>
          </cell>
          <cell r="W19">
            <v>0.92400000000000004</v>
          </cell>
        </row>
        <row r="20">
          <cell r="A20" t="str">
            <v/>
          </cell>
          <cell r="B20">
            <v>1</v>
          </cell>
          <cell r="C20" t="str">
            <v/>
          </cell>
          <cell r="D20" t="str">
            <v>System 1 - PTAC</v>
          </cell>
          <cell r="E20" t="str">
            <v>System 1 - PTAC</v>
          </cell>
          <cell r="F20" t="str">
            <v>System 1 - PTAC</v>
          </cell>
          <cell r="G20" t="str">
            <v/>
          </cell>
          <cell r="H20">
            <v>2.9999999999999997E-4</v>
          </cell>
          <cell r="I20">
            <v>0</v>
          </cell>
          <cell r="J20">
            <v>0</v>
          </cell>
          <cell r="K20">
            <v>0</v>
          </cell>
          <cell r="U20">
            <v>25</v>
          </cell>
          <cell r="V20">
            <v>0.92400000000000004</v>
          </cell>
          <cell r="W20">
            <v>0.92400000000000004</v>
          </cell>
        </row>
        <row r="21">
          <cell r="A21" t="str">
            <v/>
          </cell>
          <cell r="B21">
            <v>2</v>
          </cell>
          <cell r="C21" t="str">
            <v/>
          </cell>
          <cell r="D21" t="str">
            <v>System 2 - PTHP</v>
          </cell>
          <cell r="E21" t="str">
            <v>System 2 - PTHP</v>
          </cell>
          <cell r="F21" t="str">
            <v>System 2 - PTHP</v>
          </cell>
          <cell r="G21" t="str">
            <v/>
          </cell>
          <cell r="H21">
            <v>2.9999999999999997E-4</v>
          </cell>
          <cell r="I21">
            <v>0</v>
          </cell>
          <cell r="J21">
            <v>0</v>
          </cell>
          <cell r="K21">
            <v>0</v>
          </cell>
          <cell r="U21">
            <v>30</v>
          </cell>
          <cell r="V21">
            <v>0.92400000000000004</v>
          </cell>
          <cell r="W21">
            <v>0.93</v>
          </cell>
        </row>
        <row r="22">
          <cell r="A22" t="str">
            <v/>
          </cell>
          <cell r="B22">
            <v>3</v>
          </cell>
          <cell r="C22" t="str">
            <v/>
          </cell>
          <cell r="D22" t="str">
            <v>System 3 - PSZ-AC</v>
          </cell>
          <cell r="E22" t="str">
            <v>System 3 - PSZ-AC</v>
          </cell>
          <cell r="F22" t="str">
            <v>System 3 - PSZ-AC</v>
          </cell>
          <cell r="G22" t="str">
            <v/>
          </cell>
          <cell r="H22">
            <v>9.3999999999999997E-4</v>
          </cell>
          <cell r="I22">
            <v>1</v>
          </cell>
          <cell r="J22">
            <v>1</v>
          </cell>
          <cell r="K22">
            <v>0</v>
          </cell>
          <cell r="U22">
            <v>40</v>
          </cell>
          <cell r="V22">
            <v>0.93</v>
          </cell>
          <cell r="W22">
            <v>0.93</v>
          </cell>
        </row>
        <row r="23">
          <cell r="A23" t="str">
            <v/>
          </cell>
          <cell r="B23">
            <v>4</v>
          </cell>
          <cell r="C23" t="str">
            <v/>
          </cell>
          <cell r="D23" t="str">
            <v>System 4 - PSZ-HP</v>
          </cell>
          <cell r="E23" t="str">
            <v>System 4 - PSZ-HP</v>
          </cell>
          <cell r="F23" t="str">
            <v>System 4 - PSZ-HP</v>
          </cell>
          <cell r="G23" t="str">
            <v/>
          </cell>
          <cell r="H23">
            <v>9.3999999999999997E-4</v>
          </cell>
          <cell r="I23">
            <v>1</v>
          </cell>
          <cell r="J23">
            <v>1</v>
          </cell>
          <cell r="K23">
            <v>0</v>
          </cell>
          <cell r="U23">
            <v>50</v>
          </cell>
          <cell r="V23">
            <v>0.93</v>
          </cell>
          <cell r="W23">
            <v>0.93600000000000005</v>
          </cell>
        </row>
        <row r="24">
          <cell r="A24" t="str">
            <v/>
          </cell>
          <cell r="B24">
            <v>5</v>
          </cell>
          <cell r="C24" t="str">
            <v/>
          </cell>
          <cell r="D24" t="str">
            <v>System 5 - Packaged VAV with Reheat</v>
          </cell>
          <cell r="E24" t="str">
            <v>System 5 - Packaged VAV with Reheat</v>
          </cell>
          <cell r="F24" t="str">
            <v>System 5 - Packaged VAV with Reheat</v>
          </cell>
          <cell r="G24" t="str">
            <v/>
          </cell>
          <cell r="H24">
            <v>1.2999999999999999E-3</v>
          </cell>
          <cell r="I24">
            <v>1</v>
          </cell>
          <cell r="J24">
            <v>1</v>
          </cell>
          <cell r="K24">
            <v>0</v>
          </cell>
          <cell r="U24">
            <v>60</v>
          </cell>
          <cell r="V24">
            <v>0.93600000000000005</v>
          </cell>
          <cell r="W24">
            <v>0.94099999999999995</v>
          </cell>
        </row>
        <row r="25">
          <cell r="A25" t="str">
            <v/>
          </cell>
          <cell r="B25">
            <v>6</v>
          </cell>
          <cell r="C25" t="str">
            <v/>
          </cell>
          <cell r="D25" t="str">
            <v>System 6 - Packaged VAV with PFP Boxes</v>
          </cell>
          <cell r="E25" t="str">
            <v>System 6 - Packaged VAV with PFP Boxes</v>
          </cell>
          <cell r="F25" t="str">
            <v>System 6 - Packaged VAV with PFP Boxes</v>
          </cell>
          <cell r="G25" t="str">
            <v/>
          </cell>
          <cell r="H25">
            <v>1.2999999999999999E-3</v>
          </cell>
          <cell r="I25">
            <v>1</v>
          </cell>
          <cell r="J25">
            <v>1</v>
          </cell>
          <cell r="K25">
            <v>0</v>
          </cell>
          <cell r="U25">
            <v>75</v>
          </cell>
          <cell r="V25">
            <v>0.94099999999999995</v>
          </cell>
          <cell r="W25">
            <v>0.94499999999999995</v>
          </cell>
        </row>
        <row r="26">
          <cell r="A26" t="str">
            <v/>
          </cell>
          <cell r="B26">
            <v>7</v>
          </cell>
          <cell r="C26" t="str">
            <v/>
          </cell>
          <cell r="D26" t="str">
            <v>System 7 - VAV with Reheat</v>
          </cell>
          <cell r="E26" t="str">
            <v>System 7 - VAV with Reheat</v>
          </cell>
          <cell r="F26" t="str">
            <v>System 7 - VAV with Reheat</v>
          </cell>
          <cell r="G26" t="str">
            <v/>
          </cell>
          <cell r="H26">
            <v>1.2999999999999999E-3</v>
          </cell>
          <cell r="I26">
            <v>1</v>
          </cell>
          <cell r="J26">
            <v>1</v>
          </cell>
          <cell r="K26">
            <v>0</v>
          </cell>
          <cell r="U26">
            <v>100</v>
          </cell>
          <cell r="V26">
            <v>0.94499999999999995</v>
          </cell>
          <cell r="W26">
            <v>0.94499999999999995</v>
          </cell>
        </row>
        <row r="27">
          <cell r="A27" t="str">
            <v/>
          </cell>
          <cell r="B27">
            <v>8</v>
          </cell>
          <cell r="C27" t="str">
            <v/>
          </cell>
          <cell r="D27" t="str">
            <v>System 8 - VAV with PFP Boxes</v>
          </cell>
          <cell r="E27" t="str">
            <v>System 8 - VAV with PFP Boxes</v>
          </cell>
          <cell r="F27" t="str">
            <v>System 8 - VAV with PFP Boxes</v>
          </cell>
          <cell r="G27" t="str">
            <v/>
          </cell>
          <cell r="H27">
            <v>1.2999999999999999E-3</v>
          </cell>
          <cell r="I27">
            <v>1</v>
          </cell>
          <cell r="J27">
            <v>1</v>
          </cell>
          <cell r="K27">
            <v>0</v>
          </cell>
          <cell r="U27">
            <v>125</v>
          </cell>
          <cell r="V27">
            <v>0.94499999999999995</v>
          </cell>
          <cell r="W27">
            <v>0.95</v>
          </cell>
        </row>
        <row r="28">
          <cell r="A28" t="str">
            <v/>
          </cell>
          <cell r="B28">
            <v>9</v>
          </cell>
          <cell r="C28" t="str">
            <v/>
          </cell>
          <cell r="D28" t="str">
            <v/>
          </cell>
          <cell r="E28" t="str">
            <v>System 9 - Heating and Ventilation</v>
          </cell>
          <cell r="F28" t="str">
            <v>System 9 - Heating and Ventilation</v>
          </cell>
          <cell r="G28" t="str">
            <v/>
          </cell>
          <cell r="H28">
            <v>2.9999999999999997E-4</v>
          </cell>
          <cell r="I28">
            <v>0</v>
          </cell>
          <cell r="J28">
            <v>0</v>
          </cell>
          <cell r="K28">
            <v>5.3999999999999998E-5</v>
          </cell>
          <cell r="U28">
            <v>150</v>
          </cell>
          <cell r="V28">
            <v>0.95</v>
          </cell>
          <cell r="W28">
            <v>0.95</v>
          </cell>
        </row>
        <row r="29">
          <cell r="A29" t="str">
            <v/>
          </cell>
          <cell r="B29">
            <v>10</v>
          </cell>
          <cell r="C29" t="str">
            <v/>
          </cell>
          <cell r="D29" t="str">
            <v/>
          </cell>
          <cell r="E29" t="str">
            <v>System 10 - Heating and Ventilation</v>
          </cell>
          <cell r="F29" t="str">
            <v>System 10 - Heating and Ventilation</v>
          </cell>
          <cell r="G29" t="str">
            <v/>
          </cell>
          <cell r="H29">
            <v>2.9999999999999997E-4</v>
          </cell>
          <cell r="I29">
            <v>0</v>
          </cell>
          <cell r="J29">
            <v>0</v>
          </cell>
          <cell r="K29">
            <v>5.3999999999999998E-5</v>
          </cell>
          <cell r="U29">
            <v>200</v>
          </cell>
          <cell r="V29">
            <v>0.95</v>
          </cell>
          <cell r="W29">
            <v>0.95</v>
          </cell>
        </row>
        <row r="33">
          <cell r="C33" t="str">
            <v>System 1 - PTAC</v>
          </cell>
          <cell r="D33" t="str">
            <v>System 2 - PTHP</v>
          </cell>
          <cell r="E33" t="str">
            <v>System 1 - PTAC</v>
          </cell>
          <cell r="F33" t="str">
            <v>System 9 - Heating and Ventilation</v>
          </cell>
          <cell r="G33" t="str">
            <v>System 3 - PSZ-AC</v>
          </cell>
          <cell r="H33" t="str">
            <v>System 1 - PTAC</v>
          </cell>
          <cell r="I33" t="str">
            <v>System 5 - Packaged VAV with Reheat</v>
          </cell>
        </row>
        <row r="34">
          <cell r="C34" t="str">
            <v>System 2 - PTHP</v>
          </cell>
          <cell r="D34" t="str">
            <v>System 3 - PSZ-AC</v>
          </cell>
          <cell r="E34" t="str">
            <v>System 1 (District Cooling) - 4-pipe Fan Coil with HW Boiler</v>
          </cell>
          <cell r="F34" t="str">
            <v>System 10 - Heating and Ventilation</v>
          </cell>
          <cell r="G34" t="str">
            <v>System 4 - PSZ-HP</v>
          </cell>
          <cell r="H34" t="str">
            <v>System 1 (District Cooling) - 4-pipe Fan Coil with HW Boiler</v>
          </cell>
          <cell r="I34" t="str">
            <v>System 5 (District Cooling) - Change to System 7 - VAV with Reheat</v>
          </cell>
        </row>
        <row r="35">
          <cell r="C35" t="str">
            <v>System 3 - PSZ-AC</v>
          </cell>
          <cell r="D35" t="str">
            <v>System 3 (District Cooling) - 2-pipe CV AHU with Fossil Fuel Furnace</v>
          </cell>
          <cell r="E35" t="str">
            <v>System 1 (District Heating) - PTAC</v>
          </cell>
          <cell r="F35" t="str">
            <v>System 9 (District Heating) - Heating and Ventilation</v>
          </cell>
          <cell r="G35" t="str">
            <v>System 9 - Heating and Ventilation</v>
          </cell>
          <cell r="H35" t="str">
            <v>System 1 (District Heating) - PTAC</v>
          </cell>
          <cell r="I35" t="str">
            <v>System 5 (District Heating) - Packaged VAV with Reheat</v>
          </cell>
        </row>
        <row r="36">
          <cell r="C36" t="str">
            <v>System 4 - PSZ-HP</v>
          </cell>
          <cell r="D36" t="str">
            <v>System 4 - PSZ-HP</v>
          </cell>
          <cell r="E36" t="str">
            <v>System 1 (District Heating &amp; Cooling) - 4-pipe Fan Coil</v>
          </cell>
          <cell r="G36" t="str">
            <v>System 10 - Heating and Ventilation</v>
          </cell>
          <cell r="H36" t="str">
            <v>System 1 (District Heating &amp; Cooling) - 4-pipe Fan Coil</v>
          </cell>
          <cell r="I36" t="str">
            <v>System 5 (District Heating &amp; Cooling) - Change to System 7 - VAV with Reheat</v>
          </cell>
        </row>
        <row r="37">
          <cell r="C37" t="str">
            <v>System 5 - Packaged VAV with Reheat</v>
          </cell>
          <cell r="D37" t="str">
            <v>System 4 (District Cooling) - 2-pipe CV AHU with Fossil Fuel Furnace</v>
          </cell>
          <cell r="E37" t="str">
            <v>System 1 (District Heating) - PTAC</v>
          </cell>
          <cell r="G37" t="str">
            <v>System 3 (District Cooling) - 2-pipe CV AHU with Fossil Fuel Furnace</v>
          </cell>
          <cell r="H37" t="str">
            <v>System 2 - PTHP</v>
          </cell>
          <cell r="I37" t="str">
            <v>System 6 - Packaged VAV with PFP Boxes</v>
          </cell>
        </row>
        <row r="38">
          <cell r="C38" t="str">
            <v>System 6 - Packaged VAV with PFP Boxes</v>
          </cell>
          <cell r="D38" t="str">
            <v>System 9 - Heating and Ventilation</v>
          </cell>
          <cell r="E38" t="str">
            <v>System 1 (District Heating &amp; Cooling) - 4-pipe Fan Coil</v>
          </cell>
          <cell r="G38" t="str">
            <v>System 4 (District Cooling) - 2-pipe CV AHU with Fossil Fuel Furnace</v>
          </cell>
          <cell r="H38" t="str">
            <v>System 2 (District Cooling) - 4-pipe Fan Coil with HW Boiler</v>
          </cell>
          <cell r="I38" t="str">
            <v>System 6 (District Cooling) - Change to System 8 - VAV with PFP Boxes</v>
          </cell>
        </row>
        <row r="39">
          <cell r="C39" t="str">
            <v>System 1 (District Heating) - PTAC</v>
          </cell>
          <cell r="E39" t="str">
            <v>System 2 - PTHP</v>
          </cell>
          <cell r="H39" t="str">
            <v>System 9 - Heating and Ventilation</v>
          </cell>
          <cell r="I39" t="str">
            <v>System 7 - VAV with Reheat</v>
          </cell>
        </row>
        <row r="40">
          <cell r="C40" t="str">
            <v>System 3 (District Heating) - PSZ-AC with District Heating</v>
          </cell>
          <cell r="E40" t="str">
            <v>System 2 (District Cooling) - 4-pipe Fan Coil with HW Boiler</v>
          </cell>
          <cell r="H40" t="str">
            <v>System 9 - Heating and Ventilation</v>
          </cell>
          <cell r="I40" t="str">
            <v>System 7 (District Cooling) - VAV with Reheat</v>
          </cell>
        </row>
        <row r="41">
          <cell r="C41" t="str">
            <v>System 5 (District Heating) - Packaged VAV with Reheat</v>
          </cell>
          <cell r="E41" t="str">
            <v>System 9 - Heating and Ventilation</v>
          </cell>
          <cell r="H41" t="str">
            <v>System 9 (District Heating) - Heating and Ventilation</v>
          </cell>
          <cell r="I41" t="str">
            <v>System 7 (District Heating) - VAV with Reheat</v>
          </cell>
        </row>
        <row r="42">
          <cell r="E42" t="str">
            <v>System 9 (District Heating) - Heating and Ventilation</v>
          </cell>
          <cell r="H42" t="str">
            <v>System 9 (District Heating) - Heating and Ventilation</v>
          </cell>
          <cell r="I42" t="str">
            <v>System 7 (Heating &amp; Cooling) - VAV with Reheat</v>
          </cell>
        </row>
        <row r="43">
          <cell r="E43" t="str">
            <v>System 10 - Heating and Ventilation</v>
          </cell>
          <cell r="H43" t="str">
            <v>System 10 - Heating and Ventilation</v>
          </cell>
          <cell r="I43" t="str">
            <v>System 8 - VAV with PFP Boxes</v>
          </cell>
        </row>
        <row r="44">
          <cell r="H44" t="str">
            <v>System 10 - Heating and Ventilation</v>
          </cell>
          <cell r="I44" t="str">
            <v>System 8 (District Cooling)- VAV with PFP Boxes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1 - Opaque Envelope"/>
      <sheetName val="QC Checklist"/>
      <sheetName val="Envelope Lookup"/>
      <sheetName val="2 - Shading &amp; Fenestration"/>
      <sheetName val="3A - Interior Lighting"/>
      <sheetName val="3B - LPD by Space Type"/>
      <sheetName val="3C - Exterior Lighting"/>
      <sheetName val="LPD-Space by Space"/>
      <sheetName val="4 - Equipment"/>
      <sheetName val="5 - Service Water Heating"/>
      <sheetName val="6 - General HVAC"/>
      <sheetName val="7 - Air-Side HVAC Details"/>
      <sheetName val="8 - Water-Side HVAC Details"/>
      <sheetName val="Lighting Lookup"/>
      <sheetName val="HVAC Lookup"/>
      <sheetName val="Revision Log"/>
    </sheetNames>
    <sheetDataSet>
      <sheetData sheetId="0"/>
      <sheetData sheetId="1"/>
      <sheetData sheetId="2"/>
      <sheetData sheetId="3">
        <row r="1">
          <cell r="X1" t="str">
            <v>Nonmetal framing (all)</v>
          </cell>
          <cell r="Y1" t="str">
            <v>Metal framing (curtainwall/storefront)</v>
          </cell>
          <cell r="Z1" t="str">
            <v>Metal framing (entrance door)</v>
          </cell>
          <cell r="AA1" t="str">
            <v>Metal framing (all other)</v>
          </cell>
          <cell r="AC1" t="str">
            <v>Skylight with Curb, Glass, 0%-2.0%</v>
          </cell>
          <cell r="AD1" t="str">
            <v>Skylight with Curb, Glass, 2.1%-5.0%</v>
          </cell>
          <cell r="AE1" t="str">
            <v>Skylight with Curb, Plastic, 0%-2.0%</v>
          </cell>
          <cell r="AF1" t="str">
            <v>Skylight with Curb, Plastic, 2.1%-5.0%</v>
          </cell>
          <cell r="AG1" t="str">
            <v>Skylight without Curb, All, 0%-2.0%</v>
          </cell>
          <cell r="AH1" t="str">
            <v>Skylight without Curb, All, 2.1%-5.0%</v>
          </cell>
        </row>
        <row r="2">
          <cell r="BP2" t="str">
            <v>New</v>
          </cell>
          <cell r="BQ2" t="str">
            <v>Semiheated</v>
          </cell>
        </row>
        <row r="3">
          <cell r="BP3" t="str">
            <v/>
          </cell>
          <cell r="BQ3" t="str">
            <v/>
          </cell>
        </row>
        <row r="4">
          <cell r="BQ4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28">
          <cell r="C28" t="str">
            <v>-</v>
          </cell>
        </row>
        <row r="29">
          <cell r="C29" t="str">
            <v/>
          </cell>
        </row>
      </sheetData>
      <sheetData sheetId="12"/>
      <sheetData sheetId="13"/>
      <sheetData sheetId="14"/>
      <sheetData sheetId="15">
        <row r="9">
          <cell r="L9" t="str">
            <v>kBtu/h</v>
          </cell>
        </row>
        <row r="10">
          <cell r="A10" t="str">
            <v>System 1 - PTAC</v>
          </cell>
          <cell r="B10">
            <v>1</v>
          </cell>
          <cell r="C10" t="str">
            <v>System 1 - PTAC</v>
          </cell>
          <cell r="D10" t="str">
            <v>System 1 (District Cooling) - 4-pipe Fan Coil with HW Boiler</v>
          </cell>
          <cell r="E10" t="str">
            <v>System 1 (District Heating) - PTAC</v>
          </cell>
          <cell r="F10" t="str">
            <v>System 1 (District Heating &amp; Cooling) - 4-pipe Fan Coil</v>
          </cell>
          <cell r="G10" t="str">
            <v>Describe the California Title-24 Baseline System Type</v>
          </cell>
          <cell r="H10">
            <v>2.9999999999999997E-4</v>
          </cell>
          <cell r="I10">
            <v>0</v>
          </cell>
          <cell r="J10">
            <v>0</v>
          </cell>
          <cell r="K10">
            <v>0</v>
          </cell>
          <cell r="L10" t="str">
            <v>tons</v>
          </cell>
          <cell r="U10">
            <v>0</v>
          </cell>
          <cell r="W10">
            <v>0.82499999999999996</v>
          </cell>
        </row>
        <row r="11">
          <cell r="A11" t="str">
            <v>System 2 - PTHP</v>
          </cell>
          <cell r="B11">
            <v>2</v>
          </cell>
          <cell r="C11" t="str">
            <v>System 2 - PTHP</v>
          </cell>
          <cell r="D11" t="str">
            <v>System 2 (District Cooling) - 4-pipe Fan Coil with HW Boiler</v>
          </cell>
          <cell r="E11" t="str">
            <v/>
          </cell>
          <cell r="F11" t="str">
            <v/>
          </cell>
          <cell r="G11" t="str">
            <v/>
          </cell>
          <cell r="H11">
            <v>2.9999999999999997E-4</v>
          </cell>
          <cell r="I11">
            <v>0</v>
          </cell>
          <cell r="J11">
            <v>0</v>
          </cell>
          <cell r="K11">
            <v>0</v>
          </cell>
          <cell r="L11" t="str">
            <v>kW</v>
          </cell>
          <cell r="U11">
            <v>1</v>
          </cell>
          <cell r="V11">
            <v>0.82499999999999996</v>
          </cell>
          <cell r="W11">
            <v>0.84</v>
          </cell>
        </row>
        <row r="12">
          <cell r="A12" t="str">
            <v>System 3 - PSZ-AC</v>
          </cell>
          <cell r="B12">
            <v>3</v>
          </cell>
          <cell r="C12" t="str">
            <v>System 3 - PSZ-AC</v>
          </cell>
          <cell r="D12" t="str">
            <v>System 3 (District Cooling) - 2-pipe CV AHU with Fossil Fuel Furnace</v>
          </cell>
          <cell r="E12" t="str">
            <v>System 3 (District Heating) - PSZ-AC with District Heating</v>
          </cell>
          <cell r="F12" t="str">
            <v>System 3 (District Heating &amp; Cooling) - 4-pipe CV AHU</v>
          </cell>
          <cell r="G12" t="str">
            <v/>
          </cell>
          <cell r="H12">
            <v>9.3999999999999997E-4</v>
          </cell>
          <cell r="I12">
            <v>1</v>
          </cell>
          <cell r="J12">
            <v>1</v>
          </cell>
          <cell r="K12">
            <v>0</v>
          </cell>
          <cell r="L12" t="str">
            <v>Btuh</v>
          </cell>
          <cell r="U12">
            <v>1.5</v>
          </cell>
          <cell r="V12">
            <v>0.84</v>
          </cell>
          <cell r="W12">
            <v>0.84</v>
          </cell>
        </row>
        <row r="13">
          <cell r="A13" t="str">
            <v>System 4 - PSZ-HP</v>
          </cell>
          <cell r="B13">
            <v>4</v>
          </cell>
          <cell r="C13" t="str">
            <v>System 4 - PSZ-HP</v>
          </cell>
          <cell r="D13" t="str">
            <v>System 4 (District Cooling) - 2-pipe CV AHU with Fossil Fuel Furnace</v>
          </cell>
          <cell r="E13" t="str">
            <v/>
          </cell>
          <cell r="F13" t="str">
            <v/>
          </cell>
          <cell r="G13" t="str">
            <v/>
          </cell>
          <cell r="H13">
            <v>9.3999999999999997E-4</v>
          </cell>
          <cell r="I13">
            <v>1</v>
          </cell>
          <cell r="J13">
            <v>1</v>
          </cell>
          <cell r="K13">
            <v>0</v>
          </cell>
          <cell r="U13">
            <v>2</v>
          </cell>
          <cell r="V13">
            <v>0.84</v>
          </cell>
          <cell r="W13">
            <v>0.875</v>
          </cell>
        </row>
        <row r="14">
          <cell r="A14" t="str">
            <v>System 5 - Packaged VAV with Reheat</v>
          </cell>
          <cell r="B14">
            <v>5</v>
          </cell>
          <cell r="C14" t="str">
            <v>System 5 - Packaged VAV with Reheat</v>
          </cell>
          <cell r="D14" t="str">
            <v>System 5 (District Cooling) - Change to System 7 - VAV with Reheat</v>
          </cell>
          <cell r="E14" t="str">
            <v>System 5 (District Heating) - Packaged VAV with Reheat</v>
          </cell>
          <cell r="F14" t="str">
            <v>System 5 (District Heating &amp; Cooling) - Change to System 7 - VAV with Reheat</v>
          </cell>
          <cell r="G14" t="str">
            <v/>
          </cell>
          <cell r="H14">
            <v>1.2999999999999999E-3</v>
          </cell>
          <cell r="I14">
            <v>1</v>
          </cell>
          <cell r="J14">
            <v>1</v>
          </cell>
          <cell r="K14">
            <v>0</v>
          </cell>
          <cell r="U14">
            <v>3</v>
          </cell>
          <cell r="V14">
            <v>0.875</v>
          </cell>
          <cell r="W14">
            <v>0.875</v>
          </cell>
        </row>
        <row r="15">
          <cell r="A15" t="str">
            <v>System 6 - Packaged VAV with PFP Boxes</v>
          </cell>
          <cell r="B15">
            <v>6</v>
          </cell>
          <cell r="C15" t="str">
            <v>System 6 - Packaged VAV with PFP Boxes</v>
          </cell>
          <cell r="D15" t="str">
            <v>System 6 (District Cooling) - Change to System 8 - VAV with PFP Boxes</v>
          </cell>
          <cell r="E15" t="str">
            <v/>
          </cell>
          <cell r="F15" t="str">
            <v/>
          </cell>
          <cell r="G15" t="str">
            <v/>
          </cell>
          <cell r="H15">
            <v>1.2999999999999999E-3</v>
          </cell>
          <cell r="I15">
            <v>1</v>
          </cell>
          <cell r="J15">
            <v>1</v>
          </cell>
          <cell r="K15">
            <v>0</v>
          </cell>
          <cell r="U15">
            <v>5</v>
          </cell>
          <cell r="V15">
            <v>0.875</v>
          </cell>
          <cell r="W15">
            <v>0.89500000000000002</v>
          </cell>
        </row>
        <row r="16">
          <cell r="A16" t="str">
            <v>System 7 - VAV with Reheat</v>
          </cell>
          <cell r="B16">
            <v>7</v>
          </cell>
          <cell r="C16" t="str">
            <v>System 7 - VAV with Reheat</v>
          </cell>
          <cell r="D16" t="str">
            <v>System 7 (District Cooling) - VAV with Reheat</v>
          </cell>
          <cell r="E16" t="str">
            <v>System 7 (District Heating) - VAV with Reheat</v>
          </cell>
          <cell r="F16" t="str">
            <v>System 7 (Heating &amp; Cooling) - VAV with Reheat</v>
          </cell>
          <cell r="G16" t="str">
            <v/>
          </cell>
          <cell r="H16">
            <v>1.2999999999999999E-3</v>
          </cell>
          <cell r="I16">
            <v>1</v>
          </cell>
          <cell r="J16">
            <v>1</v>
          </cell>
          <cell r="K16">
            <v>0</v>
          </cell>
          <cell r="U16">
            <v>7.5</v>
          </cell>
          <cell r="V16">
            <v>0.89500000000000002</v>
          </cell>
          <cell r="W16">
            <v>0.89500000000000002</v>
          </cell>
        </row>
        <row r="17">
          <cell r="A17" t="str">
            <v>System 8 - VAV with PFP Boxes</v>
          </cell>
          <cell r="B17">
            <v>8</v>
          </cell>
          <cell r="C17" t="str">
            <v>System 8 - VAV with PFP Boxes</v>
          </cell>
          <cell r="D17" t="str">
            <v>System 8 (District Cooling)- VAV with PFP Boxes</v>
          </cell>
          <cell r="E17" t="str">
            <v/>
          </cell>
          <cell r="F17" t="str">
            <v/>
          </cell>
          <cell r="G17" t="str">
            <v/>
          </cell>
          <cell r="H17">
            <v>1.2999999999999999E-3</v>
          </cell>
          <cell r="I17">
            <v>1</v>
          </cell>
          <cell r="J17">
            <v>1</v>
          </cell>
          <cell r="K17">
            <v>0</v>
          </cell>
          <cell r="U17">
            <v>10</v>
          </cell>
          <cell r="V17">
            <v>0.89500000000000002</v>
          </cell>
          <cell r="W17">
            <v>0.91</v>
          </cell>
        </row>
        <row r="18">
          <cell r="A18" t="str">
            <v>System 9 - Heating and Ventilation</v>
          </cell>
          <cell r="B18">
            <v>9</v>
          </cell>
          <cell r="C18" t="str">
            <v>System 9 - Heating and Ventilation</v>
          </cell>
          <cell r="D18" t="str">
            <v>System 9 - Heating and Ventilation</v>
          </cell>
          <cell r="E18" t="str">
            <v>System 9 (District Heating) - Heating and Ventilation</v>
          </cell>
          <cell r="F18" t="str">
            <v>System 9 (District Heating) - Heating and Ventilation</v>
          </cell>
          <cell r="G18" t="str">
            <v/>
          </cell>
          <cell r="H18">
            <v>2.9999999999999997E-4</v>
          </cell>
          <cell r="I18">
            <v>0</v>
          </cell>
          <cell r="J18">
            <v>0</v>
          </cell>
          <cell r="K18">
            <v>5.3999999999999998E-5</v>
          </cell>
          <cell r="U18">
            <v>15</v>
          </cell>
          <cell r="V18">
            <v>0.91</v>
          </cell>
          <cell r="W18">
            <v>0.91</v>
          </cell>
        </row>
        <row r="19">
          <cell r="A19" t="str">
            <v>System 10 - Heating and Ventilation</v>
          </cell>
          <cell r="B19">
            <v>10</v>
          </cell>
          <cell r="C19" t="str">
            <v>System 10 - Heating and Ventilation</v>
          </cell>
          <cell r="D19" t="str">
            <v>System 10 - Heating and Ventilation</v>
          </cell>
          <cell r="E19" t="str">
            <v/>
          </cell>
          <cell r="F19" t="str">
            <v/>
          </cell>
          <cell r="G19" t="str">
            <v/>
          </cell>
          <cell r="H19">
            <v>2.9999999999999997E-4</v>
          </cell>
          <cell r="I19">
            <v>0</v>
          </cell>
          <cell r="J19">
            <v>0</v>
          </cell>
          <cell r="K19">
            <v>5.3999999999999998E-5</v>
          </cell>
          <cell r="U19">
            <v>20</v>
          </cell>
          <cell r="V19">
            <v>0.91</v>
          </cell>
          <cell r="W19">
            <v>0.92400000000000004</v>
          </cell>
        </row>
        <row r="20">
          <cell r="A20" t="str">
            <v/>
          </cell>
          <cell r="B20">
            <v>1</v>
          </cell>
          <cell r="C20" t="str">
            <v/>
          </cell>
          <cell r="D20" t="str">
            <v>System 1 - PTAC</v>
          </cell>
          <cell r="E20" t="str">
            <v>System 1 - PTAC</v>
          </cell>
          <cell r="F20" t="str">
            <v>System 1 - PTAC</v>
          </cell>
          <cell r="G20" t="str">
            <v/>
          </cell>
          <cell r="H20">
            <v>2.9999999999999997E-4</v>
          </cell>
          <cell r="I20">
            <v>0</v>
          </cell>
          <cell r="J20">
            <v>0</v>
          </cell>
          <cell r="K20">
            <v>0</v>
          </cell>
          <cell r="U20">
            <v>25</v>
          </cell>
          <cell r="V20">
            <v>0.92400000000000004</v>
          </cell>
          <cell r="W20">
            <v>0.92400000000000004</v>
          </cell>
        </row>
        <row r="21">
          <cell r="A21" t="str">
            <v/>
          </cell>
          <cell r="B21">
            <v>2</v>
          </cell>
          <cell r="C21" t="str">
            <v/>
          </cell>
          <cell r="D21" t="str">
            <v>System 2 - PTHP</v>
          </cell>
          <cell r="E21" t="str">
            <v>System 2 - PTHP</v>
          </cell>
          <cell r="F21" t="str">
            <v>System 2 - PTHP</v>
          </cell>
          <cell r="G21" t="str">
            <v/>
          </cell>
          <cell r="H21">
            <v>2.9999999999999997E-4</v>
          </cell>
          <cell r="I21">
            <v>0</v>
          </cell>
          <cell r="J21">
            <v>0</v>
          </cell>
          <cell r="K21">
            <v>0</v>
          </cell>
          <cell r="U21">
            <v>30</v>
          </cell>
          <cell r="V21">
            <v>0.92400000000000004</v>
          </cell>
          <cell r="W21">
            <v>0.93</v>
          </cell>
        </row>
        <row r="22">
          <cell r="A22" t="str">
            <v/>
          </cell>
          <cell r="B22">
            <v>3</v>
          </cell>
          <cell r="C22" t="str">
            <v/>
          </cell>
          <cell r="D22" t="str">
            <v>System 3 - PSZ-AC</v>
          </cell>
          <cell r="E22" t="str">
            <v>System 3 - PSZ-AC</v>
          </cell>
          <cell r="F22" t="str">
            <v>System 3 - PSZ-AC</v>
          </cell>
          <cell r="G22" t="str">
            <v/>
          </cell>
          <cell r="H22">
            <v>9.3999999999999997E-4</v>
          </cell>
          <cell r="I22">
            <v>1</v>
          </cell>
          <cell r="J22">
            <v>1</v>
          </cell>
          <cell r="K22">
            <v>0</v>
          </cell>
          <cell r="U22">
            <v>40</v>
          </cell>
          <cell r="V22">
            <v>0.93</v>
          </cell>
          <cell r="W22">
            <v>0.93</v>
          </cell>
        </row>
        <row r="23">
          <cell r="A23" t="str">
            <v/>
          </cell>
          <cell r="B23">
            <v>4</v>
          </cell>
          <cell r="C23" t="str">
            <v/>
          </cell>
          <cell r="D23" t="str">
            <v>System 4 - PSZ-HP</v>
          </cell>
          <cell r="E23" t="str">
            <v>System 4 - PSZ-HP</v>
          </cell>
          <cell r="F23" t="str">
            <v>System 4 - PSZ-HP</v>
          </cell>
          <cell r="G23" t="str">
            <v/>
          </cell>
          <cell r="H23">
            <v>9.3999999999999997E-4</v>
          </cell>
          <cell r="I23">
            <v>1</v>
          </cell>
          <cell r="J23">
            <v>1</v>
          </cell>
          <cell r="K23">
            <v>0</v>
          </cell>
          <cell r="U23">
            <v>50</v>
          </cell>
          <cell r="V23">
            <v>0.93</v>
          </cell>
          <cell r="W23">
            <v>0.93600000000000005</v>
          </cell>
        </row>
        <row r="24">
          <cell r="A24" t="str">
            <v/>
          </cell>
          <cell r="B24">
            <v>5</v>
          </cell>
          <cell r="C24" t="str">
            <v/>
          </cell>
          <cell r="D24" t="str">
            <v>System 5 - Packaged VAV with Reheat</v>
          </cell>
          <cell r="E24" t="str">
            <v>System 5 - Packaged VAV with Reheat</v>
          </cell>
          <cell r="F24" t="str">
            <v>System 5 - Packaged VAV with Reheat</v>
          </cell>
          <cell r="G24" t="str">
            <v/>
          </cell>
          <cell r="H24">
            <v>1.2999999999999999E-3</v>
          </cell>
          <cell r="I24">
            <v>1</v>
          </cell>
          <cell r="J24">
            <v>1</v>
          </cell>
          <cell r="K24">
            <v>0</v>
          </cell>
          <cell r="U24">
            <v>60</v>
          </cell>
          <cell r="V24">
            <v>0.93600000000000005</v>
          </cell>
          <cell r="W24">
            <v>0.94099999999999995</v>
          </cell>
        </row>
        <row r="25">
          <cell r="A25" t="str">
            <v/>
          </cell>
          <cell r="B25">
            <v>6</v>
          </cell>
          <cell r="C25" t="str">
            <v/>
          </cell>
          <cell r="D25" t="str">
            <v>System 6 - Packaged VAV with PFP Boxes</v>
          </cell>
          <cell r="E25" t="str">
            <v>System 6 - Packaged VAV with PFP Boxes</v>
          </cell>
          <cell r="F25" t="str">
            <v>System 6 - Packaged VAV with PFP Boxes</v>
          </cell>
          <cell r="G25" t="str">
            <v/>
          </cell>
          <cell r="H25">
            <v>1.2999999999999999E-3</v>
          </cell>
          <cell r="I25">
            <v>1</v>
          </cell>
          <cell r="J25">
            <v>1</v>
          </cell>
          <cell r="K25">
            <v>0</v>
          </cell>
          <cell r="U25">
            <v>75</v>
          </cell>
          <cell r="V25">
            <v>0.94099999999999995</v>
          </cell>
          <cell r="W25">
            <v>0.94499999999999995</v>
          </cell>
        </row>
        <row r="26">
          <cell r="A26" t="str">
            <v/>
          </cell>
          <cell r="B26">
            <v>7</v>
          </cell>
          <cell r="C26" t="str">
            <v/>
          </cell>
          <cell r="D26" t="str">
            <v>System 7 - VAV with Reheat</v>
          </cell>
          <cell r="E26" t="str">
            <v>System 7 - VAV with Reheat</v>
          </cell>
          <cell r="F26" t="str">
            <v>System 7 - VAV with Reheat</v>
          </cell>
          <cell r="G26" t="str">
            <v/>
          </cell>
          <cell r="H26">
            <v>1.2999999999999999E-3</v>
          </cell>
          <cell r="I26">
            <v>1</v>
          </cell>
          <cell r="J26">
            <v>1</v>
          </cell>
          <cell r="K26">
            <v>0</v>
          </cell>
          <cell r="U26">
            <v>100</v>
          </cell>
          <cell r="V26">
            <v>0.94499999999999995</v>
          </cell>
          <cell r="W26">
            <v>0.94499999999999995</v>
          </cell>
        </row>
        <row r="27">
          <cell r="A27" t="str">
            <v/>
          </cell>
          <cell r="B27">
            <v>8</v>
          </cell>
          <cell r="C27" t="str">
            <v/>
          </cell>
          <cell r="D27" t="str">
            <v>System 8 - VAV with PFP Boxes</v>
          </cell>
          <cell r="E27" t="str">
            <v>System 8 - VAV with PFP Boxes</v>
          </cell>
          <cell r="F27" t="str">
            <v>System 8 - VAV with PFP Boxes</v>
          </cell>
          <cell r="G27" t="str">
            <v/>
          </cell>
          <cell r="H27">
            <v>1.2999999999999999E-3</v>
          </cell>
          <cell r="I27">
            <v>1</v>
          </cell>
          <cell r="J27">
            <v>1</v>
          </cell>
          <cell r="K27">
            <v>0</v>
          </cell>
          <cell r="U27">
            <v>125</v>
          </cell>
          <cell r="V27">
            <v>0.94499999999999995</v>
          </cell>
          <cell r="W27">
            <v>0.95</v>
          </cell>
        </row>
        <row r="28">
          <cell r="A28" t="str">
            <v/>
          </cell>
          <cell r="B28">
            <v>9</v>
          </cell>
          <cell r="C28" t="str">
            <v/>
          </cell>
          <cell r="D28" t="str">
            <v/>
          </cell>
          <cell r="E28" t="str">
            <v>System 9 - Heating and Ventilation</v>
          </cell>
          <cell r="F28" t="str">
            <v>System 9 - Heating and Ventilation</v>
          </cell>
          <cell r="G28" t="str">
            <v/>
          </cell>
          <cell r="H28">
            <v>2.9999999999999997E-4</v>
          </cell>
          <cell r="I28">
            <v>0</v>
          </cell>
          <cell r="J28">
            <v>0</v>
          </cell>
          <cell r="K28">
            <v>5.3999999999999998E-5</v>
          </cell>
          <cell r="U28">
            <v>150</v>
          </cell>
          <cell r="V28">
            <v>0.95</v>
          </cell>
          <cell r="W28">
            <v>0.95</v>
          </cell>
        </row>
        <row r="29">
          <cell r="A29" t="str">
            <v/>
          </cell>
          <cell r="B29">
            <v>10</v>
          </cell>
          <cell r="C29" t="str">
            <v/>
          </cell>
          <cell r="D29" t="str">
            <v/>
          </cell>
          <cell r="E29" t="str">
            <v>System 10 - Heating and Ventilation</v>
          </cell>
          <cell r="F29" t="str">
            <v>System 10 - Heating and Ventilation</v>
          </cell>
          <cell r="G29" t="str">
            <v/>
          </cell>
          <cell r="H29">
            <v>2.9999999999999997E-4</v>
          </cell>
          <cell r="I29">
            <v>0</v>
          </cell>
          <cell r="J29">
            <v>0</v>
          </cell>
          <cell r="K29">
            <v>5.3999999999999998E-5</v>
          </cell>
          <cell r="U29">
            <v>200</v>
          </cell>
          <cell r="V29">
            <v>0.95</v>
          </cell>
          <cell r="W29">
            <v>0.95</v>
          </cell>
        </row>
      </sheetData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lor legend"/>
      <sheetName val="Schedules - Assembly"/>
      <sheetName val="Schedules - Office"/>
      <sheetName val="Schedules - Retail"/>
      <sheetName val="Schedules - Dwelling Unit"/>
      <sheetName val="Version Control"/>
      <sheetName val="1,2,3 Information"/>
      <sheetName val="3d. LL97 GHG Summary"/>
      <sheetName val="4. Compliance"/>
      <sheetName val="4a. Utility Bills - Electric"/>
      <sheetName val="4a. Utility Bills - Nat.Gas"/>
      <sheetName val="4a. Utility Bills - Other"/>
      <sheetName val="Usage - Actual v Modeled"/>
      <sheetName val="5b. Usage Summary (2)"/>
      <sheetName val="5a. Baseline Rotations"/>
      <sheetName val="Existing Conditions"/>
      <sheetName val="Special Circumstance"/>
      <sheetName val="5a. Description of Project"/>
      <sheetName val="6a. Ext. Wall Areas"/>
      <sheetName val="6b. Fenestration"/>
      <sheetName val="6c1. Wall Types"/>
      <sheetName val="6c2. Wall Types - Add'l Rows"/>
      <sheetName val="6d.1 Interior LPD-Space Method"/>
      <sheetName val="6d.2 Interior LPD-Bldg  Method"/>
      <sheetName val="6e. Ext LPD"/>
      <sheetName val="6f. Process Equip."/>
      <sheetName val="6g. Service HW"/>
      <sheetName val="Instructions for HVAC_Cover"/>
      <sheetName val="HVAC_Cover"/>
      <sheetName val="Lists"/>
      <sheetName val="HVAC Air-side"/>
      <sheetName val="6j. HVAC Water-side CHW  "/>
      <sheetName val="6k. HVAC Water-side CW&amp;CT"/>
      <sheetName val="6l. HVAC Water-side HW&amp;Steam"/>
      <sheetName val="6m. HVAC- Geothermal"/>
      <sheetName val="6n. CHP"/>
      <sheetName val="Lists-Areas"/>
      <sheetName val="Lighting Lookup"/>
      <sheetName val="Lighting Zones"/>
      <sheetName val="Raw Data"/>
    </sheetNames>
    <sheetDataSet>
      <sheetData sheetId="0"/>
      <sheetData sheetId="1"/>
      <sheetData sheetId="2"/>
      <sheetData sheetId="3"/>
      <sheetData sheetId="4"/>
      <sheetData sheetId="5"/>
      <sheetData sheetId="6">
        <row r="31">
          <cell r="C31"/>
        </row>
      </sheetData>
      <sheetData sheetId="7"/>
      <sheetData sheetId="8">
        <row r="4">
          <cell r="B4" t="str">
            <v>Section 11 ECB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Non-Residential</v>
          </cell>
          <cell r="N1" t="str">
            <v>Yes</v>
          </cell>
        </row>
        <row r="2">
          <cell r="A2" t="str">
            <v>Residential</v>
          </cell>
          <cell r="N2" t="str">
            <v>No</v>
          </cell>
        </row>
        <row r="3">
          <cell r="A3" t="str">
            <v>Semiheated</v>
          </cell>
        </row>
        <row r="5">
          <cell r="A5" t="str">
            <v>Nonmetal framing (all)</v>
          </cell>
        </row>
        <row r="6">
          <cell r="A6" t="str">
            <v>Metal framing (fixed), below 95ft</v>
          </cell>
        </row>
        <row r="7">
          <cell r="A7" t="str">
            <v>Metal framing (fixed), 95ft and above</v>
          </cell>
        </row>
        <row r="8">
          <cell r="A8" t="str">
            <v>Metal framing (operable), below 95ft</v>
          </cell>
        </row>
        <row r="9">
          <cell r="A9" t="str">
            <v>Metal framing (operable), 95ft and above</v>
          </cell>
        </row>
        <row r="10">
          <cell r="A10" t="str">
            <v>Curtainwall fixed</v>
          </cell>
        </row>
        <row r="11">
          <cell r="A11" t="str">
            <v>Metal framing (entrance door)</v>
          </cell>
        </row>
        <row r="31">
          <cell r="A31" t="str">
            <v>Insulation Entirely Above Deck</v>
          </cell>
        </row>
        <row r="32">
          <cell r="A32" t="str">
            <v>Metal Building</v>
          </cell>
        </row>
        <row r="33">
          <cell r="A33" t="str">
            <v>Attic and Other</v>
          </cell>
        </row>
        <row r="35">
          <cell r="A35" t="str">
            <v>Mass</v>
          </cell>
        </row>
        <row r="36">
          <cell r="A36" t="str">
            <v>Metal Building</v>
          </cell>
        </row>
        <row r="37">
          <cell r="A37" t="str">
            <v>Steel-Framed</v>
          </cell>
        </row>
        <row r="38">
          <cell r="A38" t="str">
            <v>Wood-Framed and Other</v>
          </cell>
        </row>
        <row r="42">
          <cell r="A42" t="str">
            <v>Mass</v>
          </cell>
        </row>
        <row r="43">
          <cell r="A43" t="str">
            <v>Steel-Joist</v>
          </cell>
        </row>
        <row r="44">
          <cell r="A44" t="str">
            <v>Wood-Framed and Other</v>
          </cell>
        </row>
        <row r="46">
          <cell r="A46" t="str">
            <v>Unheated</v>
          </cell>
        </row>
        <row r="47">
          <cell r="A47" t="str">
            <v>Heated</v>
          </cell>
        </row>
        <row r="49">
          <cell r="A49" t="str">
            <v>Swinging</v>
          </cell>
        </row>
        <row r="50">
          <cell r="A50" t="str">
            <v>Nonswinging</v>
          </cell>
        </row>
      </sheetData>
      <sheetData sheetId="30">
        <row r="18">
          <cell r="C18"/>
        </row>
      </sheetData>
      <sheetData sheetId="31"/>
      <sheetData sheetId="32"/>
      <sheetData sheetId="33"/>
      <sheetData sheetId="34"/>
      <sheetData sheetId="35"/>
      <sheetData sheetId="36"/>
      <sheetData sheetId="37">
        <row r="2">
          <cell r="A2" t="str">
            <v>Automotive facility</v>
          </cell>
          <cell r="E2" t="str">
            <v>Atrium - first 40ft in height</v>
          </cell>
          <cell r="I2" t="str">
            <v>None</v>
          </cell>
        </row>
        <row r="3">
          <cell r="A3" t="str">
            <v>Convention center</v>
          </cell>
          <cell r="E3" t="str">
            <v>Atrium - height above 40ft</v>
          </cell>
          <cell r="I3" t="str">
            <v>Decorative</v>
          </cell>
        </row>
        <row r="4">
          <cell r="A4" t="str">
            <v>Courthouse</v>
          </cell>
          <cell r="E4" t="str">
            <v>Audience/seating area - all other</v>
          </cell>
          <cell r="I4" t="str">
            <v>Retail Display</v>
          </cell>
        </row>
        <row r="5">
          <cell r="A5" t="str">
            <v>Dining: bar lounge/leisure</v>
          </cell>
          <cell r="E5" t="str">
            <v>Audience/seating area - auditorium</v>
          </cell>
          <cell r="I5" t="str">
            <v>Room Cavity Ratio</v>
          </cell>
        </row>
        <row r="6">
          <cell r="A6" t="str">
            <v>Dining: cafeteria/fast food</v>
          </cell>
          <cell r="E6" t="str">
            <v>Audience/seating area - convention center</v>
          </cell>
          <cell r="I6" t="str">
            <v>Control Allowance</v>
          </cell>
        </row>
        <row r="7">
          <cell r="A7" t="str">
            <v>Dining: family</v>
          </cell>
          <cell r="E7" t="str">
            <v>Audience/seating area - exercise center</v>
          </cell>
        </row>
        <row r="8">
          <cell r="A8" t="str">
            <v>Dormitory</v>
          </cell>
          <cell r="E8" t="str">
            <v>Audience/seating area - gymnasium</v>
          </cell>
        </row>
        <row r="9">
          <cell r="A9" t="str">
            <v>Exercise center</v>
          </cell>
          <cell r="E9" t="str">
            <v>Audience/seating area - motion picture theater</v>
          </cell>
        </row>
        <row r="10">
          <cell r="A10" t="str">
            <v>Fire station</v>
          </cell>
          <cell r="E10" t="str">
            <v>Audience/seating area - penitentiary</v>
          </cell>
        </row>
        <row r="11">
          <cell r="A11" t="str">
            <v>Gymnasium</v>
          </cell>
          <cell r="E11" t="str">
            <v>Audience/seating area - performing arts theater</v>
          </cell>
        </row>
        <row r="12">
          <cell r="A12" t="str">
            <v>Health-care clinic</v>
          </cell>
          <cell r="E12" t="str">
            <v>Audience/seating area - religious facility</v>
          </cell>
        </row>
        <row r="13">
          <cell r="A13" t="str">
            <v>Hospital</v>
          </cell>
          <cell r="E13" t="str">
            <v>Audience/seating area - sports arena</v>
          </cell>
        </row>
        <row r="14">
          <cell r="A14" t="str">
            <v>Hotel/Motel</v>
          </cell>
          <cell r="E14" t="str">
            <v>Audience/seating area - transportation facility</v>
          </cell>
        </row>
        <row r="15">
          <cell r="A15" t="str">
            <v>Library</v>
          </cell>
          <cell r="E15" t="str">
            <v>Automotive</v>
          </cell>
        </row>
        <row r="16">
          <cell r="A16" t="str">
            <v>Manufacturing facility</v>
          </cell>
          <cell r="E16" t="str">
            <v>Banking Activity Area</v>
          </cell>
        </row>
        <row r="17">
          <cell r="A17" t="str">
            <v>Motion picture theater</v>
          </cell>
          <cell r="E17" t="str">
            <v>Classroom/lecture/training - all other</v>
          </cell>
        </row>
        <row r="18">
          <cell r="A18" t="str">
            <v>Multifamily</v>
          </cell>
          <cell r="E18" t="str">
            <v>Classroom/lecture/training - penitentiary</v>
          </cell>
        </row>
        <row r="19">
          <cell r="A19" t="str">
            <v>Museum</v>
          </cell>
          <cell r="E19" t="str">
            <v>Computer Room</v>
          </cell>
        </row>
        <row r="20">
          <cell r="A20" t="str">
            <v>Office</v>
          </cell>
          <cell r="E20" t="str">
            <v>Conference/meeting/multipurpose</v>
          </cell>
        </row>
        <row r="21">
          <cell r="A21" t="str">
            <v>Parking garage</v>
          </cell>
          <cell r="E21" t="str">
            <v>Confinement Cells</v>
          </cell>
        </row>
        <row r="22">
          <cell r="A22" t="str">
            <v>Penitentiary</v>
          </cell>
          <cell r="E22" t="str">
            <v>Convention Center-Exhibit Space</v>
          </cell>
        </row>
        <row r="23">
          <cell r="A23" t="str">
            <v>Performing arts theater</v>
          </cell>
          <cell r="E23" t="str">
            <v>Copy/Print Room</v>
          </cell>
        </row>
        <row r="24">
          <cell r="A24" t="str">
            <v>Police station</v>
          </cell>
          <cell r="E24" t="str">
            <v>Corridor - all other</v>
          </cell>
        </row>
        <row r="25">
          <cell r="A25" t="str">
            <v>Post office</v>
          </cell>
          <cell r="E25" t="str">
            <v>Corridor - facility for visually impaired</v>
          </cell>
        </row>
        <row r="26">
          <cell r="A26" t="str">
            <v>Religious facility</v>
          </cell>
          <cell r="E26" t="str">
            <v>Corridor - hospital</v>
          </cell>
        </row>
        <row r="27">
          <cell r="A27" t="str">
            <v>Retail</v>
          </cell>
          <cell r="E27" t="str">
            <v>Corridor - manufacturing facility</v>
          </cell>
        </row>
        <row r="28">
          <cell r="A28" t="str">
            <v>School/university</v>
          </cell>
          <cell r="E28" t="str">
            <v>Courtroom</v>
          </cell>
        </row>
        <row r="29">
          <cell r="A29" t="str">
            <v>Sports arena</v>
          </cell>
          <cell r="E29" t="str">
            <v>Dining Area - all other</v>
          </cell>
        </row>
        <row r="30">
          <cell r="A30" t="str">
            <v>Town hall</v>
          </cell>
          <cell r="E30" t="str">
            <v>Dining Area - Bar Lounge/Leisure Dining</v>
          </cell>
        </row>
        <row r="31">
          <cell r="A31" t="str">
            <v>Transportation</v>
          </cell>
          <cell r="E31" t="str">
            <v>Dining Area - cafeteria/fast food</v>
          </cell>
        </row>
        <row r="32">
          <cell r="A32" t="str">
            <v>Warehouse</v>
          </cell>
          <cell r="E32" t="str">
            <v>Dining Area - facility for visually impaired</v>
          </cell>
        </row>
        <row r="33">
          <cell r="A33" t="str">
            <v>Workshop</v>
          </cell>
          <cell r="E33" t="str">
            <v>Dining Area - Family Dining</v>
          </cell>
        </row>
        <row r="34">
          <cell r="E34" t="str">
            <v>Dining Area - penitentiary</v>
          </cell>
        </row>
        <row r="35">
          <cell r="E35" t="str">
            <v>Dormitory - living quarters</v>
          </cell>
        </row>
        <row r="36">
          <cell r="E36" t="str">
            <v>Electrical/Mechanical</v>
          </cell>
        </row>
        <row r="37">
          <cell r="E37" t="str">
            <v>Emergency Vehicle Garage</v>
          </cell>
        </row>
        <row r="38">
          <cell r="E38" t="str">
            <v>Facility for Visually Impaired - in a chapel</v>
          </cell>
        </row>
        <row r="39">
          <cell r="E39" t="str">
            <v>Facility for Visually Impaired - in a rec room/common living rm</v>
          </cell>
        </row>
        <row r="40">
          <cell r="E40" t="str">
            <v>Fire station - sleeping quarters</v>
          </cell>
        </row>
        <row r="41">
          <cell r="E41" t="str">
            <v>Food Preparation Area</v>
          </cell>
        </row>
        <row r="42">
          <cell r="E42" t="str">
            <v>Guest Room</v>
          </cell>
        </row>
        <row r="43">
          <cell r="E43" t="str">
            <v>Gymnasium/Exercise Center-Playing Area</v>
          </cell>
        </row>
        <row r="44">
          <cell r="E44" t="str">
            <v>Gymnasium/Fitness Center - exercise area</v>
          </cell>
        </row>
        <row r="45">
          <cell r="E45" t="str">
            <v>Healthcare facility - exam treatment room</v>
          </cell>
        </row>
        <row r="46">
          <cell r="E46" t="str">
            <v>Healthcare facility - imaging room</v>
          </cell>
        </row>
        <row r="47">
          <cell r="E47" t="str">
            <v>Healthcare facility - medical supply room</v>
          </cell>
        </row>
        <row r="48">
          <cell r="E48" t="str">
            <v>Healthcare facility - nursery</v>
          </cell>
        </row>
        <row r="49">
          <cell r="E49" t="str">
            <v>Healthcare facility - nurse's station</v>
          </cell>
        </row>
        <row r="50">
          <cell r="E50" t="str">
            <v>Healthcare facility - Operating Room</v>
          </cell>
        </row>
        <row r="51">
          <cell r="E51" t="str">
            <v>Healthcare facility - Patient Room</v>
          </cell>
        </row>
        <row r="52">
          <cell r="E52" t="str">
            <v>Healthcare facility - Physical Therapy</v>
          </cell>
        </row>
        <row r="53">
          <cell r="E53" t="str">
            <v>Healthcare facility - Recovery</v>
          </cell>
        </row>
        <row r="54">
          <cell r="E54" t="str">
            <v>Laboratory - in or as a classroom</v>
          </cell>
        </row>
        <row r="55">
          <cell r="E55" t="str">
            <v>Laboratory - other</v>
          </cell>
        </row>
        <row r="56">
          <cell r="E56" t="str">
            <v>Laundry/Washing Area</v>
          </cell>
        </row>
        <row r="57">
          <cell r="E57" t="str">
            <v>Library - Reading Area</v>
          </cell>
        </row>
        <row r="58">
          <cell r="E58" t="str">
            <v>Library - Stacks</v>
          </cell>
        </row>
        <row r="59">
          <cell r="E59" t="str">
            <v>Loading Dock, Interior</v>
          </cell>
        </row>
        <row r="60">
          <cell r="E60" t="str">
            <v>Lobby - all other</v>
          </cell>
        </row>
        <row r="61">
          <cell r="E61" t="str">
            <v>Lobby - Elevator</v>
          </cell>
        </row>
        <row r="62">
          <cell r="E62" t="str">
            <v>Lobby - facility for visually impaired</v>
          </cell>
        </row>
        <row r="63">
          <cell r="E63" t="str">
            <v>Lobby - Hotel</v>
          </cell>
        </row>
        <row r="64">
          <cell r="E64" t="str">
            <v>Lobby - Motion Picture Theater</v>
          </cell>
        </row>
        <row r="65">
          <cell r="E65" t="str">
            <v>Lobby - Performing Arts Theater</v>
          </cell>
        </row>
        <row r="66">
          <cell r="E66" t="str">
            <v>Locker Room</v>
          </cell>
        </row>
        <row r="67">
          <cell r="E67" t="str">
            <v>Lounge/Breakroom - all other</v>
          </cell>
        </row>
        <row r="68">
          <cell r="E68" t="str">
            <v>Lounge/Breakroom - healthcare facility</v>
          </cell>
        </row>
        <row r="69">
          <cell r="E69" t="str">
            <v>Manufacturing-Detailed Manufacturing</v>
          </cell>
        </row>
        <row r="70">
          <cell r="E70" t="str">
            <v>Manufacturing-Equipment Room</v>
          </cell>
        </row>
        <row r="71">
          <cell r="E71" t="str">
            <v>Manufacturing-Extra High Bay (&gt;50ft floor to ceiling ht)</v>
          </cell>
        </row>
        <row r="72">
          <cell r="E72" t="str">
            <v>Manufacturing-High Bay (25-50ft floor to ceiling ht)</v>
          </cell>
        </row>
        <row r="73">
          <cell r="E73" t="str">
            <v>Manufacturing-Low Bay (&lt;25ft floor to ceiling ht)</v>
          </cell>
        </row>
        <row r="74">
          <cell r="E74" t="str">
            <v>Multifamily Dwelling Unit</v>
          </cell>
        </row>
        <row r="75">
          <cell r="E75" t="str">
            <v>Museum-General Exhibition</v>
          </cell>
        </row>
        <row r="76">
          <cell r="E76" t="str">
            <v>Museum-Restoration</v>
          </cell>
        </row>
        <row r="77">
          <cell r="E77" t="str">
            <v>Office - Enclosed and &lt; 250 sqft</v>
          </cell>
        </row>
        <row r="78">
          <cell r="E78" t="str">
            <v>Office - Enclosed and &gt; 250 sqft</v>
          </cell>
        </row>
        <row r="79">
          <cell r="E79" t="str">
            <v>Office - Open Plan</v>
          </cell>
        </row>
        <row r="80">
          <cell r="E80" t="str">
            <v>Parking Area, Interior</v>
          </cell>
        </row>
        <row r="81">
          <cell r="E81" t="str">
            <v>Performing Arts Theater - dressing room</v>
          </cell>
        </row>
        <row r="82">
          <cell r="E82" t="str">
            <v>Pharmacy Area</v>
          </cell>
        </row>
        <row r="83">
          <cell r="E83" t="str">
            <v>Post Office-Sorting Area</v>
          </cell>
        </row>
        <row r="84">
          <cell r="E84" t="str">
            <v>Religious Buildings-Fellowship Hall</v>
          </cell>
        </row>
        <row r="85">
          <cell r="E85" t="str">
            <v>Religious Buildings-Worship Pulpit, Choir</v>
          </cell>
        </row>
        <row r="86">
          <cell r="E86" t="str">
            <v>Restroom - all other</v>
          </cell>
        </row>
        <row r="87">
          <cell r="E87" t="str">
            <v>Restroom - visually impaired</v>
          </cell>
        </row>
        <row r="88">
          <cell r="E88" t="str">
            <v>Retail-Dressing/Fitting Room</v>
          </cell>
        </row>
        <row r="89">
          <cell r="E89" t="str">
            <v>Retail-Mall Concourse</v>
          </cell>
        </row>
        <row r="90">
          <cell r="E90" t="str">
            <v>Sales Area</v>
          </cell>
        </row>
        <row r="91">
          <cell r="E91" t="str">
            <v>Seating Area, General</v>
          </cell>
        </row>
        <row r="92">
          <cell r="E92" t="str">
            <v>Sports Arena-Court Sports Area-Class 1</v>
          </cell>
        </row>
        <row r="93">
          <cell r="E93" t="str">
            <v>Sports Arena-Court Sports Area-Class 2</v>
          </cell>
        </row>
        <row r="94">
          <cell r="E94" t="str">
            <v>Sports Arena-Court Sports Area-Class 3</v>
          </cell>
        </row>
        <row r="95">
          <cell r="E95" t="str">
            <v>Sports Arena-Court Sports Area-Class 4</v>
          </cell>
        </row>
        <row r="96">
          <cell r="E96" t="str">
            <v>Stairwell</v>
          </cell>
        </row>
        <row r="97">
          <cell r="E97" t="str">
            <v>Storage room - all other</v>
          </cell>
        </row>
        <row r="98">
          <cell r="E98" t="str">
            <v>Storage room - hospital</v>
          </cell>
        </row>
        <row r="99">
          <cell r="E99" t="str">
            <v>Storage room &lt; 50 sqft</v>
          </cell>
        </row>
        <row r="100">
          <cell r="E100" t="str">
            <v>Storage room &lt; 50 sqft and &lt; 1000 sqft</v>
          </cell>
        </row>
        <row r="101">
          <cell r="E101" t="str">
            <v>Transportation facility - airport concourse</v>
          </cell>
        </row>
        <row r="102">
          <cell r="E102" t="str">
            <v>Transportation facility - baggage/carousel area</v>
          </cell>
        </row>
        <row r="103">
          <cell r="E103" t="str">
            <v>Transportation facility - terminal ticket counter</v>
          </cell>
        </row>
        <row r="104">
          <cell r="E104" t="str">
            <v>Unfinished: Post construction buildout</v>
          </cell>
        </row>
        <row r="105">
          <cell r="E105" t="str">
            <v>Vehicular Maintenance Area</v>
          </cell>
        </row>
        <row r="106">
          <cell r="E106" t="str">
            <v>Warehouse storage - medium to bulky, palletized items</v>
          </cell>
        </row>
        <row r="107">
          <cell r="E107" t="str">
            <v>Warehouse storage - smaller, hand-carried items</v>
          </cell>
        </row>
        <row r="108">
          <cell r="E108" t="str">
            <v>Workshop</v>
          </cell>
        </row>
      </sheetData>
      <sheetData sheetId="38">
        <row r="2">
          <cell r="B2">
            <v>0</v>
          </cell>
          <cell r="C2" t="str">
            <v>Undeveloped areas within national and state parks, forest land and rural areas and other undeveloped areas as approved by the AHJ</v>
          </cell>
        </row>
        <row r="3">
          <cell r="B3">
            <v>1</v>
          </cell>
          <cell r="C3" t="str">
            <v>Park Land</v>
          </cell>
        </row>
        <row r="4">
          <cell r="B4">
            <v>2</v>
          </cell>
          <cell r="C4" t="str">
            <v>R districts, R districts with C overlays and MX districts</v>
          </cell>
        </row>
        <row r="5">
          <cell r="B5">
            <v>3</v>
          </cell>
          <cell r="C5" t="str">
            <v>M districts, except MX; C districts, except C5, C6 and C overlays on R</v>
          </cell>
        </row>
        <row r="6">
          <cell r="B6">
            <v>4</v>
          </cell>
          <cell r="C6" t="str">
            <v>C5 and C6 districts</v>
          </cell>
        </row>
      </sheetData>
      <sheetData sheetId="3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elcome"/>
      <sheetName val="Instructions"/>
      <sheetName val="General Project Info"/>
      <sheetName val="Utility Info"/>
      <sheetName val="Measure Descriptions"/>
      <sheetName val="Existing Conditions"/>
      <sheetName val="Measure Summary"/>
      <sheetName val="Measure QC"/>
      <sheetName val="QC Check"/>
      <sheetName val="QC Feedback"/>
      <sheetName val="Project Summary"/>
      <sheetName val="UDAT Support"/>
      <sheetName val="Calcs"/>
      <sheetName val="TRC Test"/>
      <sheetName val="CRIS Data Entry"/>
      <sheetName val="Avoided Costs"/>
      <sheetName val="ZipCode Map"/>
      <sheetName val="DropDowns"/>
      <sheetName val="Incentives"/>
      <sheetName val="Version Track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9">
          <cell r="U29" t="str">
            <v>Hot Water Boiler</v>
          </cell>
          <cell r="V29" t="str">
            <v>Entire Building</v>
          </cell>
          <cell r="W29" t="str">
            <v>Yes</v>
          </cell>
          <cell r="X29" t="str">
            <v>Natural Gas</v>
          </cell>
          <cell r="Y29" t="str">
            <v>AFUE</v>
          </cell>
          <cell r="Z29" t="str">
            <v>Condensing</v>
          </cell>
          <cell r="AA29" t="str">
            <v>Yes</v>
          </cell>
          <cell r="AB29" t="str">
            <v>Yes</v>
          </cell>
          <cell r="AC29" t="str">
            <v>Yes</v>
          </cell>
          <cell r="AD29" t="str">
            <v>Yes</v>
          </cell>
          <cell r="AE29" t="str">
            <v>Yes</v>
          </cell>
          <cell r="AF29" t="str">
            <v>Yes</v>
          </cell>
          <cell r="AG29" t="str">
            <v>Full Modulation - Set to Manual</v>
          </cell>
          <cell r="AH29" t="str">
            <v>Baseboard</v>
          </cell>
          <cell r="AI29" t="str">
            <v>TRV</v>
          </cell>
          <cell r="AJ29" t="str">
            <v>Absorption Chiller - 1 Stage</v>
          </cell>
          <cell r="AK29" t="str">
            <v>Entire Building</v>
          </cell>
          <cell r="AL29" t="str">
            <v>Yes</v>
          </cell>
          <cell r="AM29" t="str">
            <v>Natural Gas</v>
          </cell>
          <cell r="AN29" t="str">
            <v>SEER</v>
          </cell>
          <cell r="AO29" t="str">
            <v>Thermostat</v>
          </cell>
          <cell r="AP29" t="str">
            <v>Resident Owned</v>
          </cell>
          <cell r="BE29" t="str">
            <v>Electric</v>
          </cell>
          <cell r="BF29" t="str">
            <v>Chilled Water</v>
          </cell>
        </row>
        <row r="30">
          <cell r="U30" t="str">
            <v>Steam Boiler</v>
          </cell>
          <cell r="V30" t="str">
            <v>Common Spaces</v>
          </cell>
          <cell r="W30" t="str">
            <v>No</v>
          </cell>
          <cell r="X30" t="str">
            <v xml:space="preserve">Oil </v>
          </cell>
          <cell r="Y30" t="str">
            <v>Et</v>
          </cell>
          <cell r="Z30" t="str">
            <v>Near-Condensing</v>
          </cell>
          <cell r="AA30" t="str">
            <v>No</v>
          </cell>
          <cell r="AB30" t="str">
            <v>No</v>
          </cell>
          <cell r="AC30" t="str">
            <v>No</v>
          </cell>
          <cell r="AD30" t="str">
            <v>No</v>
          </cell>
          <cell r="AE30" t="str">
            <v>No</v>
          </cell>
          <cell r="AF30" t="str">
            <v>No</v>
          </cell>
          <cell r="AG30" t="str">
            <v>Full Modulation - Set to Modulate</v>
          </cell>
          <cell r="AH30" t="str">
            <v>Radiator</v>
          </cell>
          <cell r="AI30" t="str">
            <v>Thermostat</v>
          </cell>
          <cell r="AJ30" t="str">
            <v>Absorption Chiller - 2 Stage</v>
          </cell>
          <cell r="AK30" t="str">
            <v>Common Spaces</v>
          </cell>
          <cell r="AL30" t="str">
            <v>No</v>
          </cell>
          <cell r="AM30" t="str">
            <v xml:space="preserve">Oil </v>
          </cell>
          <cell r="AN30" t="str">
            <v>EER</v>
          </cell>
          <cell r="AO30" t="str">
            <v>Programmable Thermostat</v>
          </cell>
          <cell r="AP30" t="str">
            <v>Building Owned</v>
          </cell>
          <cell r="BE30" t="str">
            <v>Forced Air</v>
          </cell>
          <cell r="BF30" t="str">
            <v>Forced Air</v>
          </cell>
        </row>
        <row r="31">
          <cell r="U31" t="str">
            <v xml:space="preserve">Electric Resistance </v>
          </cell>
          <cell r="V31" t="str">
            <v>Apartments</v>
          </cell>
          <cell r="W31" t="str">
            <v>N/A</v>
          </cell>
          <cell r="X31" t="str">
            <v>Dual Fuel</v>
          </cell>
          <cell r="Y31" t="str">
            <v>HSPF</v>
          </cell>
          <cell r="Z31" t="str">
            <v>Forced Draft</v>
          </cell>
          <cell r="AA31" t="str">
            <v>N/A</v>
          </cell>
          <cell r="AB31" t="str">
            <v>N/A</v>
          </cell>
          <cell r="AC31" t="str">
            <v>N/A</v>
          </cell>
          <cell r="AD31" t="str">
            <v>N/A</v>
          </cell>
          <cell r="AE31" t="str">
            <v>N/A</v>
          </cell>
          <cell r="AF31" t="str">
            <v>N/A</v>
          </cell>
          <cell r="AG31" t="str">
            <v>Hi-Lo Operation</v>
          </cell>
          <cell r="AH31" t="str">
            <v>Fan Coil</v>
          </cell>
          <cell r="AI31" t="str">
            <v>Programmable Thermostat</v>
          </cell>
          <cell r="AJ31" t="str">
            <v>Gas Engine Chiller</v>
          </cell>
          <cell r="AK31" t="str">
            <v>Apartments</v>
          </cell>
          <cell r="AL31" t="str">
            <v>N/A</v>
          </cell>
          <cell r="AM31" t="str">
            <v>Dual Fuel</v>
          </cell>
          <cell r="AN31" t="str">
            <v>COP</v>
          </cell>
          <cell r="AO31" t="str">
            <v>Energy Management System (EMS)</v>
          </cell>
          <cell r="AP31" t="str">
            <v>Other</v>
          </cell>
          <cell r="BE31" t="str">
            <v>Hydronic</v>
          </cell>
          <cell r="BF31" t="str">
            <v>N/A</v>
          </cell>
        </row>
        <row r="32">
          <cell r="U32" t="str">
            <v>Air Source Heat Pump</v>
          </cell>
          <cell r="V32" t="str">
            <v>Other</v>
          </cell>
          <cell r="X32" t="str">
            <v>District Steam</v>
          </cell>
          <cell r="Y32" t="str">
            <v>COP</v>
          </cell>
          <cell r="Z32" t="str">
            <v>Atmospheric</v>
          </cell>
          <cell r="AG32" t="str">
            <v>On/Off</v>
          </cell>
          <cell r="AH32" t="str">
            <v>Duct</v>
          </cell>
          <cell r="AI32" t="str">
            <v>On/Off Valve</v>
          </cell>
          <cell r="AJ32" t="str">
            <v>Electric Chiller</v>
          </cell>
          <cell r="AK32" t="str">
            <v>Other</v>
          </cell>
          <cell r="AM32" t="str">
            <v>District Steam</v>
          </cell>
          <cell r="AO32" t="str">
            <v>Chilled Water Temperature Sensor</v>
          </cell>
          <cell r="BE32" t="str">
            <v>1-pipe Steam</v>
          </cell>
        </row>
        <row r="33">
          <cell r="U33" t="str">
            <v>Ground Source Heat Pump</v>
          </cell>
          <cell r="X33" t="str">
            <v>Electric</v>
          </cell>
          <cell r="Z33" t="str">
            <v>N/A</v>
          </cell>
          <cell r="AG33" t="str">
            <v>N/A</v>
          </cell>
          <cell r="AH33" t="str">
            <v>Radiant Floor</v>
          </cell>
          <cell r="AI33" t="str">
            <v>Fan Speed Control</v>
          </cell>
          <cell r="AJ33" t="str">
            <v>Window A/C</v>
          </cell>
          <cell r="AM33" t="str">
            <v>Electric</v>
          </cell>
          <cell r="BE33" t="str">
            <v>2-pipe Steam</v>
          </cell>
        </row>
        <row r="34">
          <cell r="U34" t="str">
            <v>Water Source Heat Pump</v>
          </cell>
          <cell r="X34" t="str">
            <v>Propane</v>
          </cell>
          <cell r="AH34" t="str">
            <v>PTAC</v>
          </cell>
          <cell r="AI34" t="str">
            <v>None</v>
          </cell>
          <cell r="AJ34" t="str">
            <v>Through Wall A/C</v>
          </cell>
          <cell r="AM34" t="str">
            <v>Propane</v>
          </cell>
          <cell r="BE34" t="str">
            <v>Vacuum Steam</v>
          </cell>
        </row>
        <row r="35">
          <cell r="U35" t="str">
            <v>Furnace</v>
          </cell>
          <cell r="X35" t="str">
            <v>Other</v>
          </cell>
          <cell r="AH35" t="str">
            <v>Other</v>
          </cell>
          <cell r="AJ35" t="str">
            <v>PTAC</v>
          </cell>
          <cell r="AM35" t="str">
            <v>Other</v>
          </cell>
        </row>
        <row r="36">
          <cell r="U36" t="str">
            <v>Combined Heat and Power</v>
          </cell>
          <cell r="AJ36" t="str">
            <v>Ductless Mini Split System</v>
          </cell>
        </row>
        <row r="37">
          <cell r="U37" t="str">
            <v>Other</v>
          </cell>
          <cell r="AJ37" t="str">
            <v>Split System Central Air</v>
          </cell>
        </row>
        <row r="38">
          <cell r="AJ38" t="str">
            <v>Other</v>
          </cell>
        </row>
      </sheetData>
      <sheetData sheetId="18"/>
      <sheetData sheetId="1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"/>
      <sheetName val="GHSF Calculator"/>
      <sheetName val="Demand Savings Lookup"/>
      <sheetName val="Lookup"/>
      <sheetName val="Drop Down"/>
      <sheetName val="Introduction"/>
      <sheetName val="NYSERDA Reporting"/>
      <sheetName val="ERMs"/>
      <sheetName val="Basic Info"/>
      <sheetName val="Model Inputs"/>
      <sheetName val="Reporting Summary"/>
      <sheetName val="Avoided Costs"/>
      <sheetName val="Detailed Measures"/>
      <sheetName val="Results from eQUEST"/>
      <sheetName val="SG Appx Intro"/>
      <sheetName val="Project Size"/>
      <sheetName val="Windows eQuest"/>
      <sheetName val="DHW Demand"/>
      <sheetName val="Appliances"/>
      <sheetName val="Lighting Schedule"/>
      <sheetName val="Interior Lighting"/>
      <sheetName val="Exterior Lighting"/>
      <sheetName val="In-Unit Lighting"/>
      <sheetName val="Infiltration&amp;Ventilation"/>
      <sheetName val="EIR for PTAC and PTHP"/>
      <sheetName val="Water Savings"/>
      <sheetName val="Simulation Summary"/>
      <sheetName val="Admin"/>
      <sheetName val="RECS - Baseline"/>
      <sheetName val="RECS - Proposed"/>
      <sheetName val="Tables of Values"/>
      <sheetName val="Locator Map"/>
      <sheetName val="Side Calcs - Baseline"/>
      <sheetName val="ZipCode Map"/>
      <sheetName val="Worksheet - Design - Baseline"/>
      <sheetName val="Worksheet - Design - Proposed"/>
      <sheetName val="Side Calcs - Proposed"/>
    </sheetNames>
    <sheetDataSet>
      <sheetData sheetId="0"/>
      <sheetData sheetId="1"/>
      <sheetData sheetId="2"/>
      <sheetData sheetId="3"/>
      <sheetData sheetId="4">
        <row r="2">
          <cell r="U2" t="str">
            <v>Storage, active</v>
          </cell>
          <cell r="W2" t="str">
            <v>Conference/meeting/multipurpose</v>
          </cell>
          <cell r="X2">
            <v>1.3</v>
          </cell>
          <cell r="Y2">
            <v>30</v>
          </cell>
        </row>
        <row r="3">
          <cell r="U3" t="str">
            <v>Storage, inactive</v>
          </cell>
          <cell r="W3" t="str">
            <v>Corridor/Transition</v>
          </cell>
          <cell r="X3">
            <v>0.5</v>
          </cell>
          <cell r="Y3">
            <v>10</v>
          </cell>
        </row>
        <row r="4">
          <cell r="U4" t="str">
            <v>Food Preparation</v>
          </cell>
          <cell r="W4" t="str">
            <v>Dining Area - For Family Dining</v>
          </cell>
          <cell r="X4">
            <v>2.1</v>
          </cell>
          <cell r="Y4">
            <v>23</v>
          </cell>
        </row>
        <row r="5">
          <cell r="U5" t="str">
            <v>Dining Area - For Family Dining</v>
          </cell>
          <cell r="W5" t="str">
            <v>Electrical/Mechanical</v>
          </cell>
          <cell r="X5">
            <v>1.5</v>
          </cell>
          <cell r="Y5">
            <v>30</v>
          </cell>
        </row>
        <row r="6">
          <cell r="U6" t="str">
            <v>Lobby</v>
          </cell>
          <cell r="W6" t="str">
            <v>Exit Signs</v>
          </cell>
          <cell r="X6" t="str">
            <v>5 W/face</v>
          </cell>
          <cell r="Y6" t="str">
            <v>NA</v>
          </cell>
        </row>
        <row r="7">
          <cell r="U7" t="str">
            <v>Corridor/Transition</v>
          </cell>
          <cell r="W7">
            <v>0</v>
          </cell>
          <cell r="X7">
            <v>0</v>
          </cell>
          <cell r="Y7">
            <v>0</v>
          </cell>
        </row>
        <row r="8">
          <cell r="U8" t="str">
            <v>Stairs - Active</v>
          </cell>
          <cell r="W8" t="str">
            <v>Food Preparation</v>
          </cell>
          <cell r="X8">
            <v>1.2</v>
          </cell>
          <cell r="Y8">
            <v>40</v>
          </cell>
        </row>
        <row r="9">
          <cell r="U9" t="str">
            <v>Restroom</v>
          </cell>
          <cell r="W9" t="str">
            <v>Lobby</v>
          </cell>
          <cell r="X9">
            <v>1.3</v>
          </cell>
          <cell r="Y9">
            <v>16</v>
          </cell>
        </row>
        <row r="10">
          <cell r="U10" t="str">
            <v>Office</v>
          </cell>
          <cell r="W10" t="str">
            <v>Office</v>
          </cell>
          <cell r="X10">
            <v>1.1000000000000001</v>
          </cell>
          <cell r="Y10">
            <v>35</v>
          </cell>
        </row>
        <row r="11">
          <cell r="U11" t="str">
            <v>Conference/meeting/multipurpose</v>
          </cell>
          <cell r="W11" t="str">
            <v>Parking garage</v>
          </cell>
          <cell r="X11">
            <v>0.2</v>
          </cell>
          <cell r="Y11">
            <v>7</v>
          </cell>
        </row>
        <row r="12">
          <cell r="U12" t="str">
            <v>Electrical/Mechanical</v>
          </cell>
          <cell r="W12" t="str">
            <v>Restroom</v>
          </cell>
          <cell r="X12">
            <v>0.9</v>
          </cell>
          <cell r="Y12">
            <v>12</v>
          </cell>
        </row>
        <row r="13">
          <cell r="U13" t="str">
            <v>Workshop</v>
          </cell>
          <cell r="W13" t="str">
            <v>Stairs - Active</v>
          </cell>
          <cell r="X13">
            <v>0.6</v>
          </cell>
          <cell r="Y13">
            <v>15</v>
          </cell>
        </row>
        <row r="14">
          <cell r="U14" t="str">
            <v>Parking Garage</v>
          </cell>
          <cell r="W14" t="str">
            <v>Storage, active</v>
          </cell>
          <cell r="X14">
            <v>0.8</v>
          </cell>
          <cell r="Y14">
            <v>20</v>
          </cell>
        </row>
        <row r="15">
          <cell r="U15" t="str">
            <v>Exit Signs</v>
          </cell>
          <cell r="W15" t="str">
            <v>Storage, inactive</v>
          </cell>
          <cell r="X15">
            <v>0.3</v>
          </cell>
          <cell r="Y15">
            <v>8</v>
          </cell>
        </row>
        <row r="16">
          <cell r="W16" t="str">
            <v>Workshop</v>
          </cell>
          <cell r="X16">
            <v>1.9</v>
          </cell>
          <cell r="Y16">
            <v>50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Input"/>
      <sheetName val="FuelType"/>
      <sheetName val="Export"/>
      <sheetName val="ETracker Output"/>
      <sheetName val="ElecCalcs"/>
      <sheetName val="FuelCalcs"/>
      <sheetName val="Results"/>
      <sheetName val="Revisions"/>
      <sheetName val="eQuest Output"/>
      <sheetName val="Binghampton"/>
      <sheetName val="Massena"/>
      <sheetName val="Albany"/>
      <sheetName val="Atlantic city"/>
      <sheetName val="Buffalo"/>
      <sheetName val="Newark"/>
      <sheetName val="New York City"/>
      <sheetName val="Rochester"/>
      <sheetName val="Syracuse"/>
      <sheetName val="Hartford, CT"/>
      <sheetName val="Wilmington, DE"/>
      <sheetName val="Allentown, PA"/>
      <sheetName val="Philadelphia, PA"/>
      <sheetName val="Wilkes-Barre, PA"/>
      <sheetName val="Burlington, VT"/>
      <sheetName val="Concord, NH"/>
      <sheetName val="Portland, ME"/>
      <sheetName val="Boston, MA"/>
      <sheetName val="Sheet1"/>
      <sheetName val="Caribou, ME"/>
      <sheetName val="UpdateWeather"/>
      <sheetName val="Post Retrofit"/>
      <sheetName val="Sheet2"/>
    </sheetNames>
    <sheetDataSet>
      <sheetData sheetId="0"/>
      <sheetData sheetId="1"/>
      <sheetData sheetId="2">
        <row r="1">
          <cell r="A1" t="str">
            <v>Electricity Only</v>
          </cell>
        </row>
        <row r="2">
          <cell r="A2" t="str">
            <v>Electricity And Fuel#2</v>
          </cell>
        </row>
        <row r="10">
          <cell r="A10" t="str">
            <v xml:space="preserve">Natural Gas(Therms) </v>
          </cell>
        </row>
        <row r="11">
          <cell r="A11" t="e">
            <v>#N/A</v>
          </cell>
        </row>
        <row r="12">
          <cell r="A12" t="str">
            <v>Fuel Oil No. 2 (Gallons)</v>
          </cell>
        </row>
        <row r="13">
          <cell r="A13" t="str">
            <v>Fuel Oil No. 3 (Gallons)</v>
          </cell>
        </row>
        <row r="14">
          <cell r="A14" t="str">
            <v>Fuel Oil No. 4 (Gallons)</v>
          </cell>
        </row>
        <row r="15">
          <cell r="A15" t="str">
            <v>Fuel Oil No. 5 (Gallons)</v>
          </cell>
        </row>
        <row r="16">
          <cell r="A16" t="str">
            <v>Fuel Oil No. 6 (Gallons)</v>
          </cell>
        </row>
        <row r="17">
          <cell r="A17" t="str">
            <v>Propane(Gallons)</v>
          </cell>
        </row>
        <row r="18">
          <cell r="A18" t="str">
            <v xml:space="preserve">Steam(MLB) </v>
          </cell>
        </row>
        <row r="19">
          <cell r="A19" t="str">
            <v xml:space="preserve">Hot Water(MMBtu) </v>
          </cell>
        </row>
        <row r="20">
          <cell r="A20" t="str">
            <v xml:space="preserve">Chilled Water(MMBtu) </v>
          </cell>
        </row>
        <row r="21">
          <cell r="A21" t="str">
            <v xml:space="preserve">Wood(Pound) </v>
          </cell>
        </row>
        <row r="22">
          <cell r="A22" t="str">
            <v xml:space="preserve">Coal/Coke(Tons) </v>
          </cell>
        </row>
        <row r="23">
          <cell r="A23" t="str">
            <v>Pellets (Tons)</v>
          </cell>
        </row>
        <row r="24">
          <cell r="A24" t="str">
            <v>Others(MMBtu)</v>
          </cell>
        </row>
        <row r="26">
          <cell r="A26" t="str">
            <v>TMY2</v>
          </cell>
        </row>
        <row r="27">
          <cell r="A27" t="str">
            <v>TMY3</v>
          </cell>
        </row>
        <row r="28">
          <cell r="A28" t="str">
            <v>Actual Weather</v>
          </cell>
        </row>
        <row r="55">
          <cell r="A55" t="str">
            <v>CT Hartford</v>
          </cell>
        </row>
        <row r="56">
          <cell r="A56" t="str">
            <v>DE Wilmington</v>
          </cell>
        </row>
        <row r="57">
          <cell r="A57" t="str">
            <v>ME Caribou</v>
          </cell>
        </row>
        <row r="58">
          <cell r="A58" t="str">
            <v>ME Portland</v>
          </cell>
        </row>
        <row r="59">
          <cell r="A59" t="e">
            <v>#N/A</v>
          </cell>
        </row>
        <row r="60">
          <cell r="A60" t="str">
            <v>NH Concord</v>
          </cell>
        </row>
        <row r="61">
          <cell r="A61" t="str">
            <v>NH Durham</v>
          </cell>
        </row>
        <row r="62">
          <cell r="A62" t="str">
            <v>NH Keene</v>
          </cell>
        </row>
        <row r="63">
          <cell r="A63" t="str">
            <v>NH Nashua</v>
          </cell>
        </row>
        <row r="64">
          <cell r="A64" t="str">
            <v>NJ Atlantic City</v>
          </cell>
        </row>
        <row r="65">
          <cell r="A65" t="str">
            <v>NJ Newark</v>
          </cell>
        </row>
        <row r="66">
          <cell r="A66" t="str">
            <v>NY Albany</v>
          </cell>
        </row>
        <row r="67">
          <cell r="A67" t="str">
            <v>NY Binghamton</v>
          </cell>
        </row>
        <row r="68">
          <cell r="A68" t="str">
            <v>NY Buffalo</v>
          </cell>
        </row>
        <row r="69">
          <cell r="A69" t="str">
            <v>NY Massena</v>
          </cell>
        </row>
        <row r="70">
          <cell r="A70" t="str">
            <v>NY New York City</v>
          </cell>
        </row>
        <row r="71">
          <cell r="A71" t="str">
            <v>NY Rochester</v>
          </cell>
        </row>
        <row r="72">
          <cell r="A72" t="str">
            <v>NY Syracuse</v>
          </cell>
        </row>
        <row r="73">
          <cell r="A73" t="str">
            <v>PA Allentown</v>
          </cell>
        </row>
        <row r="74">
          <cell r="A74" t="str">
            <v>PA Philadelphia</v>
          </cell>
        </row>
        <row r="75">
          <cell r="A75" t="str">
            <v>PA Wilkes-Barre</v>
          </cell>
        </row>
        <row r="76">
          <cell r="A76" t="str">
            <v>VT Burlington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formance_Outputs_0"/>
      <sheetName val="Instructions"/>
      <sheetName val="Definitions"/>
      <sheetName val="General Information"/>
      <sheetName val="Multiple Buildings Details"/>
      <sheetName val="Schedules"/>
      <sheetName val="EFLH Calculator"/>
      <sheetName val="Multifamily Details"/>
      <sheetName val="Opaque Assemblies"/>
      <sheetName val="Shading and Fenestration"/>
      <sheetName val="DropdownData"/>
      <sheetName val="Envelope Assumptions"/>
      <sheetName val="Lighting Counts"/>
      <sheetName val="General Lighting"/>
      <sheetName val="Lighting Assumptions"/>
      <sheetName val="Process Loads"/>
      <sheetName val="Service Water Heating"/>
      <sheetName val="General HVAC"/>
      <sheetName val="Air-Side HVAC"/>
      <sheetName val="Water-Side HVAC"/>
      <sheetName val="Results from eQuest"/>
      <sheetName val="Results from Trace"/>
      <sheetName val="Performance_Outputs_1"/>
      <sheetName val="Performance_Outputs_0 old"/>
      <sheetName val="Performance_Outputs_Summary"/>
      <sheetName val="Summary"/>
      <sheetName val="HVAC Lookup"/>
      <sheetName val="District Energy Path 3"/>
    </sheetNames>
    <sheetDataSet>
      <sheetData sheetId="0"/>
      <sheetData sheetId="1"/>
      <sheetData sheetId="2"/>
      <sheetData sheetId="3">
        <row r="12">
          <cell r="I12" t="str">
            <v>IP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sys_11" displayName="sys_11" ref="G67:H85" totalsRowShown="0">
  <autoFilter ref="G67:H85" xr:uid="{00000000-0009-0000-0100-000002000000}"/>
  <sortState xmlns:xlrd2="http://schemas.microsoft.com/office/spreadsheetml/2017/richdata2" ref="G62:H79">
    <sortCondition ref="G61:G79"/>
  </sortState>
  <tableColumns count="2">
    <tableColumn id="1" xr3:uid="{00000000-0010-0000-0000-000001000000}" name="Combo"/>
    <tableColumn id="2" xr3:uid="{00000000-0010-0000-0000-000002000000}" name="System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J72:P78" totalsRowShown="0" tableBorderDxfId="101" headerRowCellStyle="Calculation">
  <autoFilter ref="J72:P78" xr:uid="{00000000-0009-0000-0100-000003000000}"/>
  <sortState xmlns:xlrd2="http://schemas.microsoft.com/office/spreadsheetml/2017/richdata2" ref="J67:N73">
    <sortCondition ref="J66:J76"/>
  </sortState>
  <tableColumns count="7">
    <tableColumn id="1" xr3:uid="{00000000-0010-0000-0100-000001000000}" name="System No. "/>
    <tableColumn id="2" xr3:uid="{00000000-0010-0000-0100-000002000000}" name="System Type"/>
    <tableColumn id="3" xr3:uid="{00000000-0010-0000-0100-000003000000}" name="Fan Control"/>
    <tableColumn id="4" xr3:uid="{00000000-0010-0000-0100-000004000000}" name="Cooling Type"/>
    <tableColumn id="5" xr3:uid="{00000000-0010-0000-0100-000005000000}" name="Heating Type"/>
    <tableColumn id="6" xr3:uid="{00000000-0010-0000-0100-000006000000}" name="Efficiency" dataCellStyle="Normal"/>
    <tableColumn id="7" xr3:uid="{00000000-0010-0000-0100-000007000000}" name="Fan Power G3.1.2.9 [W]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nyc.gov/site/buildings/codes/ll97-adjustments.page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www.energy.gov/sites/prod/files/2016/01/f28/mv_guide_4_0.pdf" TargetMode="Externa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D743B-8A6F-4ABA-BC71-D366D0B166F8}">
  <sheetPr codeName="Sheet9">
    <pageSetUpPr fitToPage="1"/>
  </sheetPr>
  <dimension ref="A5:A9"/>
  <sheetViews>
    <sheetView tabSelected="1" view="pageLayout" zoomScaleNormal="100" workbookViewId="0">
      <selection activeCell="A3" sqref="A3"/>
    </sheetView>
  </sheetViews>
  <sheetFormatPr defaultColWidth="8.85546875" defaultRowHeight="15"/>
  <cols>
    <col min="1" max="1" width="15.28515625" bestFit="1" customWidth="1"/>
    <col min="2" max="2" width="18.42578125" bestFit="1" customWidth="1"/>
    <col min="3" max="3" width="10.7109375" bestFit="1" customWidth="1"/>
  </cols>
  <sheetData>
    <row r="5" spans="1:1">
      <c r="A5" s="94" t="s">
        <v>957</v>
      </c>
    </row>
    <row r="6" spans="1:1">
      <c r="A6" s="55"/>
    </row>
    <row r="7" spans="1:1">
      <c r="A7" s="95" t="s">
        <v>956</v>
      </c>
    </row>
    <row r="9" spans="1:1">
      <c r="A9" s="55"/>
    </row>
  </sheetData>
  <sheetProtection algorithmName="SHA-512" hashValue="NL1F1W/+/zONH7hVLR4QekNWaorfA08niCdHMJym/VofP0MJQV88qoxkSjNg6HzKSOhf1F2a468cWxuIJOgIzA==" saltValue="or16Y+OknafhtkL9/NXI1w==" spinCount="100000" sheet="1" objects="1" scenarios="1"/>
  <hyperlinks>
    <hyperlink ref="A7" r:id="rId1" display="Adjustments - Sustainable Buildings (nyc.gov)" xr:uid="{8ECEC749-7757-4D1F-9612-DA0BB0FEDFC6}"/>
  </hyperlinks>
  <pageMargins left="0.7" right="0.7" top="0.75" bottom="0.75" header="0.3" footer="0.3"/>
  <pageSetup orientation="landscape" r:id="rId2"/>
  <headerFooter>
    <oddHeader>&amp;L&amp;G</oddHeader>
  </headerFooter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:B12"/>
  <sheetViews>
    <sheetView view="pageLayout" zoomScaleNormal="100" workbookViewId="0">
      <selection activeCell="E19" sqref="E19"/>
    </sheetView>
  </sheetViews>
  <sheetFormatPr defaultColWidth="8.85546875" defaultRowHeight="15"/>
  <cols>
    <col min="1" max="1" width="50.7109375" customWidth="1"/>
    <col min="2" max="2" width="3" customWidth="1"/>
  </cols>
  <sheetData>
    <row r="1" spans="1:2">
      <c r="A1" s="9"/>
    </row>
    <row r="2" spans="1:2">
      <c r="A2" s="9"/>
    </row>
    <row r="4" spans="1:2" ht="15.75">
      <c r="A4" s="292" t="s">
        <v>0</v>
      </c>
      <c r="B4" s="10"/>
    </row>
    <row r="5" spans="1:2" s="285" customFormat="1" ht="25.5" customHeight="1">
      <c r="A5" s="284" t="s">
        <v>958</v>
      </c>
    </row>
    <row r="6" spans="1:2" s="285" customFormat="1" ht="25.5" customHeight="1">
      <c r="A6" s="286" t="s">
        <v>959</v>
      </c>
    </row>
    <row r="7" spans="1:2" s="285" customFormat="1" ht="25.5" customHeight="1">
      <c r="A7" s="287" t="s">
        <v>960</v>
      </c>
    </row>
    <row r="8" spans="1:2" s="285" customFormat="1" ht="25.5" customHeight="1">
      <c r="A8" s="288" t="s">
        <v>964</v>
      </c>
    </row>
    <row r="9" spans="1:2" s="285" customFormat="1" ht="25.5" customHeight="1">
      <c r="A9" s="289" t="s">
        <v>961</v>
      </c>
    </row>
    <row r="10" spans="1:2" s="285" customFormat="1" ht="33.75" customHeight="1">
      <c r="A10" s="290" t="s">
        <v>1</v>
      </c>
    </row>
    <row r="11" spans="1:2" s="285" customFormat="1" ht="25.5" customHeight="1">
      <c r="A11" s="96" t="s">
        <v>963</v>
      </c>
    </row>
    <row r="12" spans="1:2" s="285" customFormat="1" ht="25.5" customHeight="1">
      <c r="A12" s="291" t="s">
        <v>962</v>
      </c>
    </row>
  </sheetData>
  <sheetProtection algorithmName="SHA-512" hashValue="JrCmsfaySGzG9VBZuEm6Lm4lYrB7pwwKDEaaYnkSZS2Cn4CNcuwnx8s27+6ZPWc00VyOQ71yMaoRXL80uNOCeA==" saltValue="SzHF11uUAQYjzz8kU/hAAg==" spinCount="100000" sheet="1" objects="1" scenarios="1"/>
  <pageMargins left="0.7" right="0.7" top="0.75" bottom="0.75" header="0.3" footer="0.3"/>
  <pageSetup orientation="portrait" verticalDpi="1200" r:id="rId1"/>
  <headerFooter>
    <oddHeader>&amp;L&amp;G</oddHeader>
    <oddFooter>&amp;L&amp;"Liberation Sans,Regular"Version 1.3&amp;R&amp;"Liberation Sans,Regular"February  2022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8"/>
  <dimension ref="A1:C20"/>
  <sheetViews>
    <sheetView workbookViewId="0">
      <selection activeCell="A11" sqref="A11"/>
    </sheetView>
  </sheetViews>
  <sheetFormatPr defaultColWidth="8.85546875" defaultRowHeight="15"/>
  <cols>
    <col min="1" max="2" width="10.42578125" customWidth="1"/>
    <col min="3" max="3" width="44.7109375" customWidth="1"/>
  </cols>
  <sheetData>
    <row r="1" spans="1:3" s="33" customFormat="1">
      <c r="A1" s="77" t="s">
        <v>2</v>
      </c>
      <c r="B1" s="78" t="s">
        <v>3</v>
      </c>
      <c r="C1" s="78" t="s">
        <v>4</v>
      </c>
    </row>
    <row r="2" spans="1:3">
      <c r="A2" s="30" t="s">
        <v>5</v>
      </c>
      <c r="B2" s="79">
        <v>44256</v>
      </c>
      <c r="C2" s="30"/>
    </row>
    <row r="3" spans="1:3">
      <c r="A3" s="30"/>
      <c r="B3" s="79"/>
      <c r="C3" s="30"/>
    </row>
    <row r="4" spans="1:3">
      <c r="A4" s="30" t="s">
        <v>942</v>
      </c>
      <c r="B4" s="79">
        <v>44287</v>
      </c>
      <c r="C4" s="30" t="s">
        <v>955</v>
      </c>
    </row>
    <row r="5" spans="1:3">
      <c r="A5" s="30"/>
      <c r="B5" s="30"/>
      <c r="C5" s="30"/>
    </row>
    <row r="6" spans="1:3">
      <c r="A6" s="30" t="s">
        <v>943</v>
      </c>
      <c r="B6" s="79">
        <v>44363</v>
      </c>
      <c r="C6" s="30" t="s">
        <v>944</v>
      </c>
    </row>
    <row r="7" spans="1:3">
      <c r="A7" s="30"/>
      <c r="B7" s="30"/>
      <c r="C7" s="30"/>
    </row>
    <row r="8" spans="1:3">
      <c r="A8" s="30" t="s">
        <v>951</v>
      </c>
      <c r="B8" s="79">
        <v>44501</v>
      </c>
      <c r="C8" s="30" t="s">
        <v>954</v>
      </c>
    </row>
    <row r="9" spans="1:3">
      <c r="A9" s="30"/>
      <c r="B9" s="79"/>
      <c r="C9" s="30"/>
    </row>
    <row r="10" spans="1:3">
      <c r="A10" s="30" t="s">
        <v>952</v>
      </c>
      <c r="B10" s="79">
        <v>44608</v>
      </c>
      <c r="C10" s="30" t="s">
        <v>953</v>
      </c>
    </row>
    <row r="11" spans="1:3">
      <c r="A11" s="30"/>
      <c r="B11" s="79"/>
      <c r="C11" s="30"/>
    </row>
    <row r="12" spans="1:3">
      <c r="A12" s="30"/>
      <c r="B12" s="30"/>
      <c r="C12" s="30"/>
    </row>
    <row r="13" spans="1:3">
      <c r="A13" s="30"/>
      <c r="B13" s="30"/>
      <c r="C13" s="30"/>
    </row>
    <row r="14" spans="1:3">
      <c r="A14" s="30"/>
      <c r="B14" s="30"/>
      <c r="C14" s="30"/>
    </row>
    <row r="15" spans="1:3">
      <c r="A15" s="30"/>
      <c r="B15" s="30"/>
      <c r="C15" s="30"/>
    </row>
    <row r="16" spans="1:3">
      <c r="A16" s="30"/>
      <c r="B16" s="30"/>
      <c r="C16" s="30"/>
    </row>
    <row r="17" spans="1:3">
      <c r="A17" s="30"/>
      <c r="B17" s="30"/>
      <c r="C17" s="30"/>
    </row>
    <row r="18" spans="1:3">
      <c r="A18" s="30"/>
      <c r="B18" s="30"/>
      <c r="C18" s="30"/>
    </row>
    <row r="19" spans="1:3">
      <c r="A19" s="30"/>
      <c r="B19" s="30"/>
      <c r="C19" s="30"/>
    </row>
    <row r="20" spans="1:3">
      <c r="A20" s="30"/>
      <c r="B20" s="30"/>
      <c r="C20" s="30"/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6"/>
  <dimension ref="A2:I26"/>
  <sheetViews>
    <sheetView showWhiteSpace="0" view="pageLayout" zoomScale="85" zoomScaleNormal="100" zoomScaleSheetLayoutView="100" zoomScalePageLayoutView="85" workbookViewId="0">
      <selection activeCell="H18" sqref="H18"/>
    </sheetView>
  </sheetViews>
  <sheetFormatPr defaultColWidth="8.85546875" defaultRowHeight="14.25"/>
  <cols>
    <col min="1" max="1" width="4" style="273" customWidth="1"/>
    <col min="2" max="2" width="24.7109375" style="94" customWidth="1"/>
    <col min="3" max="3" width="16.28515625" style="94" customWidth="1"/>
    <col min="4" max="4" width="9.28515625" style="94" customWidth="1"/>
    <col min="5" max="5" width="8.85546875" style="94"/>
    <col min="6" max="6" width="4" style="94" customWidth="1"/>
    <col min="7" max="7" width="8.85546875" style="94"/>
    <col min="8" max="8" width="16.7109375" style="94" customWidth="1"/>
    <col min="9" max="9" width="22.140625" style="94" customWidth="1"/>
    <col min="10" max="16384" width="8.85546875" style="94"/>
  </cols>
  <sheetData>
    <row r="2" spans="1:9">
      <c r="B2" s="94" t="s">
        <v>978</v>
      </c>
    </row>
    <row r="3" spans="1:9">
      <c r="A3" s="282"/>
    </row>
    <row r="4" spans="1:9" ht="20.25" customHeight="1">
      <c r="A4" s="283">
        <v>1</v>
      </c>
      <c r="B4" s="310" t="s">
        <v>6</v>
      </c>
      <c r="C4" s="310"/>
      <c r="D4" s="310"/>
      <c r="E4" s="310"/>
      <c r="F4" s="310"/>
      <c r="G4" s="310"/>
      <c r="H4" s="310"/>
      <c r="I4" s="279"/>
    </row>
    <row r="5" spans="1:9" ht="30.75" customHeight="1" thickBot="1">
      <c r="A5" s="317"/>
      <c r="B5" s="278" t="s">
        <v>7</v>
      </c>
      <c r="C5" s="311" t="s">
        <v>8</v>
      </c>
      <c r="D5" s="312"/>
      <c r="E5" s="312"/>
      <c r="F5" s="312"/>
      <c r="G5" s="312"/>
      <c r="H5" s="313"/>
    </row>
    <row r="6" spans="1:9" ht="28.5" customHeight="1" thickBot="1">
      <c r="A6" s="317"/>
      <c r="B6" s="278" t="s">
        <v>9</v>
      </c>
      <c r="C6" s="278" t="s">
        <v>10</v>
      </c>
      <c r="D6" s="278" t="s">
        <v>11</v>
      </c>
      <c r="E6" s="311" t="s">
        <v>12</v>
      </c>
      <c r="F6" s="313"/>
      <c r="G6" s="302" t="s">
        <v>13</v>
      </c>
      <c r="H6" s="304"/>
    </row>
    <row r="7" spans="1:9">
      <c r="A7" s="274"/>
      <c r="B7" s="129"/>
      <c r="C7" s="129"/>
      <c r="D7" s="129"/>
      <c r="E7" s="129"/>
      <c r="F7" s="129"/>
      <c r="G7" s="129"/>
    </row>
    <row r="8" spans="1:9" ht="15" thickBot="1">
      <c r="A8" s="275"/>
    </row>
    <row r="9" spans="1:9" ht="15.75" thickBot="1">
      <c r="A9" s="280">
        <v>2</v>
      </c>
      <c r="B9" s="314" t="s">
        <v>14</v>
      </c>
      <c r="C9" s="315"/>
      <c r="D9" s="315"/>
      <c r="E9" s="315"/>
      <c r="F9" s="315"/>
      <c r="G9" s="315"/>
      <c r="H9" s="315"/>
      <c r="I9" s="316"/>
    </row>
    <row r="10" spans="1:9" ht="27" customHeight="1" thickBot="1">
      <c r="A10" s="318"/>
      <c r="B10" s="302" t="s">
        <v>15</v>
      </c>
      <c r="C10" s="304"/>
      <c r="D10" s="302" t="s">
        <v>16</v>
      </c>
      <c r="E10" s="303"/>
      <c r="F10" s="303"/>
      <c r="G10" s="303"/>
      <c r="H10" s="304"/>
      <c r="I10" s="278" t="s">
        <v>17</v>
      </c>
    </row>
    <row r="11" spans="1:9" ht="27" customHeight="1" thickBot="1">
      <c r="A11" s="319"/>
      <c r="B11" s="302" t="s">
        <v>18</v>
      </c>
      <c r="C11" s="303"/>
      <c r="D11" s="303"/>
      <c r="E11" s="304"/>
      <c r="F11" s="302" t="s">
        <v>19</v>
      </c>
      <c r="G11" s="303"/>
      <c r="H11" s="303"/>
      <c r="I11" s="304"/>
    </row>
    <row r="12" spans="1:9" ht="29.25" customHeight="1" thickBot="1">
      <c r="A12" s="319"/>
      <c r="B12" s="302" t="s">
        <v>20</v>
      </c>
      <c r="C12" s="303"/>
      <c r="D12" s="303"/>
      <c r="E12" s="304"/>
      <c r="F12" s="302" t="s">
        <v>21</v>
      </c>
      <c r="G12" s="303"/>
      <c r="H12" s="303"/>
      <c r="I12" s="304"/>
    </row>
    <row r="13" spans="1:9" ht="29.25" customHeight="1" thickBot="1">
      <c r="A13" s="319"/>
      <c r="B13" s="278" t="s">
        <v>22</v>
      </c>
      <c r="C13" s="302" t="s">
        <v>23</v>
      </c>
      <c r="D13" s="304"/>
      <c r="E13" s="302" t="s">
        <v>24</v>
      </c>
      <c r="F13" s="303"/>
      <c r="G13" s="304"/>
      <c r="H13" s="302"/>
      <c r="I13" s="304"/>
    </row>
    <row r="14" spans="1:9" ht="28.5" customHeight="1" thickBot="1">
      <c r="A14" s="319"/>
      <c r="B14" s="302" t="s">
        <v>25</v>
      </c>
      <c r="C14" s="303"/>
      <c r="D14" s="303"/>
      <c r="E14" s="303"/>
      <c r="F14" s="304"/>
      <c r="G14" s="302" t="s">
        <v>26</v>
      </c>
      <c r="H14" s="303"/>
      <c r="I14" s="304"/>
    </row>
    <row r="15" spans="1:9">
      <c r="A15" s="276"/>
      <c r="B15" s="133"/>
      <c r="C15" s="133"/>
      <c r="D15" s="133"/>
      <c r="E15" s="133"/>
      <c r="F15" s="133"/>
      <c r="G15" s="133"/>
      <c r="H15" s="133"/>
      <c r="I15" s="133"/>
    </row>
    <row r="16" spans="1:9">
      <c r="B16" s="149"/>
      <c r="C16" s="149"/>
      <c r="D16" s="149"/>
    </row>
    <row r="17" spans="1:5" ht="15" customHeight="1">
      <c r="A17" s="281">
        <v>3</v>
      </c>
      <c r="B17" s="305" t="s">
        <v>977</v>
      </c>
      <c r="C17" s="306"/>
      <c r="D17" s="306"/>
    </row>
    <row r="18" spans="1:5" ht="15">
      <c r="A18" s="277"/>
      <c r="B18" s="307" t="s">
        <v>27</v>
      </c>
      <c r="C18" s="308"/>
      <c r="D18" s="309"/>
    </row>
    <row r="19" spans="1:5" ht="14.45" customHeight="1">
      <c r="A19" s="293" t="s">
        <v>979</v>
      </c>
      <c r="B19" s="294"/>
      <c r="C19" s="294"/>
      <c r="D19" s="295"/>
      <c r="E19" s="149"/>
    </row>
    <row r="20" spans="1:5">
      <c r="A20" s="296"/>
      <c r="B20" s="297"/>
      <c r="C20" s="297"/>
      <c r="D20" s="298"/>
      <c r="E20" s="149"/>
    </row>
    <row r="21" spans="1:5">
      <c r="A21" s="296"/>
      <c r="B21" s="297"/>
      <c r="C21" s="297"/>
      <c r="D21" s="298"/>
      <c r="E21" s="149"/>
    </row>
    <row r="22" spans="1:5">
      <c r="A22" s="296"/>
      <c r="B22" s="297"/>
      <c r="C22" s="297"/>
      <c r="D22" s="298"/>
      <c r="E22" s="149"/>
    </row>
    <row r="23" spans="1:5">
      <c r="A23" s="296"/>
      <c r="B23" s="297"/>
      <c r="C23" s="297"/>
      <c r="D23" s="298"/>
      <c r="E23" s="149"/>
    </row>
    <row r="24" spans="1:5">
      <c r="A24" s="296"/>
      <c r="B24" s="297"/>
      <c r="C24" s="297"/>
      <c r="D24" s="298"/>
      <c r="E24" s="149"/>
    </row>
    <row r="25" spans="1:5">
      <c r="A25" s="296"/>
      <c r="B25" s="297"/>
      <c r="C25" s="297"/>
      <c r="D25" s="298"/>
    </row>
    <row r="26" spans="1:5">
      <c r="A26" s="299"/>
      <c r="B26" s="300"/>
      <c r="C26" s="300"/>
      <c r="D26" s="301"/>
    </row>
  </sheetData>
  <sheetProtection algorithmName="SHA-512" hashValue="uKOFUYS+0HRuT241XEvDo3U8SAI1mlCCXOk5Eh9AnW99NA1h8gyZhuMQ1uCK2qiacuHam5yO/tEG+UTXR5Ai0A==" saltValue="bL88qGIAxblpPjvQakZbhw==" spinCount="100000" sheet="1" formatCells="0" formatColumns="0" formatRows="0"/>
  <mergeCells count="21">
    <mergeCell ref="A5:A6"/>
    <mergeCell ref="E6:F6"/>
    <mergeCell ref="B14:F14"/>
    <mergeCell ref="A10:A14"/>
    <mergeCell ref="B10:C10"/>
    <mergeCell ref="D10:H10"/>
    <mergeCell ref="G6:H6"/>
    <mergeCell ref="B4:H4"/>
    <mergeCell ref="C5:H5"/>
    <mergeCell ref="B9:I9"/>
    <mergeCell ref="F12:I12"/>
    <mergeCell ref="C13:D13"/>
    <mergeCell ref="E13:G13"/>
    <mergeCell ref="H13:I13"/>
    <mergeCell ref="A19:D26"/>
    <mergeCell ref="B11:E11"/>
    <mergeCell ref="F11:I11"/>
    <mergeCell ref="B12:E12"/>
    <mergeCell ref="G14:I14"/>
    <mergeCell ref="B17:D17"/>
    <mergeCell ref="B18:D18"/>
  </mergeCells>
  <pageMargins left="0.7" right="0.73124999999999996" top="0.75" bottom="0.75" header="0.3" footer="0.3"/>
  <pageSetup scale="78" orientation="portrait" r:id="rId1"/>
  <headerFooter>
    <oddHeader>&amp;L&amp;G&amp;R&amp;"Liberation Sans,Bold"&amp;14&amp;K00247D
EN97A: GHG Adjustments Form</oddHeader>
    <oddFooter>&amp;L&amp;"Liberation Sans,Regular"Version 1.3&amp;R&amp;"Liberation Sans,Regular"February  2022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FB3299E-DFA8-42B9-BD1A-78FBE6CD0315}">
          <x14:formula1>
            <xm:f>Lists!$A$155:$A$158</xm:f>
          </x14:formula1>
          <xm:sqref>B18:D18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D244C-8FC6-4111-A048-FE56BD69E0DA}">
  <sheetPr codeName="Sheet35"/>
  <dimension ref="B1:N52"/>
  <sheetViews>
    <sheetView view="pageLayout" zoomScaleNormal="100" zoomScaleSheetLayoutView="100" workbookViewId="0">
      <selection activeCell="I64" sqref="I64"/>
    </sheetView>
  </sheetViews>
  <sheetFormatPr defaultColWidth="7.140625" defaultRowHeight="14.25"/>
  <cols>
    <col min="1" max="1" width="2.28515625" style="94" customWidth="1"/>
    <col min="2" max="2" width="4.7109375" style="94" customWidth="1"/>
    <col min="3" max="3" width="8.140625" style="94" customWidth="1"/>
    <col min="4" max="4" width="11.42578125" style="94" customWidth="1"/>
    <col min="5" max="5" width="10.140625" style="94" customWidth="1"/>
    <col min="6" max="6" width="7.42578125" style="94" customWidth="1"/>
    <col min="7" max="7" width="8" style="94" customWidth="1"/>
    <col min="8" max="8" width="10.28515625" style="94" customWidth="1"/>
    <col min="9" max="9" width="10.140625" style="94" customWidth="1"/>
    <col min="10" max="10" width="7.42578125" style="94" customWidth="1"/>
    <col min="11" max="11" width="8.7109375" style="94" customWidth="1"/>
    <col min="12" max="12" width="10" style="94" customWidth="1"/>
    <col min="13" max="13" width="10.140625" style="94" customWidth="1"/>
    <col min="14" max="14" width="7.42578125" style="94" customWidth="1"/>
    <col min="15" max="16384" width="7.140625" style="94"/>
  </cols>
  <sheetData>
    <row r="1" spans="2:14" ht="10.5" customHeight="1"/>
    <row r="2" spans="2:14" ht="20.25" customHeight="1">
      <c r="B2" s="97" t="s">
        <v>28</v>
      </c>
      <c r="C2" s="322" t="s">
        <v>29</v>
      </c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4"/>
    </row>
    <row r="3" spans="2:14" s="100" customFormat="1" ht="18" customHeight="1">
      <c r="B3" s="97"/>
      <c r="C3" s="320" t="s">
        <v>30</v>
      </c>
      <c r="D3" s="321"/>
      <c r="E3" s="321"/>
      <c r="F3" s="268"/>
      <c r="G3" s="320" t="s">
        <v>30</v>
      </c>
      <c r="H3" s="321"/>
      <c r="I3" s="321"/>
      <c r="J3" s="268"/>
      <c r="K3" s="320" t="s">
        <v>30</v>
      </c>
      <c r="L3" s="321"/>
      <c r="M3" s="321"/>
      <c r="N3" s="325"/>
    </row>
    <row r="4" spans="2:14" s="100" customFormat="1" ht="14.45" customHeight="1">
      <c r="B4" s="97"/>
      <c r="C4" s="271" t="s">
        <v>31</v>
      </c>
      <c r="D4" s="326"/>
      <c r="E4" s="327"/>
      <c r="F4" s="328"/>
      <c r="G4" s="271" t="s">
        <v>31</v>
      </c>
      <c r="H4" s="326"/>
      <c r="I4" s="327"/>
      <c r="J4" s="328"/>
      <c r="K4" s="271" t="s">
        <v>31</v>
      </c>
      <c r="L4" s="326"/>
      <c r="M4" s="327"/>
      <c r="N4" s="328"/>
    </row>
    <row r="5" spans="2:14" s="100" customFormat="1" ht="45.75" customHeight="1">
      <c r="B5" s="99" t="s">
        <v>32</v>
      </c>
      <c r="C5" s="99" t="s">
        <v>33</v>
      </c>
      <c r="D5" s="99" t="s">
        <v>34</v>
      </c>
      <c r="E5" s="99" t="s">
        <v>35</v>
      </c>
      <c r="F5" s="99" t="s">
        <v>36</v>
      </c>
      <c r="G5" s="99" t="s">
        <v>33</v>
      </c>
      <c r="H5" s="99" t="s">
        <v>34</v>
      </c>
      <c r="I5" s="99" t="s">
        <v>35</v>
      </c>
      <c r="J5" s="99" t="s">
        <v>36</v>
      </c>
      <c r="K5" s="99" t="s">
        <v>33</v>
      </c>
      <c r="L5" s="99" t="s">
        <v>34</v>
      </c>
      <c r="M5" s="99" t="s">
        <v>35</v>
      </c>
      <c r="N5" s="99" t="s">
        <v>36</v>
      </c>
    </row>
    <row r="6" spans="2:14" s="100" customFormat="1" ht="14.45" customHeight="1">
      <c r="B6" s="99">
        <v>1</v>
      </c>
      <c r="C6" s="261"/>
      <c r="D6" s="262"/>
      <c r="E6" s="262"/>
      <c r="F6" s="262"/>
      <c r="G6" s="261"/>
      <c r="H6" s="262"/>
      <c r="I6" s="262"/>
      <c r="J6" s="262"/>
      <c r="K6" s="262"/>
      <c r="L6" s="262"/>
      <c r="M6" s="262"/>
      <c r="N6" s="262"/>
    </row>
    <row r="7" spans="2:14" s="100" customFormat="1" ht="14.45" customHeight="1">
      <c r="B7" s="99">
        <v>2</v>
      </c>
      <c r="C7" s="261"/>
      <c r="D7" s="117" t="str">
        <f>IF(C6="","",_xlfn.DAYS(C7,C6))</f>
        <v/>
      </c>
      <c r="E7" s="262"/>
      <c r="F7" s="262"/>
      <c r="G7" s="261"/>
      <c r="H7" s="117" t="str">
        <f>IF(G6="","",_xlfn.DAYS(G7,G6))</f>
        <v/>
      </c>
      <c r="I7" s="262"/>
      <c r="J7" s="262"/>
      <c r="K7" s="262"/>
      <c r="L7" s="117" t="str">
        <f>IF(K6="","",_xlfn.DAYS(K7,K6))</f>
        <v/>
      </c>
      <c r="M7" s="262"/>
      <c r="N7" s="262"/>
    </row>
    <row r="8" spans="2:14" s="100" customFormat="1" ht="14.45" customHeight="1">
      <c r="B8" s="272">
        <v>3</v>
      </c>
      <c r="C8" s="261"/>
      <c r="D8" s="117" t="str">
        <f t="shared" ref="D8:D17" si="0">IF(C7="","",_xlfn.DAYS(C8,C7))</f>
        <v/>
      </c>
      <c r="E8" s="262"/>
      <c r="F8" s="262"/>
      <c r="G8" s="261"/>
      <c r="H8" s="117" t="str">
        <f t="shared" ref="H8:H17" si="1">IF(G7="","",_xlfn.DAYS(G8,G7))</f>
        <v/>
      </c>
      <c r="I8" s="262"/>
      <c r="J8" s="262"/>
      <c r="K8" s="262"/>
      <c r="L8" s="117" t="str">
        <f t="shared" ref="L8:L17" si="2">IF(K7="","",_xlfn.DAYS(K8,K7))</f>
        <v/>
      </c>
      <c r="M8" s="262"/>
      <c r="N8" s="262"/>
    </row>
    <row r="9" spans="2:14" s="100" customFormat="1" ht="14.45" customHeight="1">
      <c r="B9" s="99">
        <v>4</v>
      </c>
      <c r="C9" s="261"/>
      <c r="D9" s="117" t="str">
        <f t="shared" si="0"/>
        <v/>
      </c>
      <c r="E9" s="262"/>
      <c r="F9" s="262"/>
      <c r="G9" s="261"/>
      <c r="H9" s="117" t="str">
        <f t="shared" si="1"/>
        <v/>
      </c>
      <c r="I9" s="262"/>
      <c r="J9" s="262"/>
      <c r="K9" s="262"/>
      <c r="L9" s="117" t="str">
        <f t="shared" si="2"/>
        <v/>
      </c>
      <c r="M9" s="262"/>
      <c r="N9" s="262"/>
    </row>
    <row r="10" spans="2:14" s="100" customFormat="1" ht="14.45" customHeight="1">
      <c r="B10" s="99">
        <v>5</v>
      </c>
      <c r="C10" s="261"/>
      <c r="D10" s="117" t="str">
        <f t="shared" si="0"/>
        <v/>
      </c>
      <c r="E10" s="262"/>
      <c r="F10" s="262"/>
      <c r="G10" s="261"/>
      <c r="H10" s="117" t="str">
        <f t="shared" si="1"/>
        <v/>
      </c>
      <c r="I10" s="262"/>
      <c r="J10" s="262"/>
      <c r="K10" s="262"/>
      <c r="L10" s="117" t="str">
        <f t="shared" si="2"/>
        <v/>
      </c>
      <c r="M10" s="262"/>
      <c r="N10" s="262"/>
    </row>
    <row r="11" spans="2:14" ht="14.45" customHeight="1">
      <c r="B11" s="99">
        <v>6</v>
      </c>
      <c r="C11" s="261"/>
      <c r="D11" s="117" t="str">
        <f t="shared" si="0"/>
        <v/>
      </c>
      <c r="E11" s="262"/>
      <c r="F11" s="262"/>
      <c r="G11" s="261"/>
      <c r="H11" s="117" t="str">
        <f t="shared" si="1"/>
        <v/>
      </c>
      <c r="I11" s="262"/>
      <c r="J11" s="262"/>
      <c r="K11" s="262"/>
      <c r="L11" s="117" t="str">
        <f t="shared" si="2"/>
        <v/>
      </c>
      <c r="M11" s="262"/>
      <c r="N11" s="262"/>
    </row>
    <row r="12" spans="2:14" ht="14.45" customHeight="1">
      <c r="B12" s="99">
        <v>7</v>
      </c>
      <c r="C12" s="261"/>
      <c r="D12" s="117" t="str">
        <f t="shared" si="0"/>
        <v/>
      </c>
      <c r="E12" s="262"/>
      <c r="F12" s="262"/>
      <c r="G12" s="261"/>
      <c r="H12" s="117" t="str">
        <f t="shared" si="1"/>
        <v/>
      </c>
      <c r="I12" s="262"/>
      <c r="J12" s="262"/>
      <c r="K12" s="262"/>
      <c r="L12" s="117" t="str">
        <f t="shared" si="2"/>
        <v/>
      </c>
      <c r="M12" s="262"/>
      <c r="N12" s="262"/>
    </row>
    <row r="13" spans="2:14" ht="14.45" customHeight="1">
      <c r="B13" s="99">
        <v>8</v>
      </c>
      <c r="C13" s="261"/>
      <c r="D13" s="117" t="str">
        <f t="shared" si="0"/>
        <v/>
      </c>
      <c r="E13" s="262"/>
      <c r="F13" s="262"/>
      <c r="G13" s="261"/>
      <c r="H13" s="117" t="str">
        <f t="shared" si="1"/>
        <v/>
      </c>
      <c r="I13" s="262"/>
      <c r="J13" s="262"/>
      <c r="K13" s="262"/>
      <c r="L13" s="117" t="str">
        <f t="shared" si="2"/>
        <v/>
      </c>
      <c r="M13" s="262"/>
      <c r="N13" s="262"/>
    </row>
    <row r="14" spans="2:14" ht="14.45" customHeight="1">
      <c r="B14" s="99">
        <v>9</v>
      </c>
      <c r="C14" s="261"/>
      <c r="D14" s="117" t="str">
        <f t="shared" si="0"/>
        <v/>
      </c>
      <c r="E14" s="262"/>
      <c r="F14" s="262"/>
      <c r="G14" s="261"/>
      <c r="H14" s="117" t="str">
        <f t="shared" si="1"/>
        <v/>
      </c>
      <c r="I14" s="262"/>
      <c r="J14" s="262"/>
      <c r="K14" s="262"/>
      <c r="L14" s="117" t="str">
        <f t="shared" si="2"/>
        <v/>
      </c>
      <c r="M14" s="262"/>
      <c r="N14" s="262"/>
    </row>
    <row r="15" spans="2:14" ht="14.45" customHeight="1">
      <c r="B15" s="99">
        <v>10</v>
      </c>
      <c r="C15" s="261"/>
      <c r="D15" s="117" t="str">
        <f t="shared" si="0"/>
        <v/>
      </c>
      <c r="E15" s="262"/>
      <c r="F15" s="262"/>
      <c r="G15" s="261"/>
      <c r="H15" s="117" t="str">
        <f t="shared" si="1"/>
        <v/>
      </c>
      <c r="I15" s="262"/>
      <c r="J15" s="262"/>
      <c r="K15" s="262"/>
      <c r="L15" s="117" t="str">
        <f t="shared" si="2"/>
        <v/>
      </c>
      <c r="M15" s="262"/>
      <c r="N15" s="262"/>
    </row>
    <row r="16" spans="2:14" ht="14.45" customHeight="1">
      <c r="B16" s="99">
        <v>11</v>
      </c>
      <c r="C16" s="261"/>
      <c r="D16" s="117" t="str">
        <f t="shared" si="0"/>
        <v/>
      </c>
      <c r="E16" s="262"/>
      <c r="F16" s="262"/>
      <c r="G16" s="261"/>
      <c r="H16" s="117" t="str">
        <f t="shared" si="1"/>
        <v/>
      </c>
      <c r="I16" s="262"/>
      <c r="J16" s="262"/>
      <c r="K16" s="262"/>
      <c r="L16" s="117" t="str">
        <f t="shared" si="2"/>
        <v/>
      </c>
      <c r="M16" s="262"/>
      <c r="N16" s="262"/>
    </row>
    <row r="17" spans="2:14" ht="14.45" customHeight="1">
      <c r="B17" s="99">
        <v>12</v>
      </c>
      <c r="C17" s="261"/>
      <c r="D17" s="117" t="str">
        <f t="shared" si="0"/>
        <v/>
      </c>
      <c r="E17" s="262"/>
      <c r="F17" s="262"/>
      <c r="G17" s="261"/>
      <c r="H17" s="117" t="str">
        <f t="shared" si="1"/>
        <v/>
      </c>
      <c r="I17" s="262"/>
      <c r="J17" s="262"/>
      <c r="K17" s="262"/>
      <c r="L17" s="117" t="str">
        <f t="shared" si="2"/>
        <v/>
      </c>
      <c r="M17" s="262"/>
      <c r="N17" s="262"/>
    </row>
    <row r="18" spans="2:14">
      <c r="B18" s="271"/>
      <c r="C18" s="271" t="s">
        <v>37</v>
      </c>
      <c r="D18" s="117" t="str">
        <f>IF(D6="","",SUM(D6:D17))</f>
        <v/>
      </c>
      <c r="E18" s="117" t="str">
        <f>IF(E6="","",SUM(E6:E17))</f>
        <v/>
      </c>
      <c r="F18" s="269"/>
      <c r="G18" s="271" t="s">
        <v>37</v>
      </c>
      <c r="H18" s="117" t="str">
        <f>IF(H6="","",SUM(H6:H17))</f>
        <v/>
      </c>
      <c r="I18" s="117" t="str">
        <f>IF(I6="","",SUM(I6:I17))</f>
        <v/>
      </c>
      <c r="J18" s="269"/>
      <c r="K18" s="271" t="s">
        <v>37</v>
      </c>
      <c r="L18" s="117" t="str">
        <f>IF(L6="","",SUM(L6:L17))</f>
        <v/>
      </c>
      <c r="M18" s="117" t="str">
        <f>IF(M6="","",SUM(M6:M17))</f>
        <v/>
      </c>
      <c r="N18" s="117"/>
    </row>
    <row r="19" spans="2:14" ht="11.1" customHeight="1"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</row>
    <row r="20" spans="2:14" ht="14.45" customHeight="1">
      <c r="B20" s="97"/>
      <c r="C20" s="320" t="s">
        <v>30</v>
      </c>
      <c r="D20" s="321"/>
      <c r="E20" s="321"/>
      <c r="F20" s="268"/>
      <c r="G20" s="320" t="s">
        <v>30</v>
      </c>
      <c r="H20" s="321"/>
      <c r="I20" s="321"/>
      <c r="J20" s="268"/>
      <c r="K20" s="320" t="s">
        <v>30</v>
      </c>
      <c r="L20" s="321"/>
      <c r="M20" s="321"/>
      <c r="N20" s="325"/>
    </row>
    <row r="21" spans="2:14" ht="16.5" customHeight="1">
      <c r="B21" s="97"/>
      <c r="C21" s="271" t="s">
        <v>31</v>
      </c>
      <c r="D21" s="326"/>
      <c r="E21" s="327"/>
      <c r="F21" s="328"/>
      <c r="G21" s="271" t="s">
        <v>31</v>
      </c>
      <c r="H21" s="326"/>
      <c r="I21" s="327"/>
      <c r="J21" s="328"/>
      <c r="K21" s="271" t="s">
        <v>31</v>
      </c>
      <c r="L21" s="326"/>
      <c r="M21" s="327"/>
      <c r="N21" s="328"/>
    </row>
    <row r="22" spans="2:14" ht="45.75" customHeight="1">
      <c r="B22" s="99" t="s">
        <v>32</v>
      </c>
      <c r="C22" s="99" t="s">
        <v>33</v>
      </c>
      <c r="D22" s="99" t="s">
        <v>34</v>
      </c>
      <c r="E22" s="99" t="s">
        <v>35</v>
      </c>
      <c r="F22" s="99" t="s">
        <v>36</v>
      </c>
      <c r="G22" s="99" t="s">
        <v>33</v>
      </c>
      <c r="H22" s="99" t="s">
        <v>34</v>
      </c>
      <c r="I22" s="99" t="s">
        <v>35</v>
      </c>
      <c r="J22" s="99" t="s">
        <v>36</v>
      </c>
      <c r="K22" s="99" t="s">
        <v>33</v>
      </c>
      <c r="L22" s="99" t="s">
        <v>34</v>
      </c>
      <c r="M22" s="99" t="s">
        <v>35</v>
      </c>
      <c r="N22" s="99" t="s">
        <v>36</v>
      </c>
    </row>
    <row r="23" spans="2:14" ht="15" customHeight="1">
      <c r="B23" s="99">
        <v>1</v>
      </c>
      <c r="C23" s="261"/>
      <c r="D23" s="262"/>
      <c r="E23" s="262"/>
      <c r="F23" s="262"/>
      <c r="G23" s="261"/>
      <c r="H23" s="262"/>
      <c r="I23" s="262"/>
      <c r="J23" s="262"/>
      <c r="K23" s="261"/>
      <c r="L23" s="262"/>
      <c r="M23" s="262"/>
      <c r="N23" s="262"/>
    </row>
    <row r="24" spans="2:14">
      <c r="B24" s="99">
        <v>2</v>
      </c>
      <c r="C24" s="261"/>
      <c r="D24" s="117" t="str">
        <f>IF(C23="","",_xlfn.DAYS(C24,C23))</f>
        <v/>
      </c>
      <c r="E24" s="262"/>
      <c r="F24" s="262"/>
      <c r="G24" s="261"/>
      <c r="H24" s="117" t="str">
        <f>IF(G23="","",_xlfn.DAYS(G24,G23))</f>
        <v/>
      </c>
      <c r="I24" s="262"/>
      <c r="J24" s="262"/>
      <c r="K24" s="261"/>
      <c r="L24" s="117" t="str">
        <f>IF(K23="","",_xlfn.DAYS(K24,K23))</f>
        <v/>
      </c>
      <c r="M24" s="262"/>
      <c r="N24" s="262"/>
    </row>
    <row r="25" spans="2:14">
      <c r="B25" s="272">
        <v>3</v>
      </c>
      <c r="C25" s="261"/>
      <c r="D25" s="117" t="str">
        <f t="shared" ref="D25:D34" si="3">IF(C24="","",_xlfn.DAYS(C25,C24))</f>
        <v/>
      </c>
      <c r="E25" s="262"/>
      <c r="F25" s="262"/>
      <c r="G25" s="261"/>
      <c r="H25" s="117" t="str">
        <f t="shared" ref="H25:H34" si="4">IF(G24="","",_xlfn.DAYS(G25,G24))</f>
        <v/>
      </c>
      <c r="I25" s="262"/>
      <c r="J25" s="262"/>
      <c r="K25" s="261"/>
      <c r="L25" s="117" t="str">
        <f t="shared" ref="L25:L34" si="5">IF(K24="","",_xlfn.DAYS(K25,K24))</f>
        <v/>
      </c>
      <c r="M25" s="262"/>
      <c r="N25" s="262"/>
    </row>
    <row r="26" spans="2:14">
      <c r="B26" s="99">
        <v>4</v>
      </c>
      <c r="C26" s="261"/>
      <c r="D26" s="117" t="str">
        <f t="shared" si="3"/>
        <v/>
      </c>
      <c r="E26" s="262"/>
      <c r="F26" s="262"/>
      <c r="G26" s="261"/>
      <c r="H26" s="117" t="str">
        <f t="shared" si="4"/>
        <v/>
      </c>
      <c r="I26" s="262"/>
      <c r="J26" s="262"/>
      <c r="K26" s="261"/>
      <c r="L26" s="117" t="str">
        <f t="shared" si="5"/>
        <v/>
      </c>
      <c r="M26" s="262"/>
      <c r="N26" s="262"/>
    </row>
    <row r="27" spans="2:14">
      <c r="B27" s="99">
        <v>5</v>
      </c>
      <c r="C27" s="261"/>
      <c r="D27" s="117" t="str">
        <f t="shared" si="3"/>
        <v/>
      </c>
      <c r="E27" s="262"/>
      <c r="F27" s="262"/>
      <c r="G27" s="261"/>
      <c r="H27" s="117" t="str">
        <f t="shared" si="4"/>
        <v/>
      </c>
      <c r="I27" s="262"/>
      <c r="J27" s="262"/>
      <c r="K27" s="261"/>
      <c r="L27" s="117" t="str">
        <f t="shared" si="5"/>
        <v/>
      </c>
      <c r="M27" s="262"/>
      <c r="N27" s="262"/>
    </row>
    <row r="28" spans="2:14">
      <c r="B28" s="99">
        <v>6</v>
      </c>
      <c r="C28" s="261"/>
      <c r="D28" s="117" t="str">
        <f t="shared" si="3"/>
        <v/>
      </c>
      <c r="E28" s="262"/>
      <c r="F28" s="262"/>
      <c r="G28" s="261"/>
      <c r="H28" s="117" t="str">
        <f t="shared" si="4"/>
        <v/>
      </c>
      <c r="I28" s="262"/>
      <c r="J28" s="262"/>
      <c r="K28" s="261"/>
      <c r="L28" s="117" t="str">
        <f t="shared" si="5"/>
        <v/>
      </c>
      <c r="M28" s="262"/>
      <c r="N28" s="262"/>
    </row>
    <row r="29" spans="2:14">
      <c r="B29" s="99">
        <v>7</v>
      </c>
      <c r="C29" s="261"/>
      <c r="D29" s="117" t="str">
        <f t="shared" si="3"/>
        <v/>
      </c>
      <c r="E29" s="262"/>
      <c r="F29" s="262"/>
      <c r="G29" s="261"/>
      <c r="H29" s="117" t="str">
        <f t="shared" si="4"/>
        <v/>
      </c>
      <c r="I29" s="262"/>
      <c r="J29" s="262"/>
      <c r="K29" s="261"/>
      <c r="L29" s="117" t="str">
        <f t="shared" si="5"/>
        <v/>
      </c>
      <c r="M29" s="262"/>
      <c r="N29" s="262"/>
    </row>
    <row r="30" spans="2:14">
      <c r="B30" s="99">
        <v>8</v>
      </c>
      <c r="C30" s="261"/>
      <c r="D30" s="117" t="str">
        <f t="shared" si="3"/>
        <v/>
      </c>
      <c r="E30" s="262"/>
      <c r="F30" s="262"/>
      <c r="G30" s="261"/>
      <c r="H30" s="117" t="str">
        <f t="shared" si="4"/>
        <v/>
      </c>
      <c r="I30" s="262"/>
      <c r="J30" s="262"/>
      <c r="K30" s="261"/>
      <c r="L30" s="117" t="str">
        <f t="shared" si="5"/>
        <v/>
      </c>
      <c r="M30" s="262"/>
      <c r="N30" s="262"/>
    </row>
    <row r="31" spans="2:14">
      <c r="B31" s="99">
        <v>9</v>
      </c>
      <c r="C31" s="261"/>
      <c r="D31" s="117" t="str">
        <f t="shared" si="3"/>
        <v/>
      </c>
      <c r="E31" s="262"/>
      <c r="F31" s="262"/>
      <c r="G31" s="261"/>
      <c r="H31" s="117" t="str">
        <f t="shared" si="4"/>
        <v/>
      </c>
      <c r="I31" s="262"/>
      <c r="J31" s="262"/>
      <c r="K31" s="261"/>
      <c r="L31" s="117" t="str">
        <f t="shared" si="5"/>
        <v/>
      </c>
      <c r="M31" s="262"/>
      <c r="N31" s="262"/>
    </row>
    <row r="32" spans="2:14">
      <c r="B32" s="99">
        <v>10</v>
      </c>
      <c r="C32" s="261"/>
      <c r="D32" s="117" t="str">
        <f t="shared" si="3"/>
        <v/>
      </c>
      <c r="E32" s="262"/>
      <c r="F32" s="262"/>
      <c r="G32" s="261"/>
      <c r="H32" s="117" t="str">
        <f t="shared" si="4"/>
        <v/>
      </c>
      <c r="I32" s="262"/>
      <c r="J32" s="262"/>
      <c r="K32" s="261"/>
      <c r="L32" s="117" t="str">
        <f t="shared" si="5"/>
        <v/>
      </c>
      <c r="M32" s="262"/>
      <c r="N32" s="262"/>
    </row>
    <row r="33" spans="2:14">
      <c r="B33" s="99">
        <v>11</v>
      </c>
      <c r="C33" s="261"/>
      <c r="D33" s="117" t="str">
        <f t="shared" si="3"/>
        <v/>
      </c>
      <c r="E33" s="262"/>
      <c r="F33" s="262"/>
      <c r="G33" s="261"/>
      <c r="H33" s="117" t="str">
        <f t="shared" si="4"/>
        <v/>
      </c>
      <c r="I33" s="262"/>
      <c r="J33" s="262"/>
      <c r="K33" s="261"/>
      <c r="L33" s="117" t="str">
        <f t="shared" si="5"/>
        <v/>
      </c>
      <c r="M33" s="262"/>
      <c r="N33" s="262"/>
    </row>
    <row r="34" spans="2:14">
      <c r="B34" s="99">
        <v>12</v>
      </c>
      <c r="C34" s="261"/>
      <c r="D34" s="117" t="str">
        <f t="shared" si="3"/>
        <v/>
      </c>
      <c r="E34" s="262"/>
      <c r="F34" s="262"/>
      <c r="G34" s="261"/>
      <c r="H34" s="117" t="str">
        <f t="shared" si="4"/>
        <v/>
      </c>
      <c r="I34" s="262"/>
      <c r="J34" s="262"/>
      <c r="K34" s="261"/>
      <c r="L34" s="117" t="str">
        <f t="shared" si="5"/>
        <v/>
      </c>
      <c r="M34" s="262"/>
      <c r="N34" s="262"/>
    </row>
    <row r="35" spans="2:14">
      <c r="B35" s="125"/>
      <c r="C35" s="271" t="s">
        <v>37</v>
      </c>
      <c r="D35" s="117" t="str">
        <f>IF(D23="","",SUM(D23:D34))</f>
        <v/>
      </c>
      <c r="E35" s="117" t="str">
        <f>IF(E23="","",SUM(E23:E34))</f>
        <v/>
      </c>
      <c r="F35" s="269"/>
      <c r="G35" s="271" t="s">
        <v>37</v>
      </c>
      <c r="H35" s="117" t="str">
        <f>IF(H23="","",SUM(H23:H34))</f>
        <v/>
      </c>
      <c r="I35" s="117" t="str">
        <f>IF(I23="","",SUM(I23:I34))</f>
        <v/>
      </c>
      <c r="J35" s="269"/>
      <c r="K35" s="271" t="s">
        <v>37</v>
      </c>
      <c r="L35" s="117" t="str">
        <f>IF(L23="","",SUM(L23:L34))</f>
        <v/>
      </c>
      <c r="M35" s="117" t="str">
        <f>IF(M23="","",SUM(M23:M34))</f>
        <v/>
      </c>
      <c r="N35" s="117"/>
    </row>
    <row r="36" spans="2:14" ht="10.5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</row>
    <row r="37" spans="2:14" ht="14.45" customHeight="1">
      <c r="B37" s="97"/>
      <c r="C37" s="320" t="s">
        <v>30</v>
      </c>
      <c r="D37" s="321"/>
      <c r="E37" s="321"/>
      <c r="F37" s="268"/>
      <c r="G37" s="320" t="s">
        <v>30</v>
      </c>
      <c r="H37" s="321"/>
      <c r="I37" s="321"/>
      <c r="J37" s="268"/>
      <c r="K37" s="320" t="s">
        <v>30</v>
      </c>
      <c r="L37" s="321"/>
      <c r="M37" s="321"/>
      <c r="N37" s="325"/>
    </row>
    <row r="38" spans="2:14" ht="16.5" customHeight="1">
      <c r="B38" s="97"/>
      <c r="C38" s="271" t="s">
        <v>31</v>
      </c>
      <c r="D38" s="326"/>
      <c r="E38" s="327"/>
      <c r="F38" s="328"/>
      <c r="G38" s="271" t="s">
        <v>31</v>
      </c>
      <c r="H38" s="326"/>
      <c r="I38" s="327"/>
      <c r="J38" s="328"/>
      <c r="K38" s="271" t="s">
        <v>31</v>
      </c>
      <c r="L38" s="326"/>
      <c r="M38" s="327"/>
      <c r="N38" s="328"/>
    </row>
    <row r="39" spans="2:14" ht="45" customHeight="1">
      <c r="B39" s="99" t="s">
        <v>32</v>
      </c>
      <c r="C39" s="99" t="s">
        <v>33</v>
      </c>
      <c r="D39" s="99" t="s">
        <v>34</v>
      </c>
      <c r="E39" s="99" t="s">
        <v>35</v>
      </c>
      <c r="F39" s="99" t="s">
        <v>36</v>
      </c>
      <c r="G39" s="99" t="s">
        <v>33</v>
      </c>
      <c r="H39" s="99" t="s">
        <v>34</v>
      </c>
      <c r="I39" s="99" t="s">
        <v>35</v>
      </c>
      <c r="J39" s="99" t="s">
        <v>36</v>
      </c>
      <c r="K39" s="99" t="s">
        <v>33</v>
      </c>
      <c r="L39" s="99" t="s">
        <v>34</v>
      </c>
      <c r="M39" s="99" t="s">
        <v>35</v>
      </c>
      <c r="N39" s="99" t="s">
        <v>36</v>
      </c>
    </row>
    <row r="40" spans="2:14" ht="15" customHeight="1">
      <c r="B40" s="99">
        <v>1</v>
      </c>
      <c r="C40" s="261"/>
      <c r="D40" s="262"/>
      <c r="E40" s="262"/>
      <c r="F40" s="262"/>
      <c r="G40" s="261"/>
      <c r="H40" s="262"/>
      <c r="I40" s="262"/>
      <c r="J40" s="262"/>
      <c r="K40" s="261"/>
      <c r="L40" s="262"/>
      <c r="M40" s="262"/>
      <c r="N40" s="262"/>
    </row>
    <row r="41" spans="2:14">
      <c r="B41" s="99">
        <v>2</v>
      </c>
      <c r="C41" s="261"/>
      <c r="D41" s="117" t="str">
        <f>IF(C40="","",_xlfn.DAYS(C41,C40))</f>
        <v/>
      </c>
      <c r="E41" s="262"/>
      <c r="F41" s="262"/>
      <c r="G41" s="261"/>
      <c r="H41" s="117" t="str">
        <f>IF(G40="","",_xlfn.DAYS(G41,G40))</f>
        <v/>
      </c>
      <c r="I41" s="262"/>
      <c r="J41" s="262"/>
      <c r="K41" s="261"/>
      <c r="L41" s="117" t="str">
        <f>IF(K40="","",_xlfn.DAYS(K41,K40))</f>
        <v/>
      </c>
      <c r="M41" s="262"/>
      <c r="N41" s="262"/>
    </row>
    <row r="42" spans="2:14">
      <c r="B42" s="272">
        <v>3</v>
      </c>
      <c r="C42" s="261"/>
      <c r="D42" s="117" t="str">
        <f t="shared" ref="D42:D51" si="6">IF(C41="","",_xlfn.DAYS(C42,C41))</f>
        <v/>
      </c>
      <c r="E42" s="262"/>
      <c r="F42" s="262"/>
      <c r="G42" s="261"/>
      <c r="H42" s="117" t="str">
        <f t="shared" ref="H42:H51" si="7">IF(G41="","",_xlfn.DAYS(G42,G41))</f>
        <v/>
      </c>
      <c r="I42" s="262"/>
      <c r="J42" s="262"/>
      <c r="K42" s="261"/>
      <c r="L42" s="117" t="str">
        <f t="shared" ref="L42:L51" si="8">IF(K41="","",_xlfn.DAYS(K42,K41))</f>
        <v/>
      </c>
      <c r="M42" s="262"/>
      <c r="N42" s="262"/>
    </row>
    <row r="43" spans="2:14">
      <c r="B43" s="99">
        <v>4</v>
      </c>
      <c r="C43" s="261"/>
      <c r="D43" s="117" t="str">
        <f t="shared" si="6"/>
        <v/>
      </c>
      <c r="E43" s="262"/>
      <c r="F43" s="262"/>
      <c r="G43" s="261"/>
      <c r="H43" s="117" t="str">
        <f t="shared" si="7"/>
        <v/>
      </c>
      <c r="I43" s="262"/>
      <c r="J43" s="262"/>
      <c r="K43" s="261"/>
      <c r="L43" s="117" t="str">
        <f t="shared" si="8"/>
        <v/>
      </c>
      <c r="M43" s="262"/>
      <c r="N43" s="262"/>
    </row>
    <row r="44" spans="2:14">
      <c r="B44" s="99">
        <v>5</v>
      </c>
      <c r="C44" s="261"/>
      <c r="D44" s="117" t="str">
        <f t="shared" si="6"/>
        <v/>
      </c>
      <c r="E44" s="262"/>
      <c r="F44" s="262"/>
      <c r="G44" s="261"/>
      <c r="H44" s="117" t="str">
        <f t="shared" si="7"/>
        <v/>
      </c>
      <c r="I44" s="262"/>
      <c r="J44" s="262"/>
      <c r="K44" s="261"/>
      <c r="L44" s="117" t="str">
        <f t="shared" si="8"/>
        <v/>
      </c>
      <c r="M44" s="262"/>
      <c r="N44" s="262"/>
    </row>
    <row r="45" spans="2:14">
      <c r="B45" s="99">
        <v>6</v>
      </c>
      <c r="C45" s="261"/>
      <c r="D45" s="117" t="str">
        <f t="shared" si="6"/>
        <v/>
      </c>
      <c r="E45" s="262"/>
      <c r="F45" s="262"/>
      <c r="G45" s="261"/>
      <c r="H45" s="117" t="str">
        <f t="shared" si="7"/>
        <v/>
      </c>
      <c r="I45" s="262"/>
      <c r="J45" s="262"/>
      <c r="K45" s="261"/>
      <c r="L45" s="117" t="str">
        <f t="shared" si="8"/>
        <v/>
      </c>
      <c r="M45" s="262"/>
      <c r="N45" s="262"/>
    </row>
    <row r="46" spans="2:14">
      <c r="B46" s="99">
        <v>7</v>
      </c>
      <c r="C46" s="261"/>
      <c r="D46" s="117" t="str">
        <f t="shared" si="6"/>
        <v/>
      </c>
      <c r="E46" s="262"/>
      <c r="F46" s="262"/>
      <c r="G46" s="261"/>
      <c r="H46" s="117" t="str">
        <f t="shared" si="7"/>
        <v/>
      </c>
      <c r="I46" s="262"/>
      <c r="J46" s="262"/>
      <c r="K46" s="261"/>
      <c r="L46" s="117" t="str">
        <f t="shared" si="8"/>
        <v/>
      </c>
      <c r="M46" s="262"/>
      <c r="N46" s="262"/>
    </row>
    <row r="47" spans="2:14">
      <c r="B47" s="99">
        <v>8</v>
      </c>
      <c r="C47" s="261"/>
      <c r="D47" s="117" t="str">
        <f t="shared" si="6"/>
        <v/>
      </c>
      <c r="E47" s="262"/>
      <c r="F47" s="262"/>
      <c r="G47" s="261"/>
      <c r="H47" s="117" t="str">
        <f t="shared" si="7"/>
        <v/>
      </c>
      <c r="I47" s="262"/>
      <c r="J47" s="262"/>
      <c r="K47" s="261"/>
      <c r="L47" s="117" t="str">
        <f t="shared" si="8"/>
        <v/>
      </c>
      <c r="M47" s="262"/>
      <c r="N47" s="262"/>
    </row>
    <row r="48" spans="2:14">
      <c r="B48" s="99">
        <v>9</v>
      </c>
      <c r="C48" s="261"/>
      <c r="D48" s="117" t="str">
        <f t="shared" si="6"/>
        <v/>
      </c>
      <c r="E48" s="262"/>
      <c r="F48" s="262"/>
      <c r="G48" s="261"/>
      <c r="H48" s="117" t="str">
        <f t="shared" si="7"/>
        <v/>
      </c>
      <c r="I48" s="262"/>
      <c r="J48" s="262"/>
      <c r="K48" s="261"/>
      <c r="L48" s="117" t="str">
        <f t="shared" si="8"/>
        <v/>
      </c>
      <c r="M48" s="262"/>
      <c r="N48" s="262"/>
    </row>
    <row r="49" spans="2:14">
      <c r="B49" s="99">
        <v>10</v>
      </c>
      <c r="C49" s="261"/>
      <c r="D49" s="117" t="str">
        <f t="shared" si="6"/>
        <v/>
      </c>
      <c r="E49" s="262"/>
      <c r="F49" s="262"/>
      <c r="G49" s="261"/>
      <c r="H49" s="117" t="str">
        <f t="shared" si="7"/>
        <v/>
      </c>
      <c r="I49" s="262"/>
      <c r="J49" s="262"/>
      <c r="K49" s="261"/>
      <c r="L49" s="117" t="str">
        <f t="shared" si="8"/>
        <v/>
      </c>
      <c r="M49" s="262"/>
      <c r="N49" s="262"/>
    </row>
    <row r="50" spans="2:14">
      <c r="B50" s="99">
        <v>11</v>
      </c>
      <c r="C50" s="261"/>
      <c r="D50" s="117" t="str">
        <f t="shared" si="6"/>
        <v/>
      </c>
      <c r="E50" s="262"/>
      <c r="F50" s="262"/>
      <c r="G50" s="261"/>
      <c r="H50" s="117" t="str">
        <f t="shared" si="7"/>
        <v/>
      </c>
      <c r="I50" s="262"/>
      <c r="J50" s="262"/>
      <c r="K50" s="261"/>
      <c r="L50" s="117" t="str">
        <f t="shared" si="8"/>
        <v/>
      </c>
      <c r="M50" s="262"/>
      <c r="N50" s="262"/>
    </row>
    <row r="51" spans="2:14">
      <c r="B51" s="99">
        <v>12</v>
      </c>
      <c r="C51" s="261"/>
      <c r="D51" s="117" t="str">
        <f t="shared" si="6"/>
        <v/>
      </c>
      <c r="E51" s="262"/>
      <c r="F51" s="262"/>
      <c r="G51" s="261"/>
      <c r="H51" s="117" t="str">
        <f t="shared" si="7"/>
        <v/>
      </c>
      <c r="I51" s="262"/>
      <c r="J51" s="262"/>
      <c r="K51" s="261"/>
      <c r="L51" s="117" t="str">
        <f t="shared" si="8"/>
        <v/>
      </c>
      <c r="M51" s="262"/>
      <c r="N51" s="262"/>
    </row>
    <row r="52" spans="2:14">
      <c r="B52" s="125"/>
      <c r="C52" s="271" t="s">
        <v>37</v>
      </c>
      <c r="D52" s="117" t="str">
        <f>IF(D40="","",SUM(D40:D51))</f>
        <v/>
      </c>
      <c r="E52" s="117" t="str">
        <f>IF(E40="","",SUM(E40:E51))</f>
        <v/>
      </c>
      <c r="F52" s="269"/>
      <c r="G52" s="271" t="s">
        <v>37</v>
      </c>
      <c r="H52" s="117" t="str">
        <f>IF(H40="","",SUM(H40:H51))</f>
        <v/>
      </c>
      <c r="I52" s="117" t="str">
        <f>IF(I40="","",SUM(I40:I51))</f>
        <v/>
      </c>
      <c r="J52" s="269"/>
      <c r="K52" s="271" t="s">
        <v>37</v>
      </c>
      <c r="L52" s="117" t="str">
        <f>IF(L40="","",SUM(L40:L51))</f>
        <v/>
      </c>
      <c r="M52" s="117" t="str">
        <f>IF(M40="","",SUM(M40:M51))</f>
        <v/>
      </c>
      <c r="N52" s="117"/>
    </row>
  </sheetData>
  <sheetProtection algorithmName="SHA-512" hashValue="MiUNDwqoRzj/2k7Kz8RkSyQ2gISJER7yc3BYv8yrqMi+bj4KgWw4GFkx6PgBv2drM/I1CqW/gfKAr9RqAMekOg==" saltValue="KLDFszgPmJFjJs5lwE5S9Q==" spinCount="100000" sheet="1" formatCells="0" formatColumns="0" formatRows="0"/>
  <mergeCells count="19">
    <mergeCell ref="L38:N38"/>
    <mergeCell ref="K20:N20"/>
    <mergeCell ref="L21:N21"/>
    <mergeCell ref="C37:E37"/>
    <mergeCell ref="G37:I37"/>
    <mergeCell ref="K37:N37"/>
    <mergeCell ref="C20:E20"/>
    <mergeCell ref="G20:I20"/>
    <mergeCell ref="D21:F21"/>
    <mergeCell ref="H21:J21"/>
    <mergeCell ref="D38:F38"/>
    <mergeCell ref="H38:J38"/>
    <mergeCell ref="C3:E3"/>
    <mergeCell ref="G3:I3"/>
    <mergeCell ref="C2:N2"/>
    <mergeCell ref="K3:N3"/>
    <mergeCell ref="L4:N4"/>
    <mergeCell ref="D4:F4"/>
    <mergeCell ref="H4:J4"/>
  </mergeCells>
  <conditionalFormatting sqref="C6:D6 H6:I6 C7:C16 I6:K17">
    <cfRule type="containsBlanks" dxfId="599" priority="151">
      <formula>LEN(TRIM(C6))=0</formula>
    </cfRule>
    <cfRule type="containsBlanks" dxfId="598" priority="153">
      <formula>LEN(TRIM(C6))=0</formula>
    </cfRule>
  </conditionalFormatting>
  <conditionalFormatting sqref="C17 I17">
    <cfRule type="containsBlanks" dxfId="597" priority="149">
      <formula>LEN(TRIM(C17))=0</formula>
    </cfRule>
    <cfRule type="containsBlanks" dxfId="596" priority="150">
      <formula>LEN(TRIM(C17))=0</formula>
    </cfRule>
  </conditionalFormatting>
  <conditionalFormatting sqref="G6:G16">
    <cfRule type="containsBlanks" dxfId="595" priority="147">
      <formula>LEN(TRIM(G6))=0</formula>
    </cfRule>
    <cfRule type="containsBlanks" dxfId="594" priority="148">
      <formula>LEN(TRIM(G6))=0</formula>
    </cfRule>
  </conditionalFormatting>
  <conditionalFormatting sqref="G17">
    <cfRule type="containsBlanks" dxfId="593" priority="145">
      <formula>LEN(TRIM(G17))=0</formula>
    </cfRule>
    <cfRule type="containsBlanks" dxfId="592" priority="146">
      <formula>LEN(TRIM(G17))=0</formula>
    </cfRule>
  </conditionalFormatting>
  <conditionalFormatting sqref="D4">
    <cfRule type="containsBlanks" dxfId="591" priority="141">
      <formula>LEN(TRIM(D4))=0</formula>
    </cfRule>
    <cfRule type="containsBlanks" dxfId="590" priority="142">
      <formula>LEN(TRIM(D4))=0</formula>
    </cfRule>
  </conditionalFormatting>
  <conditionalFormatting sqref="H4">
    <cfRule type="containsBlanks" dxfId="589" priority="99">
      <formula>LEN(TRIM(H4))=0</formula>
    </cfRule>
    <cfRule type="containsBlanks" dxfId="588" priority="100">
      <formula>LEN(TRIM(H4))=0</formula>
    </cfRule>
  </conditionalFormatting>
  <conditionalFormatting sqref="L6">
    <cfRule type="containsBlanks" dxfId="587" priority="137">
      <formula>LEN(TRIM(L6))=0</formula>
    </cfRule>
    <cfRule type="containsBlanks" dxfId="586" priority="138">
      <formula>LEN(TRIM(L6))=0</formula>
    </cfRule>
  </conditionalFormatting>
  <conditionalFormatting sqref="K6:K16">
    <cfRule type="containsBlanks" dxfId="585" priority="133">
      <formula>LEN(TRIM(K6))=0</formula>
    </cfRule>
    <cfRule type="containsBlanks" dxfId="584" priority="134">
      <formula>LEN(TRIM(K6))=0</formula>
    </cfRule>
  </conditionalFormatting>
  <conditionalFormatting sqref="K17">
    <cfRule type="containsBlanks" dxfId="583" priority="131">
      <formula>LEN(TRIM(K17))=0</formula>
    </cfRule>
    <cfRule type="containsBlanks" dxfId="582" priority="132">
      <formula>LEN(TRIM(K17))=0</formula>
    </cfRule>
  </conditionalFormatting>
  <conditionalFormatting sqref="C23:E23 H23:I23 I24:I33 C24:C33 E24:E33">
    <cfRule type="containsBlanks" dxfId="581" priority="125">
      <formula>LEN(TRIM(C23))=0</formula>
    </cfRule>
    <cfRule type="containsBlanks" dxfId="580" priority="126">
      <formula>LEN(TRIM(C23))=0</formula>
    </cfRule>
  </conditionalFormatting>
  <conditionalFormatting sqref="C34 I34 E34">
    <cfRule type="containsBlanks" dxfId="579" priority="123">
      <formula>LEN(TRIM(C34))=0</formula>
    </cfRule>
    <cfRule type="containsBlanks" dxfId="578" priority="124">
      <formula>LEN(TRIM(C34))=0</formula>
    </cfRule>
  </conditionalFormatting>
  <conditionalFormatting sqref="G23:G33">
    <cfRule type="containsBlanks" dxfId="577" priority="121">
      <formula>LEN(TRIM(G23))=0</formula>
    </cfRule>
    <cfRule type="containsBlanks" dxfId="576" priority="122">
      <formula>LEN(TRIM(G23))=0</formula>
    </cfRule>
  </conditionalFormatting>
  <conditionalFormatting sqref="G34">
    <cfRule type="containsBlanks" dxfId="575" priority="119">
      <formula>LEN(TRIM(G34))=0</formula>
    </cfRule>
    <cfRule type="containsBlanks" dxfId="574" priority="120">
      <formula>LEN(TRIM(G34))=0</formula>
    </cfRule>
  </conditionalFormatting>
  <conditionalFormatting sqref="G51">
    <cfRule type="containsBlanks" dxfId="573" priority="83">
      <formula>LEN(TRIM(G51))=0</formula>
    </cfRule>
    <cfRule type="containsBlanks" dxfId="572" priority="84">
      <formula>LEN(TRIM(G51))=0</formula>
    </cfRule>
  </conditionalFormatting>
  <conditionalFormatting sqref="L23">
    <cfRule type="containsBlanks" dxfId="571" priority="111">
      <formula>LEN(TRIM(L23))=0</formula>
    </cfRule>
    <cfRule type="containsBlanks" dxfId="570" priority="112">
      <formula>LEN(TRIM(L23))=0</formula>
    </cfRule>
  </conditionalFormatting>
  <conditionalFormatting sqref="C51 I51 E51:F51">
    <cfRule type="containsBlanks" dxfId="569" priority="87">
      <formula>LEN(TRIM(C51))=0</formula>
    </cfRule>
    <cfRule type="containsBlanks" dxfId="568" priority="88">
      <formula>LEN(TRIM(C51))=0</formula>
    </cfRule>
  </conditionalFormatting>
  <conditionalFormatting sqref="K23:K33">
    <cfRule type="containsBlanks" dxfId="567" priority="107">
      <formula>LEN(TRIM(K23))=0</formula>
    </cfRule>
    <cfRule type="containsBlanks" dxfId="566" priority="108">
      <formula>LEN(TRIM(K23))=0</formula>
    </cfRule>
  </conditionalFormatting>
  <conditionalFormatting sqref="K34">
    <cfRule type="containsBlanks" dxfId="565" priority="105">
      <formula>LEN(TRIM(K34))=0</formula>
    </cfRule>
    <cfRule type="containsBlanks" dxfId="564" priority="106">
      <formula>LEN(TRIM(K34))=0</formula>
    </cfRule>
  </conditionalFormatting>
  <conditionalFormatting sqref="K51">
    <cfRule type="containsBlanks" dxfId="563" priority="73">
      <formula>LEN(TRIM(K51))=0</formula>
    </cfRule>
    <cfRule type="containsBlanks" dxfId="562" priority="74">
      <formula>LEN(TRIM(K51))=0</formula>
    </cfRule>
  </conditionalFormatting>
  <conditionalFormatting sqref="C40:F40 H40:I40 I41:I50 C41:C50 E41:F50">
    <cfRule type="containsBlanks" dxfId="561" priority="89">
      <formula>LEN(TRIM(C40))=0</formula>
    </cfRule>
    <cfRule type="containsBlanks" dxfId="560" priority="90">
      <formula>LEN(TRIM(C40))=0</formula>
    </cfRule>
  </conditionalFormatting>
  <conditionalFormatting sqref="G40:G50">
    <cfRule type="containsBlanks" dxfId="559" priority="85">
      <formula>LEN(TRIM(G40))=0</formula>
    </cfRule>
    <cfRule type="containsBlanks" dxfId="558" priority="86">
      <formula>LEN(TRIM(G40))=0</formula>
    </cfRule>
  </conditionalFormatting>
  <conditionalFormatting sqref="L40">
    <cfRule type="containsBlanks" dxfId="557" priority="79">
      <formula>LEN(TRIM(L40))=0</formula>
    </cfRule>
    <cfRule type="containsBlanks" dxfId="556" priority="80">
      <formula>LEN(TRIM(L40))=0</formula>
    </cfRule>
  </conditionalFormatting>
  <conditionalFormatting sqref="K40:K50">
    <cfRule type="containsBlanks" dxfId="555" priority="75">
      <formula>LEN(TRIM(K40))=0</formula>
    </cfRule>
    <cfRule type="containsBlanks" dxfId="554" priority="76">
      <formula>LEN(TRIM(K40))=0</formula>
    </cfRule>
  </conditionalFormatting>
  <conditionalFormatting sqref="D21">
    <cfRule type="containsBlanks" dxfId="553" priority="47">
      <formula>LEN(TRIM(D21))=0</formula>
    </cfRule>
    <cfRule type="containsBlanks" dxfId="552" priority="48">
      <formula>LEN(TRIM(D21))=0</formula>
    </cfRule>
  </conditionalFormatting>
  <conditionalFormatting sqref="H21">
    <cfRule type="containsBlanks" dxfId="551" priority="45">
      <formula>LEN(TRIM(H21))=0</formula>
    </cfRule>
    <cfRule type="containsBlanks" dxfId="550" priority="46">
      <formula>LEN(TRIM(H21))=0</formula>
    </cfRule>
  </conditionalFormatting>
  <conditionalFormatting sqref="L21">
    <cfRule type="containsBlanks" dxfId="549" priority="43">
      <formula>LEN(TRIM(L21))=0</formula>
    </cfRule>
    <cfRule type="containsBlanks" dxfId="548" priority="44">
      <formula>LEN(TRIM(L21))=0</formula>
    </cfRule>
  </conditionalFormatting>
  <conditionalFormatting sqref="D38">
    <cfRule type="containsBlanks" dxfId="547" priority="41">
      <formula>LEN(TRIM(D38))=0</formula>
    </cfRule>
    <cfRule type="containsBlanks" dxfId="546" priority="42">
      <formula>LEN(TRIM(D38))=0</formula>
    </cfRule>
  </conditionalFormatting>
  <conditionalFormatting sqref="H38">
    <cfRule type="containsBlanks" dxfId="545" priority="39">
      <formula>LEN(TRIM(H38))=0</formula>
    </cfRule>
    <cfRule type="containsBlanks" dxfId="544" priority="40">
      <formula>LEN(TRIM(H38))=0</formula>
    </cfRule>
  </conditionalFormatting>
  <conditionalFormatting sqref="L38">
    <cfRule type="containsBlanks" dxfId="543" priority="37">
      <formula>LEN(TRIM(L38))=0</formula>
    </cfRule>
    <cfRule type="containsBlanks" dxfId="542" priority="38">
      <formula>LEN(TRIM(L38))=0</formula>
    </cfRule>
  </conditionalFormatting>
  <conditionalFormatting sqref="E6:F17">
    <cfRule type="containsBlanks" dxfId="541" priority="35">
      <formula>LEN(TRIM(E6))=0</formula>
    </cfRule>
    <cfRule type="containsBlanks" dxfId="540" priority="36">
      <formula>LEN(TRIM(E6))=0</formula>
    </cfRule>
  </conditionalFormatting>
  <conditionalFormatting sqref="F23:F34">
    <cfRule type="containsBlanks" dxfId="539" priority="33">
      <formula>LEN(TRIM(F23))=0</formula>
    </cfRule>
    <cfRule type="containsBlanks" dxfId="538" priority="34">
      <formula>LEN(TRIM(F23))=0</formula>
    </cfRule>
  </conditionalFormatting>
  <conditionalFormatting sqref="J40:J50">
    <cfRule type="containsBlanks" dxfId="537" priority="31">
      <formula>LEN(TRIM(J40))=0</formula>
    </cfRule>
    <cfRule type="containsBlanks" dxfId="536" priority="32">
      <formula>LEN(TRIM(J40))=0</formula>
    </cfRule>
  </conditionalFormatting>
  <conditionalFormatting sqref="J51">
    <cfRule type="containsBlanks" dxfId="535" priority="29">
      <formula>LEN(TRIM(J51))=0</formula>
    </cfRule>
    <cfRule type="containsBlanks" dxfId="534" priority="30">
      <formula>LEN(TRIM(J51))=0</formula>
    </cfRule>
  </conditionalFormatting>
  <conditionalFormatting sqref="J6:J17">
    <cfRule type="containsBlanks" dxfId="533" priority="27">
      <formula>LEN(TRIM(J6))=0</formula>
    </cfRule>
    <cfRule type="containsBlanks" dxfId="532" priority="28">
      <formula>LEN(TRIM(J6))=0</formula>
    </cfRule>
  </conditionalFormatting>
  <conditionalFormatting sqref="J23:J34">
    <cfRule type="containsBlanks" dxfId="531" priority="25">
      <formula>LEN(TRIM(J23))=0</formula>
    </cfRule>
    <cfRule type="containsBlanks" dxfId="530" priority="26">
      <formula>LEN(TRIM(J23))=0</formula>
    </cfRule>
  </conditionalFormatting>
  <conditionalFormatting sqref="M23:M33">
    <cfRule type="containsBlanks" dxfId="529" priority="19">
      <formula>LEN(TRIM(M23))=0</formula>
    </cfRule>
    <cfRule type="containsBlanks" dxfId="528" priority="20">
      <formula>LEN(TRIM(M23))=0</formula>
    </cfRule>
  </conditionalFormatting>
  <conditionalFormatting sqref="M34">
    <cfRule type="containsBlanks" dxfId="527" priority="17">
      <formula>LEN(TRIM(M34))=0</formula>
    </cfRule>
    <cfRule type="containsBlanks" dxfId="526" priority="18">
      <formula>LEN(TRIM(M34))=0</formula>
    </cfRule>
  </conditionalFormatting>
  <conditionalFormatting sqref="M40:M50">
    <cfRule type="containsBlanks" dxfId="525" priority="15">
      <formula>LEN(TRIM(M40))=0</formula>
    </cfRule>
    <cfRule type="containsBlanks" dxfId="524" priority="16">
      <formula>LEN(TRIM(M40))=0</formula>
    </cfRule>
  </conditionalFormatting>
  <conditionalFormatting sqref="M51">
    <cfRule type="containsBlanks" dxfId="523" priority="13">
      <formula>LEN(TRIM(M51))=0</formula>
    </cfRule>
    <cfRule type="containsBlanks" dxfId="522" priority="14">
      <formula>LEN(TRIM(M51))=0</formula>
    </cfRule>
  </conditionalFormatting>
  <conditionalFormatting sqref="N40:N50">
    <cfRule type="containsBlanks" dxfId="521" priority="11">
      <formula>LEN(TRIM(N40))=0</formula>
    </cfRule>
    <cfRule type="containsBlanks" dxfId="520" priority="12">
      <formula>LEN(TRIM(N40))=0</formula>
    </cfRule>
  </conditionalFormatting>
  <conditionalFormatting sqref="N51">
    <cfRule type="containsBlanks" dxfId="519" priority="9">
      <formula>LEN(TRIM(N51))=0</formula>
    </cfRule>
    <cfRule type="containsBlanks" dxfId="518" priority="10">
      <formula>LEN(TRIM(N51))=0</formula>
    </cfRule>
  </conditionalFormatting>
  <conditionalFormatting sqref="N23:N34">
    <cfRule type="containsBlanks" dxfId="517" priority="5">
      <formula>LEN(TRIM(N23))=0</formula>
    </cfRule>
    <cfRule type="containsBlanks" dxfId="516" priority="6">
      <formula>LEN(TRIM(N23))=0</formula>
    </cfRule>
  </conditionalFormatting>
  <conditionalFormatting sqref="L4">
    <cfRule type="containsBlanks" dxfId="515" priority="3">
      <formula>LEN(TRIM(L4))=0</formula>
    </cfRule>
    <cfRule type="containsBlanks" dxfId="514" priority="4">
      <formula>LEN(TRIM(L4))=0</formula>
    </cfRule>
  </conditionalFormatting>
  <conditionalFormatting sqref="M6:N17">
    <cfRule type="containsBlanks" dxfId="513" priority="1">
      <formula>LEN(TRIM(M6))=0</formula>
    </cfRule>
    <cfRule type="containsBlanks" dxfId="512" priority="2">
      <formula>LEN(TRIM(M6))=0</formula>
    </cfRule>
  </conditionalFormatting>
  <pageMargins left="0.4498611111111111" right="0.5552083333333333" top="0.75" bottom="0.75" header="0.3" footer="0.3"/>
  <pageSetup scale="82" orientation="portrait" r:id="rId1"/>
  <headerFooter>
    <oddHeader>&amp;L&amp;G&amp;C
&amp;R&amp;"Liberation Sans,Bold"&amp;14&amp;K00247DEN97A: GHG Adjustments Form</oddHeader>
    <oddFooter>&amp;L&amp;"Liberation Sans,Regular"Version 1.3&amp;R&amp;"Liberation Sans,Regular"February  2022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CB9AB-9FD1-4293-B1D3-942A9CBA613C}">
  <sheetPr codeName="Sheet44"/>
  <dimension ref="B1:N52"/>
  <sheetViews>
    <sheetView view="pageLayout" zoomScaleNormal="100" zoomScaleSheetLayoutView="100" workbookViewId="0">
      <selection activeCell="L13" sqref="L13"/>
    </sheetView>
  </sheetViews>
  <sheetFormatPr defaultColWidth="7.140625" defaultRowHeight="14.25"/>
  <cols>
    <col min="1" max="1" width="2.28515625" style="94" customWidth="1"/>
    <col min="2" max="2" width="4.7109375" style="94" customWidth="1"/>
    <col min="3" max="3" width="8.140625" style="94" customWidth="1"/>
    <col min="4" max="4" width="9.28515625" style="94" customWidth="1"/>
    <col min="5" max="5" width="10.140625" style="94" customWidth="1"/>
    <col min="6" max="6" width="7.42578125" style="94" customWidth="1"/>
    <col min="7" max="7" width="8" style="94" customWidth="1"/>
    <col min="8" max="8" width="9.28515625" style="94" customWidth="1"/>
    <col min="9" max="9" width="10.140625" style="94" customWidth="1"/>
    <col min="10" max="10" width="10" style="94" customWidth="1"/>
    <col min="11" max="11" width="10.85546875" style="94" customWidth="1"/>
    <col min="12" max="12" width="10" style="94" customWidth="1"/>
    <col min="13" max="13" width="10.140625" style="94" customWidth="1"/>
    <col min="14" max="14" width="8.42578125" style="94" customWidth="1"/>
    <col min="15" max="16384" width="7.140625" style="94"/>
  </cols>
  <sheetData>
    <row r="1" spans="2:14" ht="6" customHeight="1"/>
    <row r="2" spans="2:14" ht="15.75" customHeight="1">
      <c r="B2" s="97" t="s">
        <v>38</v>
      </c>
      <c r="C2" s="322" t="s">
        <v>29</v>
      </c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4"/>
    </row>
    <row r="3" spans="2:14" s="100" customFormat="1" ht="18" customHeight="1">
      <c r="B3" s="97"/>
      <c r="C3" s="320" t="s">
        <v>30</v>
      </c>
      <c r="D3" s="321"/>
      <c r="E3" s="321"/>
      <c r="F3" s="268"/>
      <c r="G3" s="320" t="s">
        <v>30</v>
      </c>
      <c r="H3" s="321"/>
      <c r="I3" s="321"/>
      <c r="J3" s="268"/>
      <c r="K3" s="320" t="s">
        <v>30</v>
      </c>
      <c r="L3" s="321"/>
      <c r="M3" s="321"/>
      <c r="N3" s="325"/>
    </row>
    <row r="4" spans="2:14" s="100" customFormat="1" ht="14.45" customHeight="1">
      <c r="B4" s="109"/>
      <c r="C4" s="260" t="s">
        <v>31</v>
      </c>
      <c r="D4" s="326"/>
      <c r="E4" s="327"/>
      <c r="F4" s="328"/>
      <c r="G4" s="260" t="s">
        <v>31</v>
      </c>
      <c r="H4" s="326"/>
      <c r="I4" s="327"/>
      <c r="J4" s="328"/>
      <c r="K4" s="260" t="s">
        <v>31</v>
      </c>
      <c r="L4" s="326"/>
      <c r="M4" s="327"/>
      <c r="N4" s="328"/>
    </row>
    <row r="5" spans="2:14" s="100" customFormat="1" ht="42" customHeight="1">
      <c r="B5" s="99" t="s">
        <v>32</v>
      </c>
      <c r="C5" s="99" t="s">
        <v>33</v>
      </c>
      <c r="D5" s="99" t="s">
        <v>34</v>
      </c>
      <c r="E5" s="99" t="s">
        <v>35</v>
      </c>
      <c r="F5" s="99" t="s">
        <v>36</v>
      </c>
      <c r="G5" s="99" t="s">
        <v>33</v>
      </c>
      <c r="H5" s="99" t="s">
        <v>34</v>
      </c>
      <c r="I5" s="99" t="s">
        <v>35</v>
      </c>
      <c r="J5" s="99" t="s">
        <v>36</v>
      </c>
      <c r="K5" s="99" t="s">
        <v>33</v>
      </c>
      <c r="L5" s="99" t="s">
        <v>34</v>
      </c>
      <c r="M5" s="99" t="s">
        <v>35</v>
      </c>
      <c r="N5" s="99" t="s">
        <v>36</v>
      </c>
    </row>
    <row r="6" spans="2:14" s="100" customFormat="1" ht="14.45" customHeight="1">
      <c r="B6" s="105">
        <v>1</v>
      </c>
      <c r="C6" s="261"/>
      <c r="D6" s="261"/>
      <c r="E6" s="261"/>
      <c r="F6" s="262"/>
      <c r="G6" s="261"/>
      <c r="H6" s="262"/>
      <c r="I6" s="262"/>
      <c r="J6" s="262"/>
      <c r="K6" s="261"/>
      <c r="L6" s="262"/>
      <c r="M6" s="262"/>
      <c r="N6" s="262"/>
    </row>
    <row r="7" spans="2:14" s="100" customFormat="1" ht="14.45" customHeight="1">
      <c r="B7" s="105">
        <v>2</v>
      </c>
      <c r="C7" s="261"/>
      <c r="D7" s="117" t="str">
        <f>IF(C6="","",_xlfn.DAYS(C7,C6))</f>
        <v/>
      </c>
      <c r="E7" s="261"/>
      <c r="F7" s="262"/>
      <c r="G7" s="261"/>
      <c r="H7" s="117" t="str">
        <f>IF(G6="","",_xlfn.DAYS(G7,G6))</f>
        <v/>
      </c>
      <c r="I7" s="262"/>
      <c r="J7" s="262"/>
      <c r="K7" s="261"/>
      <c r="L7" s="117" t="str">
        <f>IF(K6="","",_xlfn.DAYS(K7,K6))</f>
        <v/>
      </c>
      <c r="M7" s="262"/>
      <c r="N7" s="262"/>
    </row>
    <row r="8" spans="2:14" s="100" customFormat="1" ht="14.45" customHeight="1">
      <c r="B8" s="263">
        <v>3</v>
      </c>
      <c r="C8" s="261"/>
      <c r="D8" s="117" t="str">
        <f t="shared" ref="D8:D17" si="0">IF(C7="","",_xlfn.DAYS(C8,C7))</f>
        <v/>
      </c>
      <c r="E8" s="261"/>
      <c r="F8" s="262"/>
      <c r="G8" s="261"/>
      <c r="H8" s="117" t="str">
        <f t="shared" ref="H8:H17" si="1">IF(G7="","",_xlfn.DAYS(G8,G7))</f>
        <v/>
      </c>
      <c r="I8" s="262"/>
      <c r="J8" s="262"/>
      <c r="K8" s="261"/>
      <c r="L8" s="117" t="str">
        <f t="shared" ref="L8:L17" si="2">IF(K7="","",_xlfn.DAYS(K8,K7))</f>
        <v/>
      </c>
      <c r="M8" s="262"/>
      <c r="N8" s="262"/>
    </row>
    <row r="9" spans="2:14" s="100" customFormat="1" ht="14.45" customHeight="1">
      <c r="B9" s="105">
        <v>4</v>
      </c>
      <c r="C9" s="261"/>
      <c r="D9" s="117" t="str">
        <f t="shared" si="0"/>
        <v/>
      </c>
      <c r="E9" s="261"/>
      <c r="F9" s="262"/>
      <c r="G9" s="261"/>
      <c r="H9" s="117" t="str">
        <f t="shared" si="1"/>
        <v/>
      </c>
      <c r="I9" s="262"/>
      <c r="J9" s="262"/>
      <c r="K9" s="261"/>
      <c r="L9" s="117" t="str">
        <f t="shared" si="2"/>
        <v/>
      </c>
      <c r="M9" s="262"/>
      <c r="N9" s="262"/>
    </row>
    <row r="10" spans="2:14" s="100" customFormat="1" ht="14.45" customHeight="1">
      <c r="B10" s="105">
        <v>5</v>
      </c>
      <c r="C10" s="261"/>
      <c r="D10" s="117" t="str">
        <f t="shared" si="0"/>
        <v/>
      </c>
      <c r="E10" s="261"/>
      <c r="F10" s="262"/>
      <c r="G10" s="261"/>
      <c r="H10" s="117" t="str">
        <f t="shared" si="1"/>
        <v/>
      </c>
      <c r="I10" s="262"/>
      <c r="J10" s="262"/>
      <c r="K10" s="261"/>
      <c r="L10" s="117" t="str">
        <f t="shared" si="2"/>
        <v/>
      </c>
      <c r="M10" s="262"/>
      <c r="N10" s="262"/>
    </row>
    <row r="11" spans="2:14" ht="14.45" customHeight="1">
      <c r="B11" s="105">
        <v>6</v>
      </c>
      <c r="C11" s="261"/>
      <c r="D11" s="117" t="str">
        <f t="shared" si="0"/>
        <v/>
      </c>
      <c r="E11" s="261"/>
      <c r="F11" s="262"/>
      <c r="G11" s="261"/>
      <c r="H11" s="117" t="str">
        <f t="shared" si="1"/>
        <v/>
      </c>
      <c r="I11" s="262"/>
      <c r="J11" s="262"/>
      <c r="K11" s="261"/>
      <c r="L11" s="117" t="str">
        <f t="shared" si="2"/>
        <v/>
      </c>
      <c r="M11" s="262"/>
      <c r="N11" s="262"/>
    </row>
    <row r="12" spans="2:14" ht="14.45" customHeight="1">
      <c r="B12" s="105">
        <v>7</v>
      </c>
      <c r="C12" s="261"/>
      <c r="D12" s="117" t="str">
        <f t="shared" si="0"/>
        <v/>
      </c>
      <c r="E12" s="261"/>
      <c r="F12" s="262"/>
      <c r="G12" s="261"/>
      <c r="H12" s="117" t="str">
        <f t="shared" si="1"/>
        <v/>
      </c>
      <c r="I12" s="262"/>
      <c r="J12" s="262"/>
      <c r="K12" s="261"/>
      <c r="L12" s="117" t="str">
        <f t="shared" si="2"/>
        <v/>
      </c>
      <c r="M12" s="262"/>
      <c r="N12" s="262"/>
    </row>
    <row r="13" spans="2:14" ht="14.45" customHeight="1">
      <c r="B13" s="105">
        <v>8</v>
      </c>
      <c r="C13" s="261"/>
      <c r="D13" s="117" t="str">
        <f t="shared" si="0"/>
        <v/>
      </c>
      <c r="E13" s="261"/>
      <c r="F13" s="262"/>
      <c r="G13" s="261"/>
      <c r="H13" s="117" t="str">
        <f t="shared" si="1"/>
        <v/>
      </c>
      <c r="I13" s="262"/>
      <c r="J13" s="262"/>
      <c r="K13" s="261"/>
      <c r="L13" s="117" t="str">
        <f t="shared" si="2"/>
        <v/>
      </c>
      <c r="M13" s="262"/>
      <c r="N13" s="262"/>
    </row>
    <row r="14" spans="2:14" ht="14.45" customHeight="1">
      <c r="B14" s="105">
        <v>9</v>
      </c>
      <c r="C14" s="261"/>
      <c r="D14" s="117" t="str">
        <f t="shared" si="0"/>
        <v/>
      </c>
      <c r="E14" s="261"/>
      <c r="F14" s="262"/>
      <c r="G14" s="261"/>
      <c r="H14" s="117" t="str">
        <f t="shared" si="1"/>
        <v/>
      </c>
      <c r="I14" s="262"/>
      <c r="J14" s="262"/>
      <c r="K14" s="261"/>
      <c r="L14" s="117" t="str">
        <f t="shared" si="2"/>
        <v/>
      </c>
      <c r="M14" s="262"/>
      <c r="N14" s="262"/>
    </row>
    <row r="15" spans="2:14" ht="14.45" customHeight="1">
      <c r="B15" s="105">
        <v>10</v>
      </c>
      <c r="C15" s="261"/>
      <c r="D15" s="117" t="str">
        <f t="shared" si="0"/>
        <v/>
      </c>
      <c r="E15" s="261"/>
      <c r="F15" s="262"/>
      <c r="G15" s="261"/>
      <c r="H15" s="117" t="str">
        <f t="shared" si="1"/>
        <v/>
      </c>
      <c r="I15" s="262"/>
      <c r="J15" s="262"/>
      <c r="K15" s="261"/>
      <c r="L15" s="117" t="str">
        <f t="shared" si="2"/>
        <v/>
      </c>
      <c r="M15" s="262"/>
      <c r="N15" s="262"/>
    </row>
    <row r="16" spans="2:14" ht="14.45" customHeight="1">
      <c r="B16" s="105">
        <v>11</v>
      </c>
      <c r="C16" s="261"/>
      <c r="D16" s="117" t="str">
        <f t="shared" si="0"/>
        <v/>
      </c>
      <c r="E16" s="261"/>
      <c r="F16" s="262"/>
      <c r="G16" s="261"/>
      <c r="H16" s="117" t="str">
        <f t="shared" si="1"/>
        <v/>
      </c>
      <c r="I16" s="262"/>
      <c r="J16" s="262"/>
      <c r="K16" s="261"/>
      <c r="L16" s="117" t="str">
        <f t="shared" si="2"/>
        <v/>
      </c>
      <c r="M16" s="262"/>
      <c r="N16" s="262"/>
    </row>
    <row r="17" spans="2:14" ht="14.45" customHeight="1">
      <c r="B17" s="105">
        <v>12</v>
      </c>
      <c r="C17" s="261"/>
      <c r="D17" s="117" t="str">
        <f t="shared" si="0"/>
        <v/>
      </c>
      <c r="E17" s="261"/>
      <c r="F17" s="262"/>
      <c r="G17" s="261"/>
      <c r="H17" s="117" t="str">
        <f t="shared" si="1"/>
        <v/>
      </c>
      <c r="I17" s="262"/>
      <c r="J17" s="262"/>
      <c r="K17" s="261"/>
      <c r="L17" s="117" t="str">
        <f t="shared" si="2"/>
        <v/>
      </c>
      <c r="M17" s="262"/>
      <c r="N17" s="262"/>
    </row>
    <row r="18" spans="2:14">
      <c r="B18" s="260"/>
      <c r="C18" s="260" t="s">
        <v>37</v>
      </c>
      <c r="D18" s="117" t="str">
        <f>IF(D6="","",SUM(D6:D17))</f>
        <v/>
      </c>
      <c r="E18" s="117" t="str">
        <f>IF(E6="","",SUM(E6:E17))</f>
        <v/>
      </c>
      <c r="F18" s="269"/>
      <c r="G18" s="260" t="s">
        <v>37</v>
      </c>
      <c r="H18" s="117" t="str">
        <f>IF(H6="","",SUM(H6:H17))</f>
        <v/>
      </c>
      <c r="I18" s="117" t="str">
        <f>IF(I6="","",SUM(I6:I17))</f>
        <v/>
      </c>
      <c r="J18" s="269"/>
      <c r="K18" s="260" t="s">
        <v>37</v>
      </c>
      <c r="L18" s="117" t="str">
        <f>IF(L6="","",SUM(L6:L17))</f>
        <v/>
      </c>
      <c r="M18" s="117" t="str">
        <f>IF(M6="","",SUM(M6:M17))</f>
        <v/>
      </c>
      <c r="N18" s="117"/>
    </row>
    <row r="19" spans="2:14" ht="6" customHeight="1"/>
    <row r="20" spans="2:14" ht="14.45" customHeight="1">
      <c r="B20" s="97"/>
      <c r="C20" s="329" t="s">
        <v>30</v>
      </c>
      <c r="D20" s="330"/>
      <c r="E20" s="330"/>
      <c r="F20" s="270"/>
      <c r="G20" s="329" t="s">
        <v>30</v>
      </c>
      <c r="H20" s="330"/>
      <c r="I20" s="330"/>
      <c r="J20" s="270"/>
      <c r="K20" s="329" t="s">
        <v>30</v>
      </c>
      <c r="L20" s="330"/>
      <c r="M20" s="330"/>
      <c r="N20" s="331"/>
    </row>
    <row r="21" spans="2:14" ht="16.5" customHeight="1">
      <c r="B21" s="109"/>
      <c r="C21" s="260" t="s">
        <v>31</v>
      </c>
      <c r="D21" s="326"/>
      <c r="E21" s="327"/>
      <c r="F21" s="328"/>
      <c r="G21" s="260" t="s">
        <v>31</v>
      </c>
      <c r="H21" s="326"/>
      <c r="I21" s="327"/>
      <c r="J21" s="328"/>
      <c r="K21" s="260" t="s">
        <v>31</v>
      </c>
      <c r="L21" s="326"/>
      <c r="M21" s="327"/>
      <c r="N21" s="328"/>
    </row>
    <row r="22" spans="2:14" ht="56.25">
      <c r="B22" s="105" t="s">
        <v>32</v>
      </c>
      <c r="C22" s="105" t="s">
        <v>33</v>
      </c>
      <c r="D22" s="105" t="s">
        <v>34</v>
      </c>
      <c r="E22" s="105" t="s">
        <v>35</v>
      </c>
      <c r="F22" s="105" t="s">
        <v>36</v>
      </c>
      <c r="G22" s="105" t="s">
        <v>33</v>
      </c>
      <c r="H22" s="105" t="s">
        <v>34</v>
      </c>
      <c r="I22" s="105" t="s">
        <v>35</v>
      </c>
      <c r="J22" s="105" t="s">
        <v>36</v>
      </c>
      <c r="K22" s="105" t="s">
        <v>33</v>
      </c>
      <c r="L22" s="105" t="s">
        <v>34</v>
      </c>
      <c r="M22" s="105" t="s">
        <v>35</v>
      </c>
      <c r="N22" s="105" t="s">
        <v>36</v>
      </c>
    </row>
    <row r="23" spans="2:14" ht="15" customHeight="1">
      <c r="B23" s="105">
        <v>1</v>
      </c>
      <c r="C23" s="261"/>
      <c r="D23" s="262"/>
      <c r="E23" s="262"/>
      <c r="F23" s="262"/>
      <c r="G23" s="261"/>
      <c r="H23" s="262"/>
      <c r="I23" s="262"/>
      <c r="J23" s="262"/>
      <c r="K23" s="261"/>
      <c r="L23" s="262"/>
      <c r="M23" s="262"/>
      <c r="N23" s="262"/>
    </row>
    <row r="24" spans="2:14">
      <c r="B24" s="105">
        <v>2</v>
      </c>
      <c r="C24" s="261"/>
      <c r="D24" s="117" t="str">
        <f>IF(C23="","",_xlfn.DAYS(C24,C23))</f>
        <v/>
      </c>
      <c r="E24" s="262"/>
      <c r="F24" s="262"/>
      <c r="G24" s="261"/>
      <c r="H24" s="117" t="str">
        <f>IF(G23="","",_xlfn.DAYS(G24,G23))</f>
        <v/>
      </c>
      <c r="I24" s="262"/>
      <c r="J24" s="262"/>
      <c r="K24" s="261"/>
      <c r="L24" s="117" t="str">
        <f>IF(K23="","",_xlfn.DAYS(K24,K23))</f>
        <v/>
      </c>
      <c r="M24" s="262"/>
      <c r="N24" s="262"/>
    </row>
    <row r="25" spans="2:14">
      <c r="B25" s="263">
        <v>3</v>
      </c>
      <c r="C25" s="261"/>
      <c r="D25" s="117" t="str">
        <f t="shared" ref="D25:D34" si="3">IF(C24="","",_xlfn.DAYS(C25,C24))</f>
        <v/>
      </c>
      <c r="E25" s="262"/>
      <c r="F25" s="262"/>
      <c r="G25" s="261"/>
      <c r="H25" s="117" t="str">
        <f t="shared" ref="H25:H34" si="4">IF(G24="","",_xlfn.DAYS(G25,G24))</f>
        <v/>
      </c>
      <c r="I25" s="262"/>
      <c r="J25" s="262"/>
      <c r="K25" s="261"/>
      <c r="L25" s="117" t="str">
        <f t="shared" ref="L25:L34" si="5">IF(K24="","",_xlfn.DAYS(K25,K24))</f>
        <v/>
      </c>
      <c r="M25" s="262"/>
      <c r="N25" s="262"/>
    </row>
    <row r="26" spans="2:14">
      <c r="B26" s="105">
        <v>4</v>
      </c>
      <c r="C26" s="261"/>
      <c r="D26" s="117" t="str">
        <f t="shared" si="3"/>
        <v/>
      </c>
      <c r="E26" s="262"/>
      <c r="F26" s="262"/>
      <c r="G26" s="261"/>
      <c r="H26" s="117" t="str">
        <f t="shared" si="4"/>
        <v/>
      </c>
      <c r="I26" s="262"/>
      <c r="J26" s="262"/>
      <c r="K26" s="261"/>
      <c r="L26" s="117" t="str">
        <f t="shared" si="5"/>
        <v/>
      </c>
      <c r="M26" s="262"/>
      <c r="N26" s="262"/>
    </row>
    <row r="27" spans="2:14">
      <c r="B27" s="105">
        <v>5</v>
      </c>
      <c r="C27" s="261"/>
      <c r="D27" s="117" t="str">
        <f t="shared" si="3"/>
        <v/>
      </c>
      <c r="E27" s="262"/>
      <c r="F27" s="262"/>
      <c r="G27" s="261"/>
      <c r="H27" s="117" t="str">
        <f t="shared" si="4"/>
        <v/>
      </c>
      <c r="I27" s="262"/>
      <c r="J27" s="262"/>
      <c r="K27" s="261"/>
      <c r="L27" s="117" t="str">
        <f t="shared" si="5"/>
        <v/>
      </c>
      <c r="M27" s="262"/>
      <c r="N27" s="262"/>
    </row>
    <row r="28" spans="2:14">
      <c r="B28" s="105">
        <v>6</v>
      </c>
      <c r="C28" s="261"/>
      <c r="D28" s="117" t="str">
        <f t="shared" si="3"/>
        <v/>
      </c>
      <c r="E28" s="262"/>
      <c r="F28" s="262"/>
      <c r="G28" s="261"/>
      <c r="H28" s="117" t="str">
        <f t="shared" si="4"/>
        <v/>
      </c>
      <c r="I28" s="262"/>
      <c r="J28" s="262"/>
      <c r="K28" s="261"/>
      <c r="L28" s="117" t="str">
        <f t="shared" si="5"/>
        <v/>
      </c>
      <c r="M28" s="262"/>
      <c r="N28" s="262"/>
    </row>
    <row r="29" spans="2:14">
      <c r="B29" s="105">
        <v>7</v>
      </c>
      <c r="C29" s="261"/>
      <c r="D29" s="117" t="str">
        <f t="shared" si="3"/>
        <v/>
      </c>
      <c r="E29" s="262"/>
      <c r="F29" s="262"/>
      <c r="G29" s="261"/>
      <c r="H29" s="117" t="str">
        <f t="shared" si="4"/>
        <v/>
      </c>
      <c r="I29" s="262"/>
      <c r="J29" s="262"/>
      <c r="K29" s="261"/>
      <c r="L29" s="117" t="str">
        <f t="shared" si="5"/>
        <v/>
      </c>
      <c r="M29" s="262"/>
      <c r="N29" s="262"/>
    </row>
    <row r="30" spans="2:14">
      <c r="B30" s="105">
        <v>8</v>
      </c>
      <c r="C30" s="261"/>
      <c r="D30" s="117" t="str">
        <f t="shared" si="3"/>
        <v/>
      </c>
      <c r="E30" s="262"/>
      <c r="F30" s="262"/>
      <c r="G30" s="261"/>
      <c r="H30" s="117" t="str">
        <f t="shared" si="4"/>
        <v/>
      </c>
      <c r="I30" s="262"/>
      <c r="J30" s="262"/>
      <c r="K30" s="261"/>
      <c r="L30" s="117" t="str">
        <f t="shared" si="5"/>
        <v/>
      </c>
      <c r="M30" s="262"/>
      <c r="N30" s="262"/>
    </row>
    <row r="31" spans="2:14">
      <c r="B31" s="105">
        <v>9</v>
      </c>
      <c r="C31" s="261"/>
      <c r="D31" s="117" t="str">
        <f t="shared" si="3"/>
        <v/>
      </c>
      <c r="E31" s="262"/>
      <c r="F31" s="262"/>
      <c r="G31" s="261"/>
      <c r="H31" s="117" t="str">
        <f t="shared" si="4"/>
        <v/>
      </c>
      <c r="I31" s="262"/>
      <c r="J31" s="262"/>
      <c r="K31" s="261"/>
      <c r="L31" s="117" t="str">
        <f t="shared" si="5"/>
        <v/>
      </c>
      <c r="M31" s="262"/>
      <c r="N31" s="262"/>
    </row>
    <row r="32" spans="2:14">
      <c r="B32" s="105">
        <v>10</v>
      </c>
      <c r="C32" s="261"/>
      <c r="D32" s="117" t="str">
        <f t="shared" si="3"/>
        <v/>
      </c>
      <c r="E32" s="262"/>
      <c r="F32" s="262"/>
      <c r="G32" s="261"/>
      <c r="H32" s="117" t="str">
        <f t="shared" si="4"/>
        <v/>
      </c>
      <c r="I32" s="262"/>
      <c r="J32" s="262"/>
      <c r="K32" s="261"/>
      <c r="L32" s="117" t="str">
        <f t="shared" si="5"/>
        <v/>
      </c>
      <c r="M32" s="262"/>
      <c r="N32" s="262"/>
    </row>
    <row r="33" spans="2:14">
      <c r="B33" s="105">
        <v>11</v>
      </c>
      <c r="C33" s="261"/>
      <c r="D33" s="117" t="str">
        <f t="shared" si="3"/>
        <v/>
      </c>
      <c r="E33" s="262"/>
      <c r="F33" s="262"/>
      <c r="G33" s="261"/>
      <c r="H33" s="117" t="str">
        <f t="shared" si="4"/>
        <v/>
      </c>
      <c r="I33" s="262"/>
      <c r="J33" s="262"/>
      <c r="K33" s="261"/>
      <c r="L33" s="117" t="str">
        <f t="shared" si="5"/>
        <v/>
      </c>
      <c r="M33" s="262"/>
      <c r="N33" s="262"/>
    </row>
    <row r="34" spans="2:14">
      <c r="B34" s="105">
        <v>12</v>
      </c>
      <c r="C34" s="261"/>
      <c r="D34" s="117" t="str">
        <f t="shared" si="3"/>
        <v/>
      </c>
      <c r="E34" s="262"/>
      <c r="F34" s="262"/>
      <c r="G34" s="261"/>
      <c r="H34" s="117" t="str">
        <f t="shared" si="4"/>
        <v/>
      </c>
      <c r="I34" s="262"/>
      <c r="J34" s="262"/>
      <c r="K34" s="261"/>
      <c r="L34" s="117" t="str">
        <f t="shared" si="5"/>
        <v/>
      </c>
      <c r="M34" s="262"/>
      <c r="N34" s="262"/>
    </row>
    <row r="35" spans="2:14">
      <c r="C35" s="260" t="s">
        <v>37</v>
      </c>
      <c r="D35" s="117" t="str">
        <f>IF(D23="","",SUM(D23:D34))</f>
        <v/>
      </c>
      <c r="E35" s="117" t="str">
        <f>IF(E23="","",SUM(E23:E34))</f>
        <v/>
      </c>
      <c r="F35" s="269"/>
      <c r="G35" s="260" t="s">
        <v>37</v>
      </c>
      <c r="H35" s="117" t="str">
        <f>IF(H23="","",SUM(H23:H34))</f>
        <v/>
      </c>
      <c r="I35" s="117" t="str">
        <f>IF(I23="","",SUM(I23:I34))</f>
        <v/>
      </c>
      <c r="J35" s="269"/>
      <c r="K35" s="260" t="s">
        <v>37</v>
      </c>
      <c r="L35" s="117" t="str">
        <f>IF(L23="","",SUM(L23:L34))</f>
        <v/>
      </c>
      <c r="M35" s="117" t="str">
        <f>IF(M23="","",SUM(M23:M34))</f>
        <v/>
      </c>
      <c r="N35" s="117"/>
    </row>
    <row r="36" spans="2:14" ht="5.25" customHeight="1"/>
    <row r="37" spans="2:14" ht="14.45" customHeight="1">
      <c r="B37" s="97"/>
      <c r="C37" s="329" t="s">
        <v>30</v>
      </c>
      <c r="D37" s="330"/>
      <c r="E37" s="330"/>
      <c r="F37" s="270"/>
      <c r="G37" s="329" t="s">
        <v>30</v>
      </c>
      <c r="H37" s="330"/>
      <c r="I37" s="330"/>
      <c r="J37" s="270"/>
      <c r="K37" s="329" t="s">
        <v>30</v>
      </c>
      <c r="L37" s="330"/>
      <c r="M37" s="330"/>
      <c r="N37" s="331"/>
    </row>
    <row r="38" spans="2:14" ht="16.5" customHeight="1">
      <c r="B38" s="109"/>
      <c r="C38" s="260" t="s">
        <v>31</v>
      </c>
      <c r="D38" s="326"/>
      <c r="E38" s="327"/>
      <c r="F38" s="328"/>
      <c r="G38" s="260" t="s">
        <v>31</v>
      </c>
      <c r="H38" s="326"/>
      <c r="I38" s="327"/>
      <c r="J38" s="328"/>
      <c r="K38" s="260" t="s">
        <v>31</v>
      </c>
      <c r="L38" s="326"/>
      <c r="M38" s="327"/>
      <c r="N38" s="328"/>
    </row>
    <row r="39" spans="2:14" ht="56.25">
      <c r="B39" s="105" t="s">
        <v>32</v>
      </c>
      <c r="C39" s="105" t="s">
        <v>33</v>
      </c>
      <c r="D39" s="105" t="s">
        <v>34</v>
      </c>
      <c r="E39" s="105" t="s">
        <v>35</v>
      </c>
      <c r="F39" s="105" t="s">
        <v>36</v>
      </c>
      <c r="G39" s="105" t="s">
        <v>33</v>
      </c>
      <c r="H39" s="105" t="s">
        <v>34</v>
      </c>
      <c r="I39" s="105" t="s">
        <v>35</v>
      </c>
      <c r="J39" s="105" t="s">
        <v>36</v>
      </c>
      <c r="K39" s="105" t="s">
        <v>33</v>
      </c>
      <c r="L39" s="105" t="s">
        <v>34</v>
      </c>
      <c r="M39" s="105" t="s">
        <v>35</v>
      </c>
      <c r="N39" s="105" t="s">
        <v>36</v>
      </c>
    </row>
    <row r="40" spans="2:14" ht="15" customHeight="1">
      <c r="B40" s="105">
        <v>1</v>
      </c>
      <c r="C40" s="261"/>
      <c r="D40" s="262"/>
      <c r="E40" s="262"/>
      <c r="F40" s="262"/>
      <c r="G40" s="261"/>
      <c r="H40" s="262"/>
      <c r="I40" s="262"/>
      <c r="J40" s="262"/>
      <c r="K40" s="261"/>
      <c r="L40" s="262"/>
      <c r="M40" s="262"/>
      <c r="N40" s="262"/>
    </row>
    <row r="41" spans="2:14">
      <c r="B41" s="105">
        <v>2</v>
      </c>
      <c r="C41" s="261"/>
      <c r="D41" s="117" t="str">
        <f>IF(C40="","",_xlfn.DAYS(C41,C40))</f>
        <v/>
      </c>
      <c r="E41" s="262"/>
      <c r="F41" s="262"/>
      <c r="G41" s="261"/>
      <c r="H41" s="117" t="str">
        <f>IF(G40="","",_xlfn.DAYS(G41,G40))</f>
        <v/>
      </c>
      <c r="I41" s="262"/>
      <c r="J41" s="262"/>
      <c r="K41" s="261"/>
      <c r="L41" s="117" t="str">
        <f>IF(K40="","",_xlfn.DAYS(K41,K40))</f>
        <v/>
      </c>
      <c r="M41" s="262"/>
      <c r="N41" s="262"/>
    </row>
    <row r="42" spans="2:14">
      <c r="B42" s="263">
        <v>3</v>
      </c>
      <c r="C42" s="261"/>
      <c r="D42" s="117" t="str">
        <f t="shared" ref="D42:D51" si="6">IF(C41="","",_xlfn.DAYS(C42,C41))</f>
        <v/>
      </c>
      <c r="E42" s="262"/>
      <c r="F42" s="262"/>
      <c r="G42" s="261"/>
      <c r="H42" s="117" t="str">
        <f t="shared" ref="H42:H51" si="7">IF(G41="","",_xlfn.DAYS(G42,G41))</f>
        <v/>
      </c>
      <c r="I42" s="262"/>
      <c r="J42" s="262"/>
      <c r="K42" s="261"/>
      <c r="L42" s="117" t="str">
        <f t="shared" ref="L42:L51" si="8">IF(K41="","",_xlfn.DAYS(K42,K41))</f>
        <v/>
      </c>
      <c r="M42" s="262"/>
      <c r="N42" s="262"/>
    </row>
    <row r="43" spans="2:14">
      <c r="B43" s="105">
        <v>4</v>
      </c>
      <c r="C43" s="261"/>
      <c r="D43" s="117" t="str">
        <f t="shared" si="6"/>
        <v/>
      </c>
      <c r="E43" s="262"/>
      <c r="F43" s="262"/>
      <c r="G43" s="261"/>
      <c r="H43" s="117" t="str">
        <f t="shared" si="7"/>
        <v/>
      </c>
      <c r="I43" s="262"/>
      <c r="J43" s="262"/>
      <c r="K43" s="261"/>
      <c r="L43" s="117" t="str">
        <f t="shared" si="8"/>
        <v/>
      </c>
      <c r="M43" s="262"/>
      <c r="N43" s="262"/>
    </row>
    <row r="44" spans="2:14">
      <c r="B44" s="105">
        <v>5</v>
      </c>
      <c r="C44" s="261"/>
      <c r="D44" s="117" t="str">
        <f t="shared" si="6"/>
        <v/>
      </c>
      <c r="E44" s="262"/>
      <c r="F44" s="262"/>
      <c r="G44" s="261"/>
      <c r="H44" s="117" t="str">
        <f t="shared" si="7"/>
        <v/>
      </c>
      <c r="I44" s="262"/>
      <c r="J44" s="262"/>
      <c r="K44" s="261"/>
      <c r="L44" s="117" t="str">
        <f t="shared" si="8"/>
        <v/>
      </c>
      <c r="M44" s="262"/>
      <c r="N44" s="262"/>
    </row>
    <row r="45" spans="2:14">
      <c r="B45" s="105">
        <v>6</v>
      </c>
      <c r="C45" s="261"/>
      <c r="D45" s="117" t="str">
        <f t="shared" si="6"/>
        <v/>
      </c>
      <c r="E45" s="262"/>
      <c r="F45" s="262"/>
      <c r="G45" s="261"/>
      <c r="H45" s="117" t="str">
        <f t="shared" si="7"/>
        <v/>
      </c>
      <c r="I45" s="262"/>
      <c r="J45" s="262"/>
      <c r="K45" s="261"/>
      <c r="L45" s="117" t="str">
        <f t="shared" si="8"/>
        <v/>
      </c>
      <c r="M45" s="262"/>
      <c r="N45" s="262"/>
    </row>
    <row r="46" spans="2:14">
      <c r="B46" s="105">
        <v>7</v>
      </c>
      <c r="C46" s="261"/>
      <c r="D46" s="117" t="str">
        <f t="shared" si="6"/>
        <v/>
      </c>
      <c r="E46" s="262"/>
      <c r="F46" s="262"/>
      <c r="G46" s="261"/>
      <c r="H46" s="117" t="str">
        <f t="shared" si="7"/>
        <v/>
      </c>
      <c r="I46" s="262"/>
      <c r="J46" s="262"/>
      <c r="K46" s="261"/>
      <c r="L46" s="117" t="str">
        <f t="shared" si="8"/>
        <v/>
      </c>
      <c r="M46" s="262"/>
      <c r="N46" s="262"/>
    </row>
    <row r="47" spans="2:14">
      <c r="B47" s="105">
        <v>8</v>
      </c>
      <c r="C47" s="261"/>
      <c r="D47" s="117" t="str">
        <f t="shared" si="6"/>
        <v/>
      </c>
      <c r="E47" s="262"/>
      <c r="F47" s="262"/>
      <c r="G47" s="261"/>
      <c r="H47" s="117" t="str">
        <f t="shared" si="7"/>
        <v/>
      </c>
      <c r="I47" s="262"/>
      <c r="J47" s="262"/>
      <c r="K47" s="261"/>
      <c r="L47" s="117" t="str">
        <f t="shared" si="8"/>
        <v/>
      </c>
      <c r="M47" s="262"/>
      <c r="N47" s="262"/>
    </row>
    <row r="48" spans="2:14">
      <c r="B48" s="105">
        <v>9</v>
      </c>
      <c r="C48" s="261"/>
      <c r="D48" s="117" t="str">
        <f t="shared" si="6"/>
        <v/>
      </c>
      <c r="E48" s="262"/>
      <c r="F48" s="262"/>
      <c r="G48" s="261"/>
      <c r="H48" s="117" t="str">
        <f t="shared" si="7"/>
        <v/>
      </c>
      <c r="I48" s="262"/>
      <c r="J48" s="262"/>
      <c r="K48" s="261"/>
      <c r="L48" s="117" t="str">
        <f t="shared" si="8"/>
        <v/>
      </c>
      <c r="M48" s="262"/>
      <c r="N48" s="262"/>
    </row>
    <row r="49" spans="2:14">
      <c r="B49" s="105">
        <v>10</v>
      </c>
      <c r="C49" s="261"/>
      <c r="D49" s="117" t="str">
        <f t="shared" si="6"/>
        <v/>
      </c>
      <c r="E49" s="262"/>
      <c r="F49" s="262"/>
      <c r="G49" s="261"/>
      <c r="H49" s="117" t="str">
        <f t="shared" si="7"/>
        <v/>
      </c>
      <c r="I49" s="262"/>
      <c r="J49" s="262"/>
      <c r="K49" s="261"/>
      <c r="L49" s="117" t="str">
        <f t="shared" si="8"/>
        <v/>
      </c>
      <c r="M49" s="262"/>
      <c r="N49" s="262"/>
    </row>
    <row r="50" spans="2:14">
      <c r="B50" s="105">
        <v>11</v>
      </c>
      <c r="C50" s="261"/>
      <c r="D50" s="117" t="str">
        <f t="shared" si="6"/>
        <v/>
      </c>
      <c r="E50" s="262"/>
      <c r="F50" s="262"/>
      <c r="G50" s="261"/>
      <c r="H50" s="117" t="str">
        <f t="shared" si="7"/>
        <v/>
      </c>
      <c r="I50" s="262"/>
      <c r="J50" s="262"/>
      <c r="K50" s="261"/>
      <c r="L50" s="117" t="str">
        <f t="shared" si="8"/>
        <v/>
      </c>
      <c r="M50" s="262"/>
      <c r="N50" s="262"/>
    </row>
    <row r="51" spans="2:14">
      <c r="B51" s="105">
        <v>12</v>
      </c>
      <c r="C51" s="261"/>
      <c r="D51" s="117" t="str">
        <f t="shared" si="6"/>
        <v/>
      </c>
      <c r="E51" s="262"/>
      <c r="F51" s="262"/>
      <c r="G51" s="261"/>
      <c r="H51" s="117" t="str">
        <f t="shared" si="7"/>
        <v/>
      </c>
      <c r="I51" s="262"/>
      <c r="J51" s="262"/>
      <c r="K51" s="261"/>
      <c r="L51" s="117" t="str">
        <f t="shared" si="8"/>
        <v/>
      </c>
      <c r="M51" s="262"/>
      <c r="N51" s="262"/>
    </row>
    <row r="52" spans="2:14">
      <c r="C52" s="260" t="s">
        <v>37</v>
      </c>
      <c r="D52" s="117" t="str">
        <f>IF(D40="","",SUM(D40:D51))</f>
        <v/>
      </c>
      <c r="E52" s="117" t="str">
        <f>IF(E40="","",SUM(E40:E51))</f>
        <v/>
      </c>
      <c r="F52" s="269"/>
      <c r="G52" s="260" t="s">
        <v>37</v>
      </c>
      <c r="H52" s="117" t="str">
        <f>IF(H40="","",SUM(H40:H51))</f>
        <v/>
      </c>
      <c r="I52" s="117" t="str">
        <f>IF(I40="","",SUM(I40:I51))</f>
        <v/>
      </c>
      <c r="J52" s="269"/>
      <c r="K52" s="260" t="s">
        <v>37</v>
      </c>
      <c r="L52" s="117" t="str">
        <f>IF(L40="","",SUM(L40:L51))</f>
        <v/>
      </c>
      <c r="M52" s="117" t="str">
        <f>IF(M40="","",SUM(M40:M51))</f>
        <v/>
      </c>
      <c r="N52" s="117"/>
    </row>
  </sheetData>
  <sheetProtection algorithmName="SHA-512" hashValue="5oJuovJkx1IHpb7LymRxX3Mz6tqag+nJ1wE/as4bHJM5cuR9VBKYlleKcTva0/5HTWqagmKc+Rzk8iXr0rgCMw==" saltValue="FPfjPKj8t0VMiAnfMoFwmQ==" spinCount="100000" sheet="1" formatCells="0" formatColumns="0" formatRows="0"/>
  <mergeCells count="19">
    <mergeCell ref="C2:N2"/>
    <mergeCell ref="C3:E3"/>
    <mergeCell ref="G3:I3"/>
    <mergeCell ref="K3:N3"/>
    <mergeCell ref="D4:F4"/>
    <mergeCell ref="H4:J4"/>
    <mergeCell ref="L4:N4"/>
    <mergeCell ref="C20:E20"/>
    <mergeCell ref="G20:I20"/>
    <mergeCell ref="K20:N20"/>
    <mergeCell ref="D21:F21"/>
    <mergeCell ref="H21:J21"/>
    <mergeCell ref="L21:N21"/>
    <mergeCell ref="C37:E37"/>
    <mergeCell ref="G37:I37"/>
    <mergeCell ref="K37:N37"/>
    <mergeCell ref="D38:F38"/>
    <mergeCell ref="H38:J38"/>
    <mergeCell ref="L38:N38"/>
  </mergeCells>
  <conditionalFormatting sqref="H6:I6 I7:I16 C7:C16 C6:D6">
    <cfRule type="containsBlanks" dxfId="511" priority="93">
      <formula>LEN(TRIM(C6))=0</formula>
    </cfRule>
    <cfRule type="containsBlanks" dxfId="510" priority="94">
      <formula>LEN(TRIM(C6))=0</formula>
    </cfRule>
  </conditionalFormatting>
  <conditionalFormatting sqref="C17 I17">
    <cfRule type="containsBlanks" dxfId="509" priority="91">
      <formula>LEN(TRIM(C17))=0</formula>
    </cfRule>
    <cfRule type="containsBlanks" dxfId="508" priority="92">
      <formula>LEN(TRIM(C17))=0</formula>
    </cfRule>
  </conditionalFormatting>
  <conditionalFormatting sqref="G6:G16">
    <cfRule type="containsBlanks" dxfId="507" priority="89">
      <formula>LEN(TRIM(G6))=0</formula>
    </cfRule>
    <cfRule type="containsBlanks" dxfId="506" priority="90">
      <formula>LEN(TRIM(G6))=0</formula>
    </cfRule>
  </conditionalFormatting>
  <conditionalFormatting sqref="G17">
    <cfRule type="containsBlanks" dxfId="505" priority="87">
      <formula>LEN(TRIM(G17))=0</formula>
    </cfRule>
    <cfRule type="containsBlanks" dxfId="504" priority="88">
      <formula>LEN(TRIM(G17))=0</formula>
    </cfRule>
  </conditionalFormatting>
  <conditionalFormatting sqref="D4">
    <cfRule type="containsBlanks" dxfId="503" priority="85">
      <formula>LEN(TRIM(D4))=0</formula>
    </cfRule>
    <cfRule type="containsBlanks" dxfId="502" priority="86">
      <formula>LEN(TRIM(D4))=0</formula>
    </cfRule>
  </conditionalFormatting>
  <conditionalFormatting sqref="H4">
    <cfRule type="containsBlanks" dxfId="501" priority="63">
      <formula>LEN(TRIM(H4))=0</formula>
    </cfRule>
    <cfRule type="containsBlanks" dxfId="500" priority="64">
      <formula>LEN(TRIM(H4))=0</formula>
    </cfRule>
  </conditionalFormatting>
  <conditionalFormatting sqref="L6">
    <cfRule type="containsBlanks" dxfId="499" priority="83">
      <formula>LEN(TRIM(L6))=0</formula>
    </cfRule>
    <cfRule type="containsBlanks" dxfId="498" priority="84">
      <formula>LEN(TRIM(L6))=0</formula>
    </cfRule>
  </conditionalFormatting>
  <conditionalFormatting sqref="K6:K16">
    <cfRule type="containsBlanks" dxfId="497" priority="81">
      <formula>LEN(TRIM(K6))=0</formula>
    </cfRule>
    <cfRule type="containsBlanks" dxfId="496" priority="82">
      <formula>LEN(TRIM(K6))=0</formula>
    </cfRule>
  </conditionalFormatting>
  <conditionalFormatting sqref="K17">
    <cfRule type="containsBlanks" dxfId="495" priority="79">
      <formula>LEN(TRIM(K17))=0</formula>
    </cfRule>
    <cfRule type="containsBlanks" dxfId="494" priority="80">
      <formula>LEN(TRIM(K17))=0</formula>
    </cfRule>
  </conditionalFormatting>
  <conditionalFormatting sqref="C23:E23 H23:I23 I24:I33 C24:C33 E24:E33">
    <cfRule type="containsBlanks" dxfId="493" priority="77">
      <formula>LEN(TRIM(C23))=0</formula>
    </cfRule>
    <cfRule type="containsBlanks" dxfId="492" priority="78">
      <formula>LEN(TRIM(C23))=0</formula>
    </cfRule>
  </conditionalFormatting>
  <conditionalFormatting sqref="C34 I34 E34">
    <cfRule type="containsBlanks" dxfId="491" priority="75">
      <formula>LEN(TRIM(C34))=0</formula>
    </cfRule>
    <cfRule type="containsBlanks" dxfId="490" priority="76">
      <formula>LEN(TRIM(C34))=0</formula>
    </cfRule>
  </conditionalFormatting>
  <conditionalFormatting sqref="G23:G33">
    <cfRule type="containsBlanks" dxfId="489" priority="73">
      <formula>LEN(TRIM(G23))=0</formula>
    </cfRule>
    <cfRule type="containsBlanks" dxfId="488" priority="74">
      <formula>LEN(TRIM(G23))=0</formula>
    </cfRule>
  </conditionalFormatting>
  <conditionalFormatting sqref="G34">
    <cfRule type="containsBlanks" dxfId="487" priority="71">
      <formula>LEN(TRIM(G34))=0</formula>
    </cfRule>
    <cfRule type="containsBlanks" dxfId="486" priority="72">
      <formula>LEN(TRIM(G34))=0</formula>
    </cfRule>
  </conditionalFormatting>
  <conditionalFormatting sqref="G51">
    <cfRule type="containsBlanks" dxfId="485" priority="55">
      <formula>LEN(TRIM(G51))=0</formula>
    </cfRule>
    <cfRule type="containsBlanks" dxfId="484" priority="56">
      <formula>LEN(TRIM(G51))=0</formula>
    </cfRule>
  </conditionalFormatting>
  <conditionalFormatting sqref="L23">
    <cfRule type="containsBlanks" dxfId="483" priority="69">
      <formula>LEN(TRIM(L23))=0</formula>
    </cfRule>
    <cfRule type="containsBlanks" dxfId="482" priority="70">
      <formula>LEN(TRIM(L23))=0</formula>
    </cfRule>
  </conditionalFormatting>
  <conditionalFormatting sqref="C51 I51 E51:F51">
    <cfRule type="containsBlanks" dxfId="481" priority="59">
      <formula>LEN(TRIM(C51))=0</formula>
    </cfRule>
    <cfRule type="containsBlanks" dxfId="480" priority="60">
      <formula>LEN(TRIM(C51))=0</formula>
    </cfRule>
  </conditionalFormatting>
  <conditionalFormatting sqref="K23:K33">
    <cfRule type="containsBlanks" dxfId="479" priority="67">
      <formula>LEN(TRIM(K23))=0</formula>
    </cfRule>
    <cfRule type="containsBlanks" dxfId="478" priority="68">
      <formula>LEN(TRIM(K23))=0</formula>
    </cfRule>
  </conditionalFormatting>
  <conditionalFormatting sqref="K34">
    <cfRule type="containsBlanks" dxfId="477" priority="65">
      <formula>LEN(TRIM(K34))=0</formula>
    </cfRule>
    <cfRule type="containsBlanks" dxfId="476" priority="66">
      <formula>LEN(TRIM(K34))=0</formula>
    </cfRule>
  </conditionalFormatting>
  <conditionalFormatting sqref="K51">
    <cfRule type="containsBlanks" dxfId="475" priority="49">
      <formula>LEN(TRIM(K51))=0</formula>
    </cfRule>
    <cfRule type="containsBlanks" dxfId="474" priority="50">
      <formula>LEN(TRIM(K51))=0</formula>
    </cfRule>
  </conditionalFormatting>
  <conditionalFormatting sqref="C40:F40 H40:I40 I41:I50 C41:C50 E41:F50">
    <cfRule type="containsBlanks" dxfId="473" priority="61">
      <formula>LEN(TRIM(C40))=0</formula>
    </cfRule>
    <cfRule type="containsBlanks" dxfId="472" priority="62">
      <formula>LEN(TRIM(C40))=0</formula>
    </cfRule>
  </conditionalFormatting>
  <conditionalFormatting sqref="G40:G50">
    <cfRule type="containsBlanks" dxfId="471" priority="57">
      <formula>LEN(TRIM(G40))=0</formula>
    </cfRule>
    <cfRule type="containsBlanks" dxfId="470" priority="58">
      <formula>LEN(TRIM(G40))=0</formula>
    </cfRule>
  </conditionalFormatting>
  <conditionalFormatting sqref="L40">
    <cfRule type="containsBlanks" dxfId="469" priority="53">
      <formula>LEN(TRIM(L40))=0</formula>
    </cfRule>
    <cfRule type="containsBlanks" dxfId="468" priority="54">
      <formula>LEN(TRIM(L40))=0</formula>
    </cfRule>
  </conditionalFormatting>
  <conditionalFormatting sqref="K40:K50">
    <cfRule type="containsBlanks" dxfId="467" priority="51">
      <formula>LEN(TRIM(K40))=0</formula>
    </cfRule>
    <cfRule type="containsBlanks" dxfId="466" priority="52">
      <formula>LEN(TRIM(K40))=0</formula>
    </cfRule>
  </conditionalFormatting>
  <conditionalFormatting sqref="D21">
    <cfRule type="containsBlanks" dxfId="465" priority="47">
      <formula>LEN(TRIM(D21))=0</formula>
    </cfRule>
    <cfRule type="containsBlanks" dxfId="464" priority="48">
      <formula>LEN(TRIM(D21))=0</formula>
    </cfRule>
  </conditionalFormatting>
  <conditionalFormatting sqref="H21">
    <cfRule type="containsBlanks" dxfId="463" priority="45">
      <formula>LEN(TRIM(H21))=0</formula>
    </cfRule>
    <cfRule type="containsBlanks" dxfId="462" priority="46">
      <formula>LEN(TRIM(H21))=0</formula>
    </cfRule>
  </conditionalFormatting>
  <conditionalFormatting sqref="L21">
    <cfRule type="containsBlanks" dxfId="461" priority="43">
      <formula>LEN(TRIM(L21))=0</formula>
    </cfRule>
    <cfRule type="containsBlanks" dxfId="460" priority="44">
      <formula>LEN(TRIM(L21))=0</formula>
    </cfRule>
  </conditionalFormatting>
  <conditionalFormatting sqref="D38">
    <cfRule type="containsBlanks" dxfId="459" priority="41">
      <formula>LEN(TRIM(D38))=0</formula>
    </cfRule>
    <cfRule type="containsBlanks" dxfId="458" priority="42">
      <formula>LEN(TRIM(D38))=0</formula>
    </cfRule>
  </conditionalFormatting>
  <conditionalFormatting sqref="H38">
    <cfRule type="containsBlanks" dxfId="457" priority="39">
      <formula>LEN(TRIM(H38))=0</formula>
    </cfRule>
    <cfRule type="containsBlanks" dxfId="456" priority="40">
      <formula>LEN(TRIM(H38))=0</formula>
    </cfRule>
  </conditionalFormatting>
  <conditionalFormatting sqref="L38">
    <cfRule type="containsBlanks" dxfId="455" priority="37">
      <formula>LEN(TRIM(L38))=0</formula>
    </cfRule>
    <cfRule type="containsBlanks" dxfId="454" priority="38">
      <formula>LEN(TRIM(L38))=0</formula>
    </cfRule>
  </conditionalFormatting>
  <conditionalFormatting sqref="F6:F17">
    <cfRule type="containsBlanks" dxfId="453" priority="35">
      <formula>LEN(TRIM(F6))=0</formula>
    </cfRule>
    <cfRule type="containsBlanks" dxfId="452" priority="36">
      <formula>LEN(TRIM(F6))=0</formula>
    </cfRule>
  </conditionalFormatting>
  <conditionalFormatting sqref="F23:F34">
    <cfRule type="containsBlanks" dxfId="451" priority="33">
      <formula>LEN(TRIM(F23))=0</formula>
    </cfRule>
    <cfRule type="containsBlanks" dxfId="450" priority="34">
      <formula>LEN(TRIM(F23))=0</formula>
    </cfRule>
  </conditionalFormatting>
  <conditionalFormatting sqref="J40:J50">
    <cfRule type="containsBlanks" dxfId="449" priority="31">
      <formula>LEN(TRIM(J40))=0</formula>
    </cfRule>
    <cfRule type="containsBlanks" dxfId="448" priority="32">
      <formula>LEN(TRIM(J40))=0</formula>
    </cfRule>
  </conditionalFormatting>
  <conditionalFormatting sqref="J51">
    <cfRule type="containsBlanks" dxfId="447" priority="29">
      <formula>LEN(TRIM(J51))=0</formula>
    </cfRule>
    <cfRule type="containsBlanks" dxfId="446" priority="30">
      <formula>LEN(TRIM(J51))=0</formula>
    </cfRule>
  </conditionalFormatting>
  <conditionalFormatting sqref="J6:J17">
    <cfRule type="containsBlanks" dxfId="445" priority="27">
      <formula>LEN(TRIM(J6))=0</formula>
    </cfRule>
    <cfRule type="containsBlanks" dxfId="444" priority="28">
      <formula>LEN(TRIM(J6))=0</formula>
    </cfRule>
  </conditionalFormatting>
  <conditionalFormatting sqref="J23:J34">
    <cfRule type="containsBlanks" dxfId="443" priority="25">
      <formula>LEN(TRIM(J23))=0</formula>
    </cfRule>
    <cfRule type="containsBlanks" dxfId="442" priority="26">
      <formula>LEN(TRIM(J23))=0</formula>
    </cfRule>
  </conditionalFormatting>
  <conditionalFormatting sqref="M6:M16">
    <cfRule type="containsBlanks" dxfId="441" priority="23">
      <formula>LEN(TRIM(M6))=0</formula>
    </cfRule>
    <cfRule type="containsBlanks" dxfId="440" priority="24">
      <formula>LEN(TRIM(M6))=0</formula>
    </cfRule>
  </conditionalFormatting>
  <conditionalFormatting sqref="M17">
    <cfRule type="containsBlanks" dxfId="439" priority="21">
      <formula>LEN(TRIM(M17))=0</formula>
    </cfRule>
    <cfRule type="containsBlanks" dxfId="438" priority="22">
      <formula>LEN(TRIM(M17))=0</formula>
    </cfRule>
  </conditionalFormatting>
  <conditionalFormatting sqref="M23:M33">
    <cfRule type="containsBlanks" dxfId="437" priority="19">
      <formula>LEN(TRIM(M23))=0</formula>
    </cfRule>
    <cfRule type="containsBlanks" dxfId="436" priority="20">
      <formula>LEN(TRIM(M23))=0</formula>
    </cfRule>
  </conditionalFormatting>
  <conditionalFormatting sqref="M34">
    <cfRule type="containsBlanks" dxfId="435" priority="17">
      <formula>LEN(TRIM(M34))=0</formula>
    </cfRule>
    <cfRule type="containsBlanks" dxfId="434" priority="18">
      <formula>LEN(TRIM(M34))=0</formula>
    </cfRule>
  </conditionalFormatting>
  <conditionalFormatting sqref="M40:M50">
    <cfRule type="containsBlanks" dxfId="433" priority="15">
      <formula>LEN(TRIM(M40))=0</formula>
    </cfRule>
    <cfRule type="containsBlanks" dxfId="432" priority="16">
      <formula>LEN(TRIM(M40))=0</formula>
    </cfRule>
  </conditionalFormatting>
  <conditionalFormatting sqref="M51">
    <cfRule type="containsBlanks" dxfId="431" priority="13">
      <formula>LEN(TRIM(M51))=0</formula>
    </cfRule>
    <cfRule type="containsBlanks" dxfId="430" priority="14">
      <formula>LEN(TRIM(M51))=0</formula>
    </cfRule>
  </conditionalFormatting>
  <conditionalFormatting sqref="N40:N50">
    <cfRule type="containsBlanks" dxfId="429" priority="11">
      <formula>LEN(TRIM(N40))=0</formula>
    </cfRule>
    <cfRule type="containsBlanks" dxfId="428" priority="12">
      <formula>LEN(TRIM(N40))=0</formula>
    </cfRule>
  </conditionalFormatting>
  <conditionalFormatting sqref="N51">
    <cfRule type="containsBlanks" dxfId="427" priority="9">
      <formula>LEN(TRIM(N51))=0</formula>
    </cfRule>
    <cfRule type="containsBlanks" dxfId="426" priority="10">
      <formula>LEN(TRIM(N51))=0</formula>
    </cfRule>
  </conditionalFormatting>
  <conditionalFormatting sqref="N6:N17">
    <cfRule type="containsBlanks" dxfId="425" priority="7">
      <formula>LEN(TRIM(N6))=0</formula>
    </cfRule>
    <cfRule type="containsBlanks" dxfId="424" priority="8">
      <formula>LEN(TRIM(N6))=0</formula>
    </cfRule>
  </conditionalFormatting>
  <conditionalFormatting sqref="N23:N34">
    <cfRule type="containsBlanks" dxfId="423" priority="5">
      <formula>LEN(TRIM(N23))=0</formula>
    </cfRule>
    <cfRule type="containsBlanks" dxfId="422" priority="6">
      <formula>LEN(TRIM(N23))=0</formula>
    </cfRule>
  </conditionalFormatting>
  <conditionalFormatting sqref="L4">
    <cfRule type="containsBlanks" dxfId="421" priority="3">
      <formula>LEN(TRIM(L4))=0</formula>
    </cfRule>
    <cfRule type="containsBlanks" dxfId="420" priority="4">
      <formula>LEN(TRIM(L4))=0</formula>
    </cfRule>
  </conditionalFormatting>
  <conditionalFormatting sqref="E6:E17">
    <cfRule type="containsBlanks" dxfId="419" priority="1">
      <formula>LEN(TRIM(E6))=0</formula>
    </cfRule>
    <cfRule type="containsBlanks" dxfId="418" priority="2">
      <formula>LEN(TRIM(E6))=0</formula>
    </cfRule>
  </conditionalFormatting>
  <pageMargins left="0.4498611111111111" right="0.38437500000000002" top="0.75" bottom="0.75" header="0.3" footer="0.3"/>
  <pageSetup scale="82" orientation="portrait" r:id="rId1"/>
  <headerFooter>
    <oddHeader>&amp;L&amp;G&amp;R
&amp;"Liberation Sans,Bold"&amp;14&amp;K00247DEN97A: GHG Adjustments Form</oddHeader>
    <oddFooter>&amp;L&amp;"Liberation Sans,Regular"Version 1.3&amp;R&amp;"Liberation Sans,Regular"February  2022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917A4-060D-40CD-BF91-AD6469490491}">
  <sheetPr codeName="Sheet38"/>
  <dimension ref="B1:K52"/>
  <sheetViews>
    <sheetView view="pageLayout" zoomScaleNormal="100" zoomScaleSheetLayoutView="100" workbookViewId="0">
      <selection activeCell="F3" sqref="F3:H3"/>
    </sheetView>
  </sheetViews>
  <sheetFormatPr defaultColWidth="7.140625" defaultRowHeight="14.25"/>
  <cols>
    <col min="1" max="1" width="2.28515625" style="94" customWidth="1"/>
    <col min="2" max="2" width="4.7109375" style="94" customWidth="1"/>
    <col min="3" max="3" width="9.5703125" style="94" customWidth="1"/>
    <col min="4" max="4" width="16.28515625" style="94" customWidth="1"/>
    <col min="5" max="5" width="10.140625" style="94" customWidth="1"/>
    <col min="6" max="6" width="11.28515625" style="94" customWidth="1"/>
    <col min="7" max="7" width="14.7109375" style="94" customWidth="1"/>
    <col min="8" max="8" width="11.5703125" style="94" customWidth="1"/>
    <col min="9" max="9" width="11.7109375" style="94" customWidth="1"/>
    <col min="10" max="10" width="12.140625" style="94" customWidth="1"/>
    <col min="11" max="11" width="9.85546875" style="94" customWidth="1"/>
    <col min="12" max="16384" width="7.140625" style="94"/>
  </cols>
  <sheetData>
    <row r="1" spans="2:11" ht="10.5" customHeight="1"/>
    <row r="2" spans="2:11" ht="15.75" customHeight="1">
      <c r="B2" s="109" t="s">
        <v>39</v>
      </c>
      <c r="C2" s="332" t="s">
        <v>40</v>
      </c>
      <c r="D2" s="333"/>
      <c r="E2" s="333"/>
      <c r="F2" s="333"/>
      <c r="G2" s="333"/>
      <c r="H2" s="333"/>
      <c r="I2" s="333"/>
      <c r="J2" s="333"/>
      <c r="K2" s="334"/>
    </row>
    <row r="3" spans="2:11" s="100" customFormat="1" ht="18" customHeight="1">
      <c r="B3" s="109"/>
      <c r="C3" s="329" t="s">
        <v>41</v>
      </c>
      <c r="D3" s="330"/>
      <c r="E3" s="330"/>
      <c r="F3" s="329" t="s">
        <v>41</v>
      </c>
      <c r="G3" s="330"/>
      <c r="H3" s="330"/>
      <c r="I3" s="329" t="s">
        <v>41</v>
      </c>
      <c r="J3" s="330"/>
      <c r="K3" s="331"/>
    </row>
    <row r="4" spans="2:11" s="100" customFormat="1" ht="14.45" customHeight="1">
      <c r="B4" s="109"/>
      <c r="C4" s="260" t="s">
        <v>31</v>
      </c>
      <c r="D4" s="326"/>
      <c r="E4" s="327"/>
      <c r="F4" s="260" t="s">
        <v>31</v>
      </c>
      <c r="G4" s="326"/>
      <c r="H4" s="327"/>
      <c r="I4" s="260" t="s">
        <v>31</v>
      </c>
      <c r="J4" s="326"/>
      <c r="K4" s="328"/>
    </row>
    <row r="5" spans="2:11" s="100" customFormat="1" ht="34.5" customHeight="1">
      <c r="B5" s="105" t="s">
        <v>32</v>
      </c>
      <c r="C5" s="105" t="s">
        <v>33</v>
      </c>
      <c r="D5" s="105" t="s">
        <v>34</v>
      </c>
      <c r="E5" s="105" t="s">
        <v>42</v>
      </c>
      <c r="F5" s="105" t="s">
        <v>33</v>
      </c>
      <c r="G5" s="105" t="s">
        <v>34</v>
      </c>
      <c r="H5" s="105" t="s">
        <v>42</v>
      </c>
      <c r="I5" s="105" t="s">
        <v>33</v>
      </c>
      <c r="J5" s="105" t="s">
        <v>34</v>
      </c>
      <c r="K5" s="105" t="s">
        <v>42</v>
      </c>
    </row>
    <row r="6" spans="2:11" s="100" customFormat="1" ht="14.45" customHeight="1">
      <c r="B6" s="105">
        <v>1</v>
      </c>
      <c r="C6" s="261"/>
      <c r="D6" s="262"/>
      <c r="E6" s="262"/>
      <c r="F6" s="262"/>
      <c r="G6" s="262"/>
      <c r="H6" s="262"/>
      <c r="I6" s="262"/>
      <c r="J6" s="262"/>
      <c r="K6" s="262"/>
    </row>
    <row r="7" spans="2:11" s="100" customFormat="1" ht="14.45" customHeight="1">
      <c r="B7" s="105">
        <v>2</v>
      </c>
      <c r="C7" s="261"/>
      <c r="D7" s="117" t="str">
        <f>IF(C6="","",_xlfn.DAYS(C7,C6))</f>
        <v/>
      </c>
      <c r="E7" s="262"/>
      <c r="F7" s="262"/>
      <c r="G7" s="117" t="str">
        <f>IF(F6="","",_xlfn.DAYS(F7,F6))</f>
        <v/>
      </c>
      <c r="H7" s="262"/>
      <c r="I7" s="262"/>
      <c r="J7" s="117" t="str">
        <f>IF(I6="","",_xlfn.DAYS(I7,I6))</f>
        <v/>
      </c>
      <c r="K7" s="262"/>
    </row>
    <row r="8" spans="2:11" s="100" customFormat="1" ht="14.45" customHeight="1">
      <c r="B8" s="263">
        <v>3</v>
      </c>
      <c r="C8" s="261"/>
      <c r="D8" s="117" t="str">
        <f t="shared" ref="D8:D17" si="0">IF(C7="","",_xlfn.DAYS(C8,C7))</f>
        <v/>
      </c>
      <c r="E8" s="262"/>
      <c r="F8" s="262"/>
      <c r="G8" s="117" t="str">
        <f t="shared" ref="G8:G17" si="1">IF(F7="","",_xlfn.DAYS(F8,F7))</f>
        <v/>
      </c>
      <c r="H8" s="262"/>
      <c r="I8" s="262"/>
      <c r="J8" s="117" t="str">
        <f t="shared" ref="J8:J17" si="2">IF(I7="","",_xlfn.DAYS(I8,I7))</f>
        <v/>
      </c>
      <c r="K8" s="262"/>
    </row>
    <row r="9" spans="2:11" s="100" customFormat="1" ht="14.45" customHeight="1">
      <c r="B9" s="105">
        <v>4</v>
      </c>
      <c r="C9" s="261"/>
      <c r="D9" s="117" t="str">
        <f t="shared" si="0"/>
        <v/>
      </c>
      <c r="E9" s="262"/>
      <c r="F9" s="262"/>
      <c r="G9" s="117" t="str">
        <f t="shared" si="1"/>
        <v/>
      </c>
      <c r="H9" s="262"/>
      <c r="I9" s="262"/>
      <c r="J9" s="117" t="str">
        <f t="shared" si="2"/>
        <v/>
      </c>
      <c r="K9" s="262"/>
    </row>
    <row r="10" spans="2:11" s="100" customFormat="1" ht="14.45" customHeight="1">
      <c r="B10" s="105">
        <v>5</v>
      </c>
      <c r="C10" s="261"/>
      <c r="D10" s="117" t="str">
        <f t="shared" si="0"/>
        <v/>
      </c>
      <c r="E10" s="262"/>
      <c r="F10" s="262"/>
      <c r="G10" s="117" t="str">
        <f t="shared" si="1"/>
        <v/>
      </c>
      <c r="H10" s="262"/>
      <c r="I10" s="262"/>
      <c r="J10" s="117" t="str">
        <f t="shared" si="2"/>
        <v/>
      </c>
      <c r="K10" s="262"/>
    </row>
    <row r="11" spans="2:11" ht="14.45" customHeight="1">
      <c r="B11" s="105">
        <v>6</v>
      </c>
      <c r="C11" s="261"/>
      <c r="D11" s="117" t="str">
        <f t="shared" si="0"/>
        <v/>
      </c>
      <c r="E11" s="262"/>
      <c r="F11" s="262"/>
      <c r="G11" s="117" t="str">
        <f t="shared" si="1"/>
        <v/>
      </c>
      <c r="H11" s="262"/>
      <c r="I11" s="262"/>
      <c r="J11" s="117" t="str">
        <f t="shared" si="2"/>
        <v/>
      </c>
      <c r="K11" s="262"/>
    </row>
    <row r="12" spans="2:11" ht="14.45" customHeight="1">
      <c r="B12" s="105">
        <v>7</v>
      </c>
      <c r="C12" s="261"/>
      <c r="D12" s="117" t="str">
        <f t="shared" si="0"/>
        <v/>
      </c>
      <c r="E12" s="262"/>
      <c r="F12" s="262"/>
      <c r="G12" s="117" t="str">
        <f t="shared" si="1"/>
        <v/>
      </c>
      <c r="H12" s="262"/>
      <c r="I12" s="262"/>
      <c r="J12" s="117" t="str">
        <f t="shared" si="2"/>
        <v/>
      </c>
      <c r="K12" s="262"/>
    </row>
    <row r="13" spans="2:11" ht="14.45" customHeight="1">
      <c r="B13" s="105">
        <v>8</v>
      </c>
      <c r="C13" s="261"/>
      <c r="D13" s="117" t="str">
        <f t="shared" si="0"/>
        <v/>
      </c>
      <c r="E13" s="262"/>
      <c r="F13" s="262"/>
      <c r="G13" s="117" t="str">
        <f t="shared" si="1"/>
        <v/>
      </c>
      <c r="H13" s="262"/>
      <c r="I13" s="262"/>
      <c r="J13" s="117" t="str">
        <f t="shared" si="2"/>
        <v/>
      </c>
      <c r="K13" s="262"/>
    </row>
    <row r="14" spans="2:11" ht="14.45" customHeight="1">
      <c r="B14" s="105">
        <v>9</v>
      </c>
      <c r="C14" s="261"/>
      <c r="D14" s="117" t="str">
        <f t="shared" si="0"/>
        <v/>
      </c>
      <c r="E14" s="262"/>
      <c r="F14" s="262"/>
      <c r="G14" s="117" t="str">
        <f t="shared" si="1"/>
        <v/>
      </c>
      <c r="H14" s="262"/>
      <c r="I14" s="262"/>
      <c r="J14" s="117" t="str">
        <f t="shared" si="2"/>
        <v/>
      </c>
      <c r="K14" s="262"/>
    </row>
    <row r="15" spans="2:11" ht="14.45" customHeight="1">
      <c r="B15" s="105">
        <v>10</v>
      </c>
      <c r="C15" s="261"/>
      <c r="D15" s="117" t="str">
        <f t="shared" si="0"/>
        <v/>
      </c>
      <c r="E15" s="262"/>
      <c r="F15" s="262"/>
      <c r="G15" s="117" t="str">
        <f t="shared" si="1"/>
        <v/>
      </c>
      <c r="H15" s="262"/>
      <c r="I15" s="262"/>
      <c r="J15" s="117" t="str">
        <f t="shared" si="2"/>
        <v/>
      </c>
      <c r="K15" s="262"/>
    </row>
    <row r="16" spans="2:11" ht="14.45" customHeight="1">
      <c r="B16" s="105">
        <v>11</v>
      </c>
      <c r="C16" s="261"/>
      <c r="D16" s="117" t="str">
        <f t="shared" si="0"/>
        <v/>
      </c>
      <c r="E16" s="262"/>
      <c r="F16" s="262"/>
      <c r="G16" s="117" t="str">
        <f t="shared" si="1"/>
        <v/>
      </c>
      <c r="H16" s="262"/>
      <c r="I16" s="262"/>
      <c r="J16" s="117" t="str">
        <f t="shared" si="2"/>
        <v/>
      </c>
      <c r="K16" s="262"/>
    </row>
    <row r="17" spans="2:11" ht="14.45" customHeight="1">
      <c r="B17" s="105">
        <v>12</v>
      </c>
      <c r="C17" s="261"/>
      <c r="D17" s="117" t="str">
        <f t="shared" si="0"/>
        <v/>
      </c>
      <c r="E17" s="262"/>
      <c r="F17" s="262"/>
      <c r="G17" s="117" t="str">
        <f t="shared" si="1"/>
        <v/>
      </c>
      <c r="H17" s="262"/>
      <c r="I17" s="262"/>
      <c r="J17" s="117" t="str">
        <f t="shared" si="2"/>
        <v/>
      </c>
      <c r="K17" s="262"/>
    </row>
    <row r="18" spans="2:11">
      <c r="B18" s="260"/>
      <c r="C18" s="260" t="s">
        <v>37</v>
      </c>
      <c r="D18" s="117" t="str">
        <f>IF(D6="","",SUM(D6:D17))</f>
        <v/>
      </c>
      <c r="E18" s="117" t="str">
        <f>IF(E6="","",SUM(E6:E17))</f>
        <v/>
      </c>
      <c r="F18" s="260" t="s">
        <v>37</v>
      </c>
      <c r="G18" s="117" t="str">
        <f>IF(G6="","",SUM(G6:G17))</f>
        <v/>
      </c>
      <c r="H18" s="117" t="str">
        <f>IF(H6="","",SUM(H6:H17))</f>
        <v/>
      </c>
      <c r="I18" s="260" t="s">
        <v>37</v>
      </c>
      <c r="J18" s="117" t="str">
        <f>IF(J6="","",SUM(J6:J17))</f>
        <v/>
      </c>
      <c r="K18" s="117" t="str">
        <f>IF(K6="","",SUM(K6:K17))</f>
        <v/>
      </c>
    </row>
    <row r="19" spans="2:11" ht="11.1" customHeight="1"/>
    <row r="20" spans="2:11" s="100" customFormat="1" ht="18" customHeight="1">
      <c r="B20" s="109"/>
      <c r="C20" s="329" t="s">
        <v>41</v>
      </c>
      <c r="D20" s="330"/>
      <c r="E20" s="330"/>
      <c r="F20" s="329" t="s">
        <v>41</v>
      </c>
      <c r="G20" s="330"/>
      <c r="H20" s="330"/>
      <c r="I20" s="329" t="s">
        <v>41</v>
      </c>
      <c r="J20" s="330"/>
      <c r="K20" s="331"/>
    </row>
    <row r="21" spans="2:11" s="100" customFormat="1" ht="14.45" customHeight="1">
      <c r="B21" s="109"/>
      <c r="C21" s="260" t="s">
        <v>31</v>
      </c>
      <c r="D21" s="326"/>
      <c r="E21" s="327"/>
      <c r="F21" s="260" t="s">
        <v>31</v>
      </c>
      <c r="G21" s="326"/>
      <c r="H21" s="327"/>
      <c r="I21" s="260" t="s">
        <v>31</v>
      </c>
      <c r="J21" s="326"/>
      <c r="K21" s="328"/>
    </row>
    <row r="22" spans="2:11" s="100" customFormat="1" ht="42" customHeight="1">
      <c r="B22" s="105" t="s">
        <v>32</v>
      </c>
      <c r="C22" s="105" t="s">
        <v>33</v>
      </c>
      <c r="D22" s="105" t="s">
        <v>34</v>
      </c>
      <c r="E22" s="105" t="s">
        <v>42</v>
      </c>
      <c r="F22" s="105" t="s">
        <v>33</v>
      </c>
      <c r="G22" s="105" t="s">
        <v>34</v>
      </c>
      <c r="H22" s="105" t="s">
        <v>42</v>
      </c>
      <c r="I22" s="105" t="s">
        <v>33</v>
      </c>
      <c r="J22" s="105" t="s">
        <v>34</v>
      </c>
      <c r="K22" s="105" t="s">
        <v>42</v>
      </c>
    </row>
    <row r="23" spans="2:11" ht="15" customHeight="1">
      <c r="B23" s="105">
        <v>1</v>
      </c>
      <c r="C23" s="261"/>
      <c r="D23" s="262"/>
      <c r="E23" s="262"/>
      <c r="F23" s="261"/>
      <c r="G23" s="262"/>
      <c r="H23" s="262"/>
      <c r="I23" s="261"/>
      <c r="J23" s="262"/>
      <c r="K23" s="262"/>
    </row>
    <row r="24" spans="2:11">
      <c r="B24" s="105">
        <v>2</v>
      </c>
      <c r="C24" s="261"/>
      <c r="D24" s="117" t="str">
        <f>IF(C23="","",_xlfn.DAYS(C24,C23))</f>
        <v/>
      </c>
      <c r="E24" s="262"/>
      <c r="F24" s="261"/>
      <c r="G24" s="117" t="str">
        <f>IF(F23="","",_xlfn.DAYS(F24,F23))</f>
        <v/>
      </c>
      <c r="H24" s="262"/>
      <c r="I24" s="261"/>
      <c r="J24" s="117" t="str">
        <f>IF(I23="","",_xlfn.DAYS(I24,I23))</f>
        <v/>
      </c>
      <c r="K24" s="262"/>
    </row>
    <row r="25" spans="2:11">
      <c r="B25" s="263">
        <v>3</v>
      </c>
      <c r="C25" s="261"/>
      <c r="D25" s="117" t="str">
        <f t="shared" ref="D25:D34" si="3">IF(C24="","",_xlfn.DAYS(C25,C24))</f>
        <v/>
      </c>
      <c r="E25" s="262"/>
      <c r="F25" s="261"/>
      <c r="G25" s="117" t="str">
        <f t="shared" ref="G25:G34" si="4">IF(F24="","",_xlfn.DAYS(F25,F24))</f>
        <v/>
      </c>
      <c r="H25" s="262"/>
      <c r="I25" s="261"/>
      <c r="J25" s="117" t="str">
        <f t="shared" ref="J25:J34" si="5">IF(I24="","",_xlfn.DAYS(I25,I24))</f>
        <v/>
      </c>
      <c r="K25" s="262"/>
    </row>
    <row r="26" spans="2:11">
      <c r="B26" s="105">
        <v>4</v>
      </c>
      <c r="C26" s="261"/>
      <c r="D26" s="117" t="str">
        <f t="shared" si="3"/>
        <v/>
      </c>
      <c r="E26" s="262"/>
      <c r="F26" s="261"/>
      <c r="G26" s="117" t="str">
        <f t="shared" si="4"/>
        <v/>
      </c>
      <c r="H26" s="262"/>
      <c r="I26" s="261"/>
      <c r="J26" s="117" t="str">
        <f t="shared" si="5"/>
        <v/>
      </c>
      <c r="K26" s="262"/>
    </row>
    <row r="27" spans="2:11">
      <c r="B27" s="105">
        <v>5</v>
      </c>
      <c r="C27" s="261"/>
      <c r="D27" s="117" t="str">
        <f t="shared" si="3"/>
        <v/>
      </c>
      <c r="E27" s="262"/>
      <c r="F27" s="261"/>
      <c r="G27" s="117" t="str">
        <f t="shared" si="4"/>
        <v/>
      </c>
      <c r="H27" s="262"/>
      <c r="I27" s="261"/>
      <c r="J27" s="117" t="str">
        <f t="shared" si="5"/>
        <v/>
      </c>
      <c r="K27" s="262"/>
    </row>
    <row r="28" spans="2:11">
      <c r="B28" s="105">
        <v>6</v>
      </c>
      <c r="C28" s="261"/>
      <c r="D28" s="117" t="str">
        <f t="shared" si="3"/>
        <v/>
      </c>
      <c r="E28" s="262"/>
      <c r="F28" s="261"/>
      <c r="G28" s="117" t="str">
        <f t="shared" si="4"/>
        <v/>
      </c>
      <c r="H28" s="262"/>
      <c r="I28" s="261"/>
      <c r="J28" s="117" t="str">
        <f t="shared" si="5"/>
        <v/>
      </c>
      <c r="K28" s="262"/>
    </row>
    <row r="29" spans="2:11">
      <c r="B29" s="105">
        <v>7</v>
      </c>
      <c r="C29" s="261"/>
      <c r="D29" s="117" t="str">
        <f t="shared" si="3"/>
        <v/>
      </c>
      <c r="E29" s="262"/>
      <c r="F29" s="261"/>
      <c r="G29" s="117" t="str">
        <f t="shared" si="4"/>
        <v/>
      </c>
      <c r="H29" s="262"/>
      <c r="I29" s="261"/>
      <c r="J29" s="117" t="str">
        <f t="shared" si="5"/>
        <v/>
      </c>
      <c r="K29" s="262"/>
    </row>
    <row r="30" spans="2:11">
      <c r="B30" s="105">
        <v>8</v>
      </c>
      <c r="C30" s="261"/>
      <c r="D30" s="117" t="str">
        <f t="shared" si="3"/>
        <v/>
      </c>
      <c r="E30" s="262"/>
      <c r="F30" s="261"/>
      <c r="G30" s="117" t="str">
        <f t="shared" si="4"/>
        <v/>
      </c>
      <c r="H30" s="262"/>
      <c r="I30" s="261"/>
      <c r="J30" s="117" t="str">
        <f t="shared" si="5"/>
        <v/>
      </c>
      <c r="K30" s="262"/>
    </row>
    <row r="31" spans="2:11">
      <c r="B31" s="105">
        <v>9</v>
      </c>
      <c r="C31" s="261"/>
      <c r="D31" s="117" t="str">
        <f t="shared" si="3"/>
        <v/>
      </c>
      <c r="E31" s="262"/>
      <c r="F31" s="261"/>
      <c r="G31" s="117" t="str">
        <f t="shared" si="4"/>
        <v/>
      </c>
      <c r="H31" s="262"/>
      <c r="I31" s="261"/>
      <c r="J31" s="117" t="str">
        <f t="shared" si="5"/>
        <v/>
      </c>
      <c r="K31" s="262"/>
    </row>
    <row r="32" spans="2:11">
      <c r="B32" s="105">
        <v>10</v>
      </c>
      <c r="C32" s="261"/>
      <c r="D32" s="117" t="str">
        <f t="shared" si="3"/>
        <v/>
      </c>
      <c r="E32" s="262"/>
      <c r="F32" s="261"/>
      <c r="G32" s="117" t="str">
        <f t="shared" si="4"/>
        <v/>
      </c>
      <c r="H32" s="262"/>
      <c r="I32" s="261"/>
      <c r="J32" s="117" t="str">
        <f t="shared" si="5"/>
        <v/>
      </c>
      <c r="K32" s="262"/>
    </row>
    <row r="33" spans="2:11">
      <c r="B33" s="105">
        <v>11</v>
      </c>
      <c r="C33" s="261"/>
      <c r="D33" s="117" t="str">
        <f t="shared" si="3"/>
        <v/>
      </c>
      <c r="E33" s="262"/>
      <c r="F33" s="261"/>
      <c r="G33" s="117" t="str">
        <f t="shared" si="4"/>
        <v/>
      </c>
      <c r="H33" s="262"/>
      <c r="I33" s="261"/>
      <c r="J33" s="117" t="str">
        <f t="shared" si="5"/>
        <v/>
      </c>
      <c r="K33" s="262"/>
    </row>
    <row r="34" spans="2:11">
      <c r="B34" s="105">
        <v>12</v>
      </c>
      <c r="C34" s="261"/>
      <c r="D34" s="117" t="str">
        <f t="shared" si="3"/>
        <v/>
      </c>
      <c r="E34" s="262"/>
      <c r="F34" s="261"/>
      <c r="G34" s="117" t="str">
        <f t="shared" si="4"/>
        <v/>
      </c>
      <c r="H34" s="262"/>
      <c r="I34" s="261"/>
      <c r="J34" s="117" t="str">
        <f t="shared" si="5"/>
        <v/>
      </c>
      <c r="K34" s="262"/>
    </row>
    <row r="35" spans="2:11">
      <c r="C35" s="260" t="s">
        <v>37</v>
      </c>
      <c r="D35" s="117" t="str">
        <f>IF(D23="","",SUM(D23:D34))</f>
        <v/>
      </c>
      <c r="E35" s="117" t="str">
        <f>IF(E23="","",SUM(E23:E34))</f>
        <v/>
      </c>
      <c r="F35" s="260" t="s">
        <v>37</v>
      </c>
      <c r="G35" s="117" t="str">
        <f>IF(G23="","",SUM(G23:G34))</f>
        <v/>
      </c>
      <c r="H35" s="117" t="str">
        <f>IF(H23="","",SUM(H23:H34))</f>
        <v/>
      </c>
      <c r="I35" s="260" t="s">
        <v>37</v>
      </c>
      <c r="J35" s="117" t="str">
        <f>IF(J23="","",SUM(J23:J34))</f>
        <v/>
      </c>
      <c r="K35" s="117" t="str">
        <f>IF(K23="","",SUM(K23:K34))</f>
        <v/>
      </c>
    </row>
    <row r="36" spans="2:11" ht="10.5" customHeight="1"/>
    <row r="37" spans="2:11" s="100" customFormat="1" ht="18" customHeight="1">
      <c r="B37" s="109"/>
      <c r="C37" s="329" t="s">
        <v>41</v>
      </c>
      <c r="D37" s="330"/>
      <c r="E37" s="330"/>
      <c r="F37" s="329" t="s">
        <v>41</v>
      </c>
      <c r="G37" s="330"/>
      <c r="H37" s="330"/>
      <c r="I37" s="329" t="s">
        <v>41</v>
      </c>
      <c r="J37" s="330"/>
      <c r="K37" s="331"/>
    </row>
    <row r="38" spans="2:11" s="100" customFormat="1" ht="14.45" customHeight="1">
      <c r="B38" s="109"/>
      <c r="C38" s="260" t="s">
        <v>31</v>
      </c>
      <c r="D38" s="326"/>
      <c r="E38" s="327"/>
      <c r="F38" s="260" t="s">
        <v>31</v>
      </c>
      <c r="G38" s="326"/>
      <c r="H38" s="327"/>
      <c r="I38" s="260" t="s">
        <v>31</v>
      </c>
      <c r="J38" s="326"/>
      <c r="K38" s="328"/>
    </row>
    <row r="39" spans="2:11" s="100" customFormat="1" ht="42" customHeight="1">
      <c r="B39" s="105" t="s">
        <v>32</v>
      </c>
      <c r="C39" s="105" t="s">
        <v>33</v>
      </c>
      <c r="D39" s="105" t="s">
        <v>34</v>
      </c>
      <c r="E39" s="105" t="s">
        <v>42</v>
      </c>
      <c r="F39" s="105" t="s">
        <v>33</v>
      </c>
      <c r="G39" s="105" t="s">
        <v>34</v>
      </c>
      <c r="H39" s="105" t="s">
        <v>42</v>
      </c>
      <c r="I39" s="105" t="s">
        <v>33</v>
      </c>
      <c r="J39" s="105" t="s">
        <v>34</v>
      </c>
      <c r="K39" s="105" t="s">
        <v>42</v>
      </c>
    </row>
    <row r="40" spans="2:11" ht="15" customHeight="1">
      <c r="B40" s="105">
        <v>1</v>
      </c>
      <c r="C40" s="261"/>
      <c r="D40" s="262"/>
      <c r="E40" s="262"/>
      <c r="F40" s="261"/>
      <c r="G40" s="262"/>
      <c r="H40" s="262"/>
      <c r="I40" s="261"/>
      <c r="J40" s="262"/>
      <c r="K40" s="262"/>
    </row>
    <row r="41" spans="2:11">
      <c r="B41" s="105">
        <v>2</v>
      </c>
      <c r="C41" s="261"/>
      <c r="D41" s="117" t="str">
        <f>IF(C40="","",_xlfn.DAYS(C41,C40))</f>
        <v/>
      </c>
      <c r="E41" s="262"/>
      <c r="F41" s="261"/>
      <c r="G41" s="117" t="str">
        <f>IF(F40="","",_xlfn.DAYS(F41,F40))</f>
        <v/>
      </c>
      <c r="H41" s="262"/>
      <c r="I41" s="261"/>
      <c r="J41" s="117" t="str">
        <f>IF(I40="","",_xlfn.DAYS(I41,I40))</f>
        <v/>
      </c>
      <c r="K41" s="262"/>
    </row>
    <row r="42" spans="2:11">
      <c r="B42" s="263">
        <v>3</v>
      </c>
      <c r="C42" s="261"/>
      <c r="D42" s="117" t="str">
        <f t="shared" ref="D42:D51" si="6">IF(C41="","",_xlfn.DAYS(C42,C41))</f>
        <v/>
      </c>
      <c r="E42" s="262"/>
      <c r="F42" s="261"/>
      <c r="G42" s="117" t="str">
        <f t="shared" ref="G42:G51" si="7">IF(F41="","",_xlfn.DAYS(F42,F41))</f>
        <v/>
      </c>
      <c r="H42" s="262"/>
      <c r="I42" s="261"/>
      <c r="J42" s="117" t="str">
        <f t="shared" ref="J42:J51" si="8">IF(I41="","",_xlfn.DAYS(I42,I41))</f>
        <v/>
      </c>
      <c r="K42" s="262"/>
    </row>
    <row r="43" spans="2:11">
      <c r="B43" s="105">
        <v>4</v>
      </c>
      <c r="C43" s="261"/>
      <c r="D43" s="117" t="str">
        <f t="shared" si="6"/>
        <v/>
      </c>
      <c r="E43" s="262"/>
      <c r="F43" s="261"/>
      <c r="G43" s="117" t="str">
        <f t="shared" si="7"/>
        <v/>
      </c>
      <c r="H43" s="262"/>
      <c r="I43" s="261"/>
      <c r="J43" s="117" t="str">
        <f t="shared" si="8"/>
        <v/>
      </c>
      <c r="K43" s="262"/>
    </row>
    <row r="44" spans="2:11">
      <c r="B44" s="105">
        <v>5</v>
      </c>
      <c r="C44" s="261"/>
      <c r="D44" s="117" t="str">
        <f t="shared" si="6"/>
        <v/>
      </c>
      <c r="E44" s="262"/>
      <c r="F44" s="261"/>
      <c r="G44" s="117" t="str">
        <f t="shared" si="7"/>
        <v/>
      </c>
      <c r="H44" s="262"/>
      <c r="I44" s="261"/>
      <c r="J44" s="117" t="str">
        <f t="shared" si="8"/>
        <v/>
      </c>
      <c r="K44" s="262"/>
    </row>
    <row r="45" spans="2:11">
      <c r="B45" s="105">
        <v>6</v>
      </c>
      <c r="C45" s="261"/>
      <c r="D45" s="117" t="str">
        <f t="shared" si="6"/>
        <v/>
      </c>
      <c r="E45" s="262"/>
      <c r="F45" s="261"/>
      <c r="G45" s="117" t="str">
        <f t="shared" si="7"/>
        <v/>
      </c>
      <c r="H45" s="262"/>
      <c r="I45" s="261"/>
      <c r="J45" s="117" t="str">
        <f t="shared" si="8"/>
        <v/>
      </c>
      <c r="K45" s="262"/>
    </row>
    <row r="46" spans="2:11">
      <c r="B46" s="105">
        <v>7</v>
      </c>
      <c r="C46" s="261"/>
      <c r="D46" s="117" t="str">
        <f t="shared" si="6"/>
        <v/>
      </c>
      <c r="E46" s="262"/>
      <c r="F46" s="261"/>
      <c r="G46" s="117" t="str">
        <f t="shared" si="7"/>
        <v/>
      </c>
      <c r="H46" s="262"/>
      <c r="I46" s="261"/>
      <c r="J46" s="117" t="str">
        <f t="shared" si="8"/>
        <v/>
      </c>
      <c r="K46" s="262"/>
    </row>
    <row r="47" spans="2:11">
      <c r="B47" s="105">
        <v>8</v>
      </c>
      <c r="C47" s="261"/>
      <c r="D47" s="117" t="str">
        <f t="shared" si="6"/>
        <v/>
      </c>
      <c r="E47" s="262"/>
      <c r="F47" s="261"/>
      <c r="G47" s="117" t="str">
        <f t="shared" si="7"/>
        <v/>
      </c>
      <c r="H47" s="262"/>
      <c r="I47" s="261"/>
      <c r="J47" s="117" t="str">
        <f t="shared" si="8"/>
        <v/>
      </c>
      <c r="K47" s="262"/>
    </row>
    <row r="48" spans="2:11">
      <c r="B48" s="105">
        <v>9</v>
      </c>
      <c r="C48" s="261"/>
      <c r="D48" s="117" t="str">
        <f t="shared" si="6"/>
        <v/>
      </c>
      <c r="E48" s="262"/>
      <c r="F48" s="261"/>
      <c r="G48" s="117" t="str">
        <f t="shared" si="7"/>
        <v/>
      </c>
      <c r="H48" s="262"/>
      <c r="I48" s="261"/>
      <c r="J48" s="117" t="str">
        <f t="shared" si="8"/>
        <v/>
      </c>
      <c r="K48" s="262"/>
    </row>
    <row r="49" spans="2:11">
      <c r="B49" s="105">
        <v>10</v>
      </c>
      <c r="C49" s="261"/>
      <c r="D49" s="117" t="str">
        <f t="shared" si="6"/>
        <v/>
      </c>
      <c r="E49" s="262"/>
      <c r="F49" s="261"/>
      <c r="G49" s="117" t="str">
        <f t="shared" si="7"/>
        <v/>
      </c>
      <c r="H49" s="262"/>
      <c r="I49" s="261"/>
      <c r="J49" s="117" t="str">
        <f t="shared" si="8"/>
        <v/>
      </c>
      <c r="K49" s="262"/>
    </row>
    <row r="50" spans="2:11">
      <c r="B50" s="105">
        <v>11</v>
      </c>
      <c r="C50" s="261"/>
      <c r="D50" s="117" t="str">
        <f t="shared" si="6"/>
        <v/>
      </c>
      <c r="E50" s="262"/>
      <c r="F50" s="261"/>
      <c r="G50" s="117" t="str">
        <f t="shared" si="7"/>
        <v/>
      </c>
      <c r="H50" s="262"/>
      <c r="I50" s="261"/>
      <c r="J50" s="117" t="str">
        <f t="shared" si="8"/>
        <v/>
      </c>
      <c r="K50" s="262"/>
    </row>
    <row r="51" spans="2:11">
      <c r="B51" s="105">
        <v>12</v>
      </c>
      <c r="C51" s="261"/>
      <c r="D51" s="117" t="str">
        <f t="shared" si="6"/>
        <v/>
      </c>
      <c r="E51" s="262"/>
      <c r="F51" s="261"/>
      <c r="G51" s="117" t="str">
        <f t="shared" si="7"/>
        <v/>
      </c>
      <c r="H51" s="262"/>
      <c r="I51" s="261"/>
      <c r="J51" s="117" t="str">
        <f t="shared" si="8"/>
        <v/>
      </c>
      <c r="K51" s="262"/>
    </row>
    <row r="52" spans="2:11">
      <c r="C52" s="260" t="s">
        <v>37</v>
      </c>
      <c r="D52" s="117" t="str">
        <f>IF(D40="","",SUM(D40:D51))</f>
        <v/>
      </c>
      <c r="E52" s="117" t="str">
        <f>IF(E40="","",SUM(E40:E51))</f>
        <v/>
      </c>
      <c r="F52" s="260" t="s">
        <v>37</v>
      </c>
      <c r="G52" s="117" t="str">
        <f>IF(G40="","",SUM(G40:G51))</f>
        <v/>
      </c>
      <c r="H52" s="117" t="str">
        <f>IF(H40="","",SUM(H40:H51))</f>
        <v/>
      </c>
      <c r="I52" s="260" t="s">
        <v>37</v>
      </c>
      <c r="J52" s="117" t="str">
        <f>IF(J40="","",SUM(J40:J51))</f>
        <v/>
      </c>
      <c r="K52" s="117" t="str">
        <f>IF(K40="","",SUM(K40:K51))</f>
        <v/>
      </c>
    </row>
  </sheetData>
  <sheetProtection algorithmName="SHA-512" hashValue="oPdVAsIm3osrLINwjstDesAoM+vjig0ti27Ge3dlg/YwUYBEkrEOhRdGEHdgxnRJJ8LFXUNiGmydXPzwj5tpAw==" saltValue="HpoCXYBHmcmB+NACEq2jew==" spinCount="100000" sheet="1" formatCells="0" formatColumns="0" formatRows="0"/>
  <mergeCells count="19">
    <mergeCell ref="C37:E37"/>
    <mergeCell ref="F37:H37"/>
    <mergeCell ref="I37:K37"/>
    <mergeCell ref="D38:E38"/>
    <mergeCell ref="G38:H38"/>
    <mergeCell ref="J38:K38"/>
    <mergeCell ref="C20:E20"/>
    <mergeCell ref="F20:H20"/>
    <mergeCell ref="I20:K20"/>
    <mergeCell ref="D21:E21"/>
    <mergeCell ref="G21:H21"/>
    <mergeCell ref="J21:K21"/>
    <mergeCell ref="C2:K2"/>
    <mergeCell ref="C3:E3"/>
    <mergeCell ref="F3:H3"/>
    <mergeCell ref="I3:K3"/>
    <mergeCell ref="D4:E4"/>
    <mergeCell ref="G4:H4"/>
    <mergeCell ref="J4:K4"/>
  </mergeCells>
  <conditionalFormatting sqref="C6:E6 G6 C7:C17 E7:E17">
    <cfRule type="containsBlanks" dxfId="417" priority="105">
      <formula>LEN(TRIM(C6))=0</formula>
    </cfRule>
    <cfRule type="containsBlanks" dxfId="416" priority="106">
      <formula>LEN(TRIM(C6))=0</formula>
    </cfRule>
  </conditionalFormatting>
  <conditionalFormatting sqref="D4">
    <cfRule type="containsBlanks" dxfId="415" priority="97">
      <formula>LEN(TRIM(D4))=0</formula>
    </cfRule>
    <cfRule type="containsBlanks" dxfId="414" priority="98">
      <formula>LEN(TRIM(D4))=0</formula>
    </cfRule>
  </conditionalFormatting>
  <conditionalFormatting sqref="G4">
    <cfRule type="containsBlanks" dxfId="413" priority="71">
      <formula>LEN(TRIM(G4))=0</formula>
    </cfRule>
    <cfRule type="containsBlanks" dxfId="412" priority="72">
      <formula>LEN(TRIM(G4))=0</formula>
    </cfRule>
  </conditionalFormatting>
  <conditionalFormatting sqref="J6">
    <cfRule type="containsBlanks" dxfId="411" priority="95">
      <formula>LEN(TRIM(J6))=0</formula>
    </cfRule>
    <cfRule type="containsBlanks" dxfId="410" priority="96">
      <formula>LEN(TRIM(J6))=0</formula>
    </cfRule>
  </conditionalFormatting>
  <conditionalFormatting sqref="C23:E23 G23:H23 H24:H33 C24:C33 E24:E33">
    <cfRule type="containsBlanks" dxfId="409" priority="87">
      <formula>LEN(TRIM(C23))=0</formula>
    </cfRule>
    <cfRule type="containsBlanks" dxfId="408" priority="88">
      <formula>LEN(TRIM(C23))=0</formula>
    </cfRule>
  </conditionalFormatting>
  <conditionalFormatting sqref="C34 H34 E34">
    <cfRule type="containsBlanks" dxfId="407" priority="85">
      <formula>LEN(TRIM(C34))=0</formula>
    </cfRule>
    <cfRule type="containsBlanks" dxfId="406" priority="86">
      <formula>LEN(TRIM(C34))=0</formula>
    </cfRule>
  </conditionalFormatting>
  <conditionalFormatting sqref="F23:F33">
    <cfRule type="containsBlanks" dxfId="405" priority="83">
      <formula>LEN(TRIM(F23))=0</formula>
    </cfRule>
    <cfRule type="containsBlanks" dxfId="404" priority="84">
      <formula>LEN(TRIM(F23))=0</formula>
    </cfRule>
  </conditionalFormatting>
  <conditionalFormatting sqref="F34">
    <cfRule type="containsBlanks" dxfId="403" priority="81">
      <formula>LEN(TRIM(F34))=0</formula>
    </cfRule>
    <cfRule type="containsBlanks" dxfId="402" priority="82">
      <formula>LEN(TRIM(F34))=0</formula>
    </cfRule>
  </conditionalFormatting>
  <conditionalFormatting sqref="F51">
    <cfRule type="containsBlanks" dxfId="401" priority="61">
      <formula>LEN(TRIM(F51))=0</formula>
    </cfRule>
    <cfRule type="containsBlanks" dxfId="400" priority="62">
      <formula>LEN(TRIM(F51))=0</formula>
    </cfRule>
  </conditionalFormatting>
  <conditionalFormatting sqref="J23:K23 K24:K33">
    <cfRule type="containsBlanks" dxfId="399" priority="79">
      <formula>LEN(TRIM(J23))=0</formula>
    </cfRule>
    <cfRule type="containsBlanks" dxfId="398" priority="80">
      <formula>LEN(TRIM(J23))=0</formula>
    </cfRule>
  </conditionalFormatting>
  <conditionalFormatting sqref="K34">
    <cfRule type="containsBlanks" dxfId="397" priority="77">
      <formula>LEN(TRIM(K34))=0</formula>
    </cfRule>
    <cfRule type="containsBlanks" dxfId="396" priority="78">
      <formula>LEN(TRIM(K34))=0</formula>
    </cfRule>
  </conditionalFormatting>
  <conditionalFormatting sqref="I23:I33">
    <cfRule type="containsBlanks" dxfId="395" priority="75">
      <formula>LEN(TRIM(I23))=0</formula>
    </cfRule>
    <cfRule type="containsBlanks" dxfId="394" priority="76">
      <formula>LEN(TRIM(I23))=0</formula>
    </cfRule>
  </conditionalFormatting>
  <conditionalFormatting sqref="I34">
    <cfRule type="containsBlanks" dxfId="393" priority="73">
      <formula>LEN(TRIM(I34))=0</formula>
    </cfRule>
    <cfRule type="containsBlanks" dxfId="392" priority="74">
      <formula>LEN(TRIM(I34))=0</formula>
    </cfRule>
  </conditionalFormatting>
  <conditionalFormatting sqref="I51">
    <cfRule type="containsBlanks" dxfId="391" priority="53">
      <formula>LEN(TRIM(I51))=0</formula>
    </cfRule>
    <cfRule type="containsBlanks" dxfId="390" priority="54">
      <formula>LEN(TRIM(I51))=0</formula>
    </cfRule>
  </conditionalFormatting>
  <conditionalFormatting sqref="J4">
    <cfRule type="containsBlanks" dxfId="389" priority="69">
      <formula>LEN(TRIM(J4))=0</formula>
    </cfRule>
    <cfRule type="containsBlanks" dxfId="388" priority="70">
      <formula>LEN(TRIM(J4))=0</formula>
    </cfRule>
  </conditionalFormatting>
  <conditionalFormatting sqref="C40:E40 G40:H40 H41:H50 C41:C50 E41:E50">
    <cfRule type="containsBlanks" dxfId="387" priority="67">
      <formula>LEN(TRIM(C40))=0</formula>
    </cfRule>
    <cfRule type="containsBlanks" dxfId="386" priority="68">
      <formula>LEN(TRIM(C40))=0</formula>
    </cfRule>
  </conditionalFormatting>
  <conditionalFormatting sqref="C51 H51 E51">
    <cfRule type="containsBlanks" dxfId="385" priority="65">
      <formula>LEN(TRIM(C51))=0</formula>
    </cfRule>
    <cfRule type="containsBlanks" dxfId="384" priority="66">
      <formula>LEN(TRIM(C51))=0</formula>
    </cfRule>
  </conditionalFormatting>
  <conditionalFormatting sqref="F40:F50">
    <cfRule type="containsBlanks" dxfId="383" priority="63">
      <formula>LEN(TRIM(F40))=0</formula>
    </cfRule>
    <cfRule type="containsBlanks" dxfId="382" priority="64">
      <formula>LEN(TRIM(F40))=0</formula>
    </cfRule>
  </conditionalFormatting>
  <conditionalFormatting sqref="K51">
    <cfRule type="containsBlanks" dxfId="381" priority="57">
      <formula>LEN(TRIM(K51))=0</formula>
    </cfRule>
    <cfRule type="containsBlanks" dxfId="380" priority="58">
      <formula>LEN(TRIM(K51))=0</formula>
    </cfRule>
  </conditionalFormatting>
  <conditionalFormatting sqref="J40:K40 K41:K50">
    <cfRule type="containsBlanks" dxfId="379" priority="59">
      <formula>LEN(TRIM(J40))=0</formula>
    </cfRule>
    <cfRule type="containsBlanks" dxfId="378" priority="60">
      <formula>LEN(TRIM(J40))=0</formula>
    </cfRule>
  </conditionalFormatting>
  <conditionalFormatting sqref="I40:I50">
    <cfRule type="containsBlanks" dxfId="377" priority="55">
      <formula>LEN(TRIM(I40))=0</formula>
    </cfRule>
    <cfRule type="containsBlanks" dxfId="376" priority="56">
      <formula>LEN(TRIM(I40))=0</formula>
    </cfRule>
  </conditionalFormatting>
  <conditionalFormatting sqref="D21">
    <cfRule type="containsBlanks" dxfId="375" priority="23">
      <formula>LEN(TRIM(D21))=0</formula>
    </cfRule>
    <cfRule type="containsBlanks" dxfId="374" priority="24">
      <formula>LEN(TRIM(D21))=0</formula>
    </cfRule>
  </conditionalFormatting>
  <conditionalFormatting sqref="G21">
    <cfRule type="containsBlanks" dxfId="373" priority="21">
      <formula>LEN(TRIM(G21))=0</formula>
    </cfRule>
    <cfRule type="containsBlanks" dxfId="372" priority="22">
      <formula>LEN(TRIM(G21))=0</formula>
    </cfRule>
  </conditionalFormatting>
  <conditionalFormatting sqref="J21">
    <cfRule type="containsBlanks" dxfId="371" priority="19">
      <formula>LEN(TRIM(J21))=0</formula>
    </cfRule>
    <cfRule type="containsBlanks" dxfId="370" priority="20">
      <formula>LEN(TRIM(J21))=0</formula>
    </cfRule>
  </conditionalFormatting>
  <conditionalFormatting sqref="D38">
    <cfRule type="containsBlanks" dxfId="369" priority="17">
      <formula>LEN(TRIM(D38))=0</formula>
    </cfRule>
    <cfRule type="containsBlanks" dxfId="368" priority="18">
      <formula>LEN(TRIM(D38))=0</formula>
    </cfRule>
  </conditionalFormatting>
  <conditionalFormatting sqref="G38">
    <cfRule type="containsBlanks" dxfId="367" priority="15">
      <formula>LEN(TRIM(G38))=0</formula>
    </cfRule>
    <cfRule type="containsBlanks" dxfId="366" priority="16">
      <formula>LEN(TRIM(G38))=0</formula>
    </cfRule>
  </conditionalFormatting>
  <conditionalFormatting sqref="J38">
    <cfRule type="containsBlanks" dxfId="365" priority="13">
      <formula>LEN(TRIM(J38))=0</formula>
    </cfRule>
    <cfRule type="containsBlanks" dxfId="364" priority="14">
      <formula>LEN(TRIM(J38))=0</formula>
    </cfRule>
  </conditionalFormatting>
  <conditionalFormatting sqref="F6:F17">
    <cfRule type="containsBlanks" dxfId="363" priority="7">
      <formula>LEN(TRIM(F6))=0</formula>
    </cfRule>
    <cfRule type="containsBlanks" dxfId="362" priority="8">
      <formula>LEN(TRIM(F6))=0</formula>
    </cfRule>
  </conditionalFormatting>
  <conditionalFormatting sqref="H6:H17">
    <cfRule type="containsBlanks" dxfId="361" priority="5">
      <formula>LEN(TRIM(H6))=0</formula>
    </cfRule>
    <cfRule type="containsBlanks" dxfId="360" priority="6">
      <formula>LEN(TRIM(H6))=0</formula>
    </cfRule>
  </conditionalFormatting>
  <conditionalFormatting sqref="I6:I17">
    <cfRule type="containsBlanks" dxfId="359" priority="3">
      <formula>LEN(TRIM(I6))=0</formula>
    </cfRule>
    <cfRule type="containsBlanks" dxfId="358" priority="4">
      <formula>LEN(TRIM(I6))=0</formula>
    </cfRule>
  </conditionalFormatting>
  <conditionalFormatting sqref="K6:K17">
    <cfRule type="containsBlanks" dxfId="357" priority="1">
      <formula>LEN(TRIM(K6))=0</formula>
    </cfRule>
    <cfRule type="containsBlanks" dxfId="356" priority="2">
      <formula>LEN(TRIM(K6))=0</formula>
    </cfRule>
  </conditionalFormatting>
  <pageMargins left="0.4498611111111111" right="0.47833333333333333" top="0.75" bottom="0.75" header="0.3" footer="0.3"/>
  <pageSetup scale="82" orientation="portrait" r:id="rId1"/>
  <headerFooter>
    <oddHeader>&amp;L&amp;G&amp;R
&amp;"Liberation Sans,Bold"&amp;14&amp;K00247DEN97A: GHG Adjustments Form</oddHeader>
    <oddFooter>&amp;L&amp;"Liberation Sans,Regular"Version 1.3&amp;R&amp;"Liberation Sans,Regular"February  2022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FA8F2-C238-40B3-8E94-7225443BE786}">
  <sheetPr codeName="Sheet39"/>
  <dimension ref="B1:N53"/>
  <sheetViews>
    <sheetView view="pageLayout" zoomScaleNormal="100" zoomScaleSheetLayoutView="100" workbookViewId="0">
      <selection activeCell="M1" sqref="M1"/>
    </sheetView>
  </sheetViews>
  <sheetFormatPr defaultColWidth="7.140625" defaultRowHeight="14.25"/>
  <cols>
    <col min="1" max="1" width="2.28515625" style="94" customWidth="1"/>
    <col min="2" max="2" width="4.7109375" style="94" customWidth="1"/>
    <col min="3" max="3" width="8.140625" style="94" customWidth="1"/>
    <col min="4" max="4" width="10.42578125" style="94" customWidth="1"/>
    <col min="5" max="5" width="10.140625" style="94" customWidth="1"/>
    <col min="6" max="6" width="8" style="94" customWidth="1"/>
    <col min="7" max="7" width="10.42578125" style="94" customWidth="1"/>
    <col min="8" max="8" width="10.140625" style="94" customWidth="1"/>
    <col min="9" max="9" width="8.7109375" style="94" customWidth="1"/>
    <col min="10" max="10" width="10.140625" style="94" customWidth="1"/>
    <col min="11" max="11" width="9.85546875" style="94" customWidth="1"/>
    <col min="12" max="12" width="8.7109375" style="94" customWidth="1"/>
    <col min="13" max="13" width="10.42578125" style="94" customWidth="1"/>
    <col min="14" max="14" width="9.85546875" style="94" customWidth="1"/>
    <col min="15" max="16384" width="7.140625" style="94"/>
  </cols>
  <sheetData>
    <row r="1" spans="2:14" ht="10.5" customHeight="1"/>
    <row r="2" spans="2:14" ht="15.75" customHeight="1">
      <c r="B2" s="109" t="s">
        <v>43</v>
      </c>
      <c r="C2" s="320" t="str">
        <f>CONCATENATE("Actual Annual Energy Consumption from 2018 Utility Bills - District Steam, ",C20,", ",C37)</f>
        <v>Actual Annual Energy Consumption from 2018 Utility Bills - District Steam, #2 Fuel Oil Usage, Fuel Oil #5/6 Usage</v>
      </c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5"/>
    </row>
    <row r="3" spans="2:14" s="100" customFormat="1" ht="18" customHeight="1">
      <c r="B3" s="109"/>
      <c r="C3" s="329" t="s">
        <v>44</v>
      </c>
      <c r="D3" s="330"/>
      <c r="E3" s="330"/>
      <c r="F3" s="329" t="s">
        <v>44</v>
      </c>
      <c r="G3" s="330"/>
      <c r="H3" s="330"/>
      <c r="I3" s="329" t="s">
        <v>44</v>
      </c>
      <c r="J3" s="330"/>
      <c r="K3" s="330"/>
      <c r="L3" s="329" t="s">
        <v>44</v>
      </c>
      <c r="M3" s="330"/>
      <c r="N3" s="331"/>
    </row>
    <row r="4" spans="2:14" s="100" customFormat="1" ht="14.45" customHeight="1">
      <c r="B4" s="109"/>
      <c r="C4" s="260" t="s">
        <v>31</v>
      </c>
      <c r="D4" s="326"/>
      <c r="E4" s="327"/>
      <c r="F4" s="260" t="s">
        <v>31</v>
      </c>
      <c r="G4" s="326"/>
      <c r="H4" s="327"/>
      <c r="I4" s="260" t="s">
        <v>31</v>
      </c>
      <c r="J4" s="326"/>
      <c r="K4" s="327"/>
      <c r="L4" s="260" t="s">
        <v>31</v>
      </c>
      <c r="M4" s="326"/>
      <c r="N4" s="328"/>
    </row>
    <row r="5" spans="2:14" s="100" customFormat="1" ht="39.6" customHeight="1">
      <c r="B5" s="105" t="s">
        <v>32</v>
      </c>
      <c r="C5" s="105" t="s">
        <v>33</v>
      </c>
      <c r="D5" s="105" t="s">
        <v>34</v>
      </c>
      <c r="E5" s="105" t="s">
        <v>45</v>
      </c>
      <c r="F5" s="105" t="s">
        <v>33</v>
      </c>
      <c r="G5" s="105" t="s">
        <v>34</v>
      </c>
      <c r="H5" s="105" t="s">
        <v>45</v>
      </c>
      <c r="I5" s="105" t="s">
        <v>33</v>
      </c>
      <c r="J5" s="105" t="s">
        <v>34</v>
      </c>
      <c r="K5" s="105" t="s">
        <v>45</v>
      </c>
      <c r="L5" s="105" t="s">
        <v>33</v>
      </c>
      <c r="M5" s="105" t="s">
        <v>34</v>
      </c>
      <c r="N5" s="105" t="s">
        <v>45</v>
      </c>
    </row>
    <row r="6" spans="2:14" ht="15" customHeight="1">
      <c r="B6" s="105">
        <v>1</v>
      </c>
      <c r="C6" s="261"/>
      <c r="D6" s="262"/>
      <c r="E6" s="262"/>
      <c r="F6" s="261"/>
      <c r="G6" s="262"/>
      <c r="H6" s="262"/>
      <c r="I6" s="261"/>
      <c r="J6" s="262"/>
      <c r="K6" s="262"/>
      <c r="L6" s="261"/>
      <c r="M6" s="262"/>
      <c r="N6" s="262"/>
    </row>
    <row r="7" spans="2:14">
      <c r="B7" s="105">
        <v>2</v>
      </c>
      <c r="C7" s="261"/>
      <c r="D7" s="117" t="str">
        <f>IF(C6="","",_xlfn.DAYS(C7,C6))</f>
        <v/>
      </c>
      <c r="E7" s="262"/>
      <c r="F7" s="261"/>
      <c r="G7" s="117" t="str">
        <f>IF(F6="","",_xlfn.DAYS(F7,F6))</f>
        <v/>
      </c>
      <c r="H7" s="262"/>
      <c r="I7" s="261"/>
      <c r="J7" s="117" t="str">
        <f>IF(I6="","",_xlfn.DAYS(I7,I6))</f>
        <v/>
      </c>
      <c r="K7" s="262"/>
      <c r="L7" s="261"/>
      <c r="M7" s="117" t="str">
        <f>IF(L6="","",_xlfn.DAYS(L7,L6))</f>
        <v/>
      </c>
      <c r="N7" s="262"/>
    </row>
    <row r="8" spans="2:14">
      <c r="B8" s="263">
        <v>3</v>
      </c>
      <c r="C8" s="261"/>
      <c r="D8" s="117" t="str">
        <f t="shared" ref="D8:D17" si="0">IF(C7="","",_xlfn.DAYS(C8,C7))</f>
        <v/>
      </c>
      <c r="E8" s="262"/>
      <c r="F8" s="261"/>
      <c r="G8" s="117" t="str">
        <f t="shared" ref="G8:G17" si="1">IF(F7="","",_xlfn.DAYS(F8,F7))</f>
        <v/>
      </c>
      <c r="H8" s="262"/>
      <c r="I8" s="261"/>
      <c r="J8" s="117" t="str">
        <f t="shared" ref="J8:J17" si="2">IF(I7="","",_xlfn.DAYS(I8,I7))</f>
        <v/>
      </c>
      <c r="K8" s="262"/>
      <c r="L8" s="261"/>
      <c r="M8" s="117" t="str">
        <f t="shared" ref="M8:M17" si="3">IF(L7="","",_xlfn.DAYS(L8,L7))</f>
        <v/>
      </c>
      <c r="N8" s="262"/>
    </row>
    <row r="9" spans="2:14">
      <c r="B9" s="105">
        <v>4</v>
      </c>
      <c r="C9" s="261"/>
      <c r="D9" s="117" t="str">
        <f t="shared" si="0"/>
        <v/>
      </c>
      <c r="E9" s="262"/>
      <c r="F9" s="261"/>
      <c r="G9" s="117" t="str">
        <f t="shared" si="1"/>
        <v/>
      </c>
      <c r="H9" s="262"/>
      <c r="I9" s="261"/>
      <c r="J9" s="117" t="str">
        <f t="shared" si="2"/>
        <v/>
      </c>
      <c r="K9" s="262"/>
      <c r="L9" s="261"/>
      <c r="M9" s="117" t="str">
        <f t="shared" si="3"/>
        <v/>
      </c>
      <c r="N9" s="262"/>
    </row>
    <row r="10" spans="2:14">
      <c r="B10" s="105">
        <v>5</v>
      </c>
      <c r="C10" s="261"/>
      <c r="D10" s="117" t="str">
        <f t="shared" si="0"/>
        <v/>
      </c>
      <c r="E10" s="262"/>
      <c r="F10" s="261"/>
      <c r="G10" s="117" t="str">
        <f t="shared" si="1"/>
        <v/>
      </c>
      <c r="H10" s="262"/>
      <c r="I10" s="261"/>
      <c r="J10" s="117" t="str">
        <f t="shared" si="2"/>
        <v/>
      </c>
      <c r="K10" s="262"/>
      <c r="L10" s="261"/>
      <c r="M10" s="117" t="str">
        <f t="shared" si="3"/>
        <v/>
      </c>
      <c r="N10" s="262"/>
    </row>
    <row r="11" spans="2:14">
      <c r="B11" s="105">
        <v>6</v>
      </c>
      <c r="C11" s="261"/>
      <c r="D11" s="117" t="str">
        <f t="shared" si="0"/>
        <v/>
      </c>
      <c r="E11" s="262"/>
      <c r="F11" s="261"/>
      <c r="G11" s="117" t="str">
        <f t="shared" si="1"/>
        <v/>
      </c>
      <c r="H11" s="262"/>
      <c r="I11" s="261"/>
      <c r="J11" s="117" t="str">
        <f t="shared" si="2"/>
        <v/>
      </c>
      <c r="K11" s="262"/>
      <c r="L11" s="261"/>
      <c r="M11" s="117" t="str">
        <f t="shared" si="3"/>
        <v/>
      </c>
      <c r="N11" s="262"/>
    </row>
    <row r="12" spans="2:14">
      <c r="B12" s="105">
        <v>7</v>
      </c>
      <c r="C12" s="261"/>
      <c r="D12" s="117" t="str">
        <f t="shared" si="0"/>
        <v/>
      </c>
      <c r="E12" s="262"/>
      <c r="F12" s="261"/>
      <c r="G12" s="117" t="str">
        <f t="shared" si="1"/>
        <v/>
      </c>
      <c r="H12" s="262"/>
      <c r="I12" s="261"/>
      <c r="J12" s="117" t="str">
        <f t="shared" si="2"/>
        <v/>
      </c>
      <c r="K12" s="262"/>
      <c r="L12" s="261"/>
      <c r="M12" s="117" t="str">
        <f t="shared" si="3"/>
        <v/>
      </c>
      <c r="N12" s="262"/>
    </row>
    <row r="13" spans="2:14">
      <c r="B13" s="105">
        <v>8</v>
      </c>
      <c r="C13" s="261"/>
      <c r="D13" s="117" t="str">
        <f t="shared" si="0"/>
        <v/>
      </c>
      <c r="E13" s="262"/>
      <c r="F13" s="261"/>
      <c r="G13" s="117" t="str">
        <f t="shared" si="1"/>
        <v/>
      </c>
      <c r="H13" s="262"/>
      <c r="I13" s="261"/>
      <c r="J13" s="117" t="str">
        <f t="shared" si="2"/>
        <v/>
      </c>
      <c r="K13" s="262"/>
      <c r="L13" s="261"/>
      <c r="M13" s="117" t="str">
        <f t="shared" si="3"/>
        <v/>
      </c>
      <c r="N13" s="262"/>
    </row>
    <row r="14" spans="2:14">
      <c r="B14" s="105">
        <v>9</v>
      </c>
      <c r="C14" s="261"/>
      <c r="D14" s="117" t="str">
        <f t="shared" si="0"/>
        <v/>
      </c>
      <c r="E14" s="262"/>
      <c r="F14" s="261"/>
      <c r="G14" s="117" t="str">
        <f t="shared" si="1"/>
        <v/>
      </c>
      <c r="H14" s="262"/>
      <c r="I14" s="261"/>
      <c r="J14" s="117" t="str">
        <f t="shared" si="2"/>
        <v/>
      </c>
      <c r="K14" s="262"/>
      <c r="L14" s="261"/>
      <c r="M14" s="117" t="str">
        <f t="shared" si="3"/>
        <v/>
      </c>
      <c r="N14" s="262"/>
    </row>
    <row r="15" spans="2:14">
      <c r="B15" s="105">
        <v>10</v>
      </c>
      <c r="C15" s="261"/>
      <c r="D15" s="117" t="str">
        <f t="shared" si="0"/>
        <v/>
      </c>
      <c r="E15" s="262"/>
      <c r="F15" s="261"/>
      <c r="G15" s="117" t="str">
        <f t="shared" si="1"/>
        <v/>
      </c>
      <c r="H15" s="262"/>
      <c r="I15" s="261"/>
      <c r="J15" s="117" t="str">
        <f t="shared" si="2"/>
        <v/>
      </c>
      <c r="K15" s="262"/>
      <c r="L15" s="261"/>
      <c r="M15" s="117" t="str">
        <f t="shared" si="3"/>
        <v/>
      </c>
      <c r="N15" s="262"/>
    </row>
    <row r="16" spans="2:14">
      <c r="B16" s="105">
        <v>11</v>
      </c>
      <c r="C16" s="261"/>
      <c r="D16" s="117" t="str">
        <f t="shared" si="0"/>
        <v/>
      </c>
      <c r="E16" s="262"/>
      <c r="F16" s="261"/>
      <c r="G16" s="117" t="str">
        <f t="shared" si="1"/>
        <v/>
      </c>
      <c r="H16" s="262"/>
      <c r="I16" s="261"/>
      <c r="J16" s="117" t="str">
        <f t="shared" si="2"/>
        <v/>
      </c>
      <c r="K16" s="262"/>
      <c r="L16" s="261"/>
      <c r="M16" s="117" t="str">
        <f t="shared" si="3"/>
        <v/>
      </c>
      <c r="N16" s="262"/>
    </row>
    <row r="17" spans="2:14">
      <c r="B17" s="105">
        <v>12</v>
      </c>
      <c r="C17" s="261"/>
      <c r="D17" s="117" t="str">
        <f t="shared" si="0"/>
        <v/>
      </c>
      <c r="E17" s="262"/>
      <c r="F17" s="261"/>
      <c r="G17" s="117" t="str">
        <f t="shared" si="1"/>
        <v/>
      </c>
      <c r="H17" s="262"/>
      <c r="I17" s="261"/>
      <c r="J17" s="117" t="str">
        <f t="shared" si="2"/>
        <v/>
      </c>
      <c r="K17" s="262"/>
      <c r="L17" s="261"/>
      <c r="M17" s="117" t="str">
        <f t="shared" si="3"/>
        <v/>
      </c>
      <c r="N17" s="262"/>
    </row>
    <row r="18" spans="2:14">
      <c r="C18" s="264" t="s">
        <v>37</v>
      </c>
      <c r="D18" s="117" t="str">
        <f>IF(D6="","",SUM(D6:D17))</f>
        <v/>
      </c>
      <c r="E18" s="117" t="str">
        <f>IF(E6="","",SUM(E6:E17))</f>
        <v/>
      </c>
      <c r="F18" s="264" t="s">
        <v>37</v>
      </c>
      <c r="G18" s="117" t="str">
        <f>IF(G6="","",SUM(G6:G17))</f>
        <v/>
      </c>
      <c r="H18" s="117" t="str">
        <f>IF(H6="","",SUM(H6:H17))</f>
        <v/>
      </c>
      <c r="I18" s="264" t="s">
        <v>37</v>
      </c>
      <c r="J18" s="117" t="str">
        <f>IF(J6="","",SUM(J6:J17))</f>
        <v/>
      </c>
      <c r="K18" s="117" t="str">
        <f>IF(K6="","",SUM(K6:K17))</f>
        <v/>
      </c>
      <c r="L18" s="264" t="s">
        <v>37</v>
      </c>
      <c r="M18" s="117" t="str">
        <f>IF(M6="","",SUM(M6:M17))</f>
        <v/>
      </c>
      <c r="N18" s="117" t="str">
        <f>IF(N6="","",SUM(N6:N17))</f>
        <v/>
      </c>
    </row>
    <row r="19" spans="2:14" ht="9.6" customHeight="1">
      <c r="B19" s="265"/>
      <c r="C19" s="266"/>
      <c r="D19" s="267"/>
      <c r="E19" s="267"/>
      <c r="F19" s="266"/>
      <c r="G19" s="267"/>
      <c r="H19" s="267"/>
      <c r="I19" s="266"/>
      <c r="J19" s="267"/>
      <c r="K19" s="267"/>
      <c r="L19" s="266"/>
      <c r="M19" s="267"/>
      <c r="N19" s="267"/>
    </row>
    <row r="20" spans="2:14" s="100" customFormat="1" ht="18" customHeight="1">
      <c r="B20" s="109"/>
      <c r="C20" s="335" t="str">
        <f>CONCATENATE('4e-f. Usage to GHG'!N9," Usage")</f>
        <v>#2 Fuel Oil Usage</v>
      </c>
      <c r="D20" s="336"/>
      <c r="E20" s="337"/>
      <c r="F20" s="335" t="str">
        <f>C20</f>
        <v>#2 Fuel Oil Usage</v>
      </c>
      <c r="G20" s="336"/>
      <c r="H20" s="337"/>
      <c r="I20" s="335" t="str">
        <f>C20</f>
        <v>#2 Fuel Oil Usage</v>
      </c>
      <c r="J20" s="336"/>
      <c r="K20" s="337"/>
      <c r="L20" s="335" t="str">
        <f>C20</f>
        <v>#2 Fuel Oil Usage</v>
      </c>
      <c r="M20" s="336"/>
      <c r="N20" s="337"/>
    </row>
    <row r="21" spans="2:14" s="100" customFormat="1" ht="14.45" customHeight="1">
      <c r="B21" s="109"/>
      <c r="C21" s="260" t="s">
        <v>31</v>
      </c>
      <c r="D21" s="326"/>
      <c r="E21" s="328"/>
      <c r="F21" s="260" t="s">
        <v>31</v>
      </c>
      <c r="G21" s="326"/>
      <c r="H21" s="328"/>
      <c r="I21" s="260" t="s">
        <v>31</v>
      </c>
      <c r="J21" s="326"/>
      <c r="K21" s="328"/>
      <c r="L21" s="260" t="s">
        <v>31</v>
      </c>
      <c r="M21" s="326"/>
      <c r="N21" s="328"/>
    </row>
    <row r="22" spans="2:14" s="100" customFormat="1" ht="38.1" customHeight="1">
      <c r="B22" s="105" t="s">
        <v>32</v>
      </c>
      <c r="C22" s="105" t="s">
        <v>33</v>
      </c>
      <c r="D22" s="105" t="s">
        <v>34</v>
      </c>
      <c r="E22" s="117" t="str">
        <f>CONCATENATE("Billed ", '4e-f. Usage to GHG'!N9," (gallons)")</f>
        <v>Billed #2 Fuel Oil (gallons)</v>
      </c>
      <c r="F22" s="105" t="s">
        <v>33</v>
      </c>
      <c r="G22" s="105" t="s">
        <v>34</v>
      </c>
      <c r="H22" s="117" t="str">
        <f>CONCATENATE("Billed ", '4e-f. Usage to GHG'!N9," (gallons)")</f>
        <v>Billed #2 Fuel Oil (gallons)</v>
      </c>
      <c r="I22" s="105" t="s">
        <v>33</v>
      </c>
      <c r="J22" s="105" t="s">
        <v>34</v>
      </c>
      <c r="K22" s="117" t="str">
        <f>CONCATENATE("Billed ", '4e-f. Usage to GHG'!N9," (gallons)")</f>
        <v>Billed #2 Fuel Oil (gallons)</v>
      </c>
      <c r="L22" s="105" t="s">
        <v>33</v>
      </c>
      <c r="M22" s="105" t="s">
        <v>34</v>
      </c>
      <c r="N22" s="117" t="str">
        <f>CONCATENATE("Billed ", '4e-f. Usage to GHG'!N9," (gallons)")</f>
        <v>Billed #2 Fuel Oil (gallons)</v>
      </c>
    </row>
    <row r="23" spans="2:14" s="100" customFormat="1" ht="14.45" customHeight="1">
      <c r="B23" s="105">
        <v>1</v>
      </c>
      <c r="C23" s="261"/>
      <c r="D23" s="262"/>
      <c r="E23" s="262"/>
      <c r="F23" s="261"/>
      <c r="G23" s="262"/>
      <c r="H23" s="262"/>
      <c r="I23" s="261"/>
      <c r="J23" s="262"/>
      <c r="K23" s="262"/>
      <c r="L23" s="261"/>
      <c r="M23" s="262"/>
      <c r="N23" s="262"/>
    </row>
    <row r="24" spans="2:14" s="100" customFormat="1" ht="14.45" customHeight="1">
      <c r="B24" s="105">
        <v>2</v>
      </c>
      <c r="C24" s="261"/>
      <c r="D24" s="117" t="str">
        <f>IF(C23="","",_xlfn.DAYS(C24,C23))</f>
        <v/>
      </c>
      <c r="E24" s="262"/>
      <c r="F24" s="261"/>
      <c r="G24" s="117" t="str">
        <f>IF(F23="","",_xlfn.DAYS(F24,F23))</f>
        <v/>
      </c>
      <c r="H24" s="262"/>
      <c r="I24" s="261"/>
      <c r="J24" s="117" t="str">
        <f>IF(I23="","",_xlfn.DAYS(I24,I23))</f>
        <v/>
      </c>
      <c r="K24" s="262"/>
      <c r="L24" s="261"/>
      <c r="M24" s="117" t="str">
        <f>IF(L23="","",_xlfn.DAYS(L24,L23))</f>
        <v/>
      </c>
      <c r="N24" s="262"/>
    </row>
    <row r="25" spans="2:14" s="100" customFormat="1" ht="14.45" customHeight="1">
      <c r="B25" s="263">
        <v>3</v>
      </c>
      <c r="C25" s="261"/>
      <c r="D25" s="117" t="str">
        <f t="shared" ref="D25:D34" si="4">IF(C24="","",_xlfn.DAYS(C25,C24))</f>
        <v/>
      </c>
      <c r="E25" s="262"/>
      <c r="F25" s="261"/>
      <c r="G25" s="117" t="str">
        <f t="shared" ref="G25:G34" si="5">IF(F24="","",_xlfn.DAYS(F25,F24))</f>
        <v/>
      </c>
      <c r="H25" s="262"/>
      <c r="I25" s="261"/>
      <c r="J25" s="117" t="str">
        <f t="shared" ref="J25:J34" si="6">IF(I24="","",_xlfn.DAYS(I25,I24))</f>
        <v/>
      </c>
      <c r="K25" s="262"/>
      <c r="L25" s="261"/>
      <c r="M25" s="117" t="str">
        <f t="shared" ref="M25:M34" si="7">IF(L24="","",_xlfn.DAYS(L25,L24))</f>
        <v/>
      </c>
      <c r="N25" s="262"/>
    </row>
    <row r="26" spans="2:14" s="100" customFormat="1" ht="14.45" customHeight="1">
      <c r="B26" s="105">
        <v>4</v>
      </c>
      <c r="C26" s="261"/>
      <c r="D26" s="117" t="str">
        <f t="shared" si="4"/>
        <v/>
      </c>
      <c r="E26" s="262"/>
      <c r="F26" s="261"/>
      <c r="G26" s="117" t="str">
        <f t="shared" si="5"/>
        <v/>
      </c>
      <c r="H26" s="262"/>
      <c r="I26" s="261"/>
      <c r="J26" s="117" t="str">
        <f t="shared" si="6"/>
        <v/>
      </c>
      <c r="K26" s="262"/>
      <c r="L26" s="261"/>
      <c r="M26" s="117" t="str">
        <f t="shared" si="7"/>
        <v/>
      </c>
      <c r="N26" s="262"/>
    </row>
    <row r="27" spans="2:14" s="100" customFormat="1" ht="14.45" customHeight="1">
      <c r="B27" s="105">
        <v>5</v>
      </c>
      <c r="C27" s="261"/>
      <c r="D27" s="117" t="str">
        <f t="shared" si="4"/>
        <v/>
      </c>
      <c r="E27" s="262"/>
      <c r="F27" s="261"/>
      <c r="G27" s="117" t="str">
        <f t="shared" si="5"/>
        <v/>
      </c>
      <c r="H27" s="262"/>
      <c r="I27" s="261"/>
      <c r="J27" s="117" t="str">
        <f t="shared" si="6"/>
        <v/>
      </c>
      <c r="K27" s="262"/>
      <c r="L27" s="261"/>
      <c r="M27" s="117" t="str">
        <f t="shared" si="7"/>
        <v/>
      </c>
      <c r="N27" s="262"/>
    </row>
    <row r="28" spans="2:14" ht="14.45" customHeight="1">
      <c r="B28" s="105">
        <v>6</v>
      </c>
      <c r="C28" s="261"/>
      <c r="D28" s="117" t="str">
        <f t="shared" si="4"/>
        <v/>
      </c>
      <c r="E28" s="262"/>
      <c r="F28" s="261"/>
      <c r="G28" s="117" t="str">
        <f t="shared" si="5"/>
        <v/>
      </c>
      <c r="H28" s="262"/>
      <c r="I28" s="261"/>
      <c r="J28" s="117" t="str">
        <f t="shared" si="6"/>
        <v/>
      </c>
      <c r="K28" s="262"/>
      <c r="L28" s="261"/>
      <c r="M28" s="117" t="str">
        <f t="shared" si="7"/>
        <v/>
      </c>
      <c r="N28" s="262"/>
    </row>
    <row r="29" spans="2:14" ht="14.45" customHeight="1">
      <c r="B29" s="105">
        <v>7</v>
      </c>
      <c r="C29" s="261"/>
      <c r="D29" s="117" t="str">
        <f t="shared" si="4"/>
        <v/>
      </c>
      <c r="E29" s="262"/>
      <c r="F29" s="261"/>
      <c r="G29" s="117" t="str">
        <f t="shared" si="5"/>
        <v/>
      </c>
      <c r="H29" s="262"/>
      <c r="I29" s="261"/>
      <c r="J29" s="117" t="str">
        <f t="shared" si="6"/>
        <v/>
      </c>
      <c r="K29" s="262"/>
      <c r="L29" s="261"/>
      <c r="M29" s="117" t="str">
        <f t="shared" si="7"/>
        <v/>
      </c>
      <c r="N29" s="262"/>
    </row>
    <row r="30" spans="2:14" ht="14.45" customHeight="1">
      <c r="B30" s="105">
        <v>8</v>
      </c>
      <c r="C30" s="261"/>
      <c r="D30" s="117" t="str">
        <f t="shared" si="4"/>
        <v/>
      </c>
      <c r="E30" s="262"/>
      <c r="F30" s="261"/>
      <c r="G30" s="117" t="str">
        <f t="shared" si="5"/>
        <v/>
      </c>
      <c r="H30" s="262"/>
      <c r="I30" s="261"/>
      <c r="J30" s="117" t="str">
        <f t="shared" si="6"/>
        <v/>
      </c>
      <c r="K30" s="262"/>
      <c r="L30" s="261"/>
      <c r="M30" s="117" t="str">
        <f t="shared" si="7"/>
        <v/>
      </c>
      <c r="N30" s="262"/>
    </row>
    <row r="31" spans="2:14" ht="14.45" customHeight="1">
      <c r="B31" s="105">
        <v>9</v>
      </c>
      <c r="C31" s="261"/>
      <c r="D31" s="117" t="str">
        <f t="shared" si="4"/>
        <v/>
      </c>
      <c r="E31" s="262"/>
      <c r="F31" s="261"/>
      <c r="G31" s="117" t="str">
        <f t="shared" si="5"/>
        <v/>
      </c>
      <c r="H31" s="262"/>
      <c r="I31" s="261"/>
      <c r="J31" s="117" t="str">
        <f t="shared" si="6"/>
        <v/>
      </c>
      <c r="K31" s="262"/>
      <c r="L31" s="261"/>
      <c r="M31" s="117" t="str">
        <f t="shared" si="7"/>
        <v/>
      </c>
      <c r="N31" s="262"/>
    </row>
    <row r="32" spans="2:14" ht="14.45" customHeight="1">
      <c r="B32" s="105">
        <v>10</v>
      </c>
      <c r="C32" s="261"/>
      <c r="D32" s="117" t="str">
        <f t="shared" si="4"/>
        <v/>
      </c>
      <c r="E32" s="262"/>
      <c r="F32" s="261"/>
      <c r="G32" s="117" t="str">
        <f t="shared" si="5"/>
        <v/>
      </c>
      <c r="H32" s="262"/>
      <c r="I32" s="261"/>
      <c r="J32" s="117" t="str">
        <f t="shared" si="6"/>
        <v/>
      </c>
      <c r="K32" s="262"/>
      <c r="L32" s="261"/>
      <c r="M32" s="117" t="str">
        <f t="shared" si="7"/>
        <v/>
      </c>
      <c r="N32" s="262"/>
    </row>
    <row r="33" spans="2:14" ht="14.45" customHeight="1">
      <c r="B33" s="105">
        <v>11</v>
      </c>
      <c r="C33" s="261"/>
      <c r="D33" s="117" t="str">
        <f t="shared" si="4"/>
        <v/>
      </c>
      <c r="E33" s="262"/>
      <c r="F33" s="261"/>
      <c r="G33" s="117" t="str">
        <f t="shared" si="5"/>
        <v/>
      </c>
      <c r="H33" s="262"/>
      <c r="I33" s="261"/>
      <c r="J33" s="117" t="str">
        <f t="shared" si="6"/>
        <v/>
      </c>
      <c r="K33" s="262"/>
      <c r="L33" s="261"/>
      <c r="M33" s="117" t="str">
        <f t="shared" si="7"/>
        <v/>
      </c>
      <c r="N33" s="262"/>
    </row>
    <row r="34" spans="2:14" ht="14.45" customHeight="1">
      <c r="B34" s="105">
        <v>12</v>
      </c>
      <c r="C34" s="261"/>
      <c r="D34" s="117" t="str">
        <f t="shared" si="4"/>
        <v/>
      </c>
      <c r="E34" s="262"/>
      <c r="F34" s="261"/>
      <c r="G34" s="117" t="str">
        <f t="shared" si="5"/>
        <v/>
      </c>
      <c r="H34" s="262"/>
      <c r="I34" s="261"/>
      <c r="J34" s="117" t="str">
        <f t="shared" si="6"/>
        <v/>
      </c>
      <c r="K34" s="262"/>
      <c r="L34" s="261"/>
      <c r="M34" s="117" t="str">
        <f t="shared" si="7"/>
        <v/>
      </c>
      <c r="N34" s="262"/>
    </row>
    <row r="35" spans="2:14">
      <c r="B35" s="260"/>
      <c r="C35" s="260" t="s">
        <v>37</v>
      </c>
      <c r="D35" s="117" t="str">
        <f>IF(D23="","",SUM(D23:D34))</f>
        <v/>
      </c>
      <c r="E35" s="117" t="str">
        <f>IF(E23="","",SUM(E23:E34))</f>
        <v/>
      </c>
      <c r="F35" s="260" t="s">
        <v>37</v>
      </c>
      <c r="G35" s="117" t="str">
        <f>IF(G23="","",SUM(G23:G34))</f>
        <v/>
      </c>
      <c r="H35" s="117" t="str">
        <f>IF(H23="","",SUM(H23:H34))</f>
        <v/>
      </c>
      <c r="I35" s="260" t="s">
        <v>37</v>
      </c>
      <c r="J35" s="117" t="str">
        <f>IF(J23="","",SUM(J23:J34))</f>
        <v/>
      </c>
      <c r="K35" s="117" t="str">
        <f>IF(K23="","",SUM(K23:K34))</f>
        <v/>
      </c>
      <c r="L35" s="260" t="s">
        <v>37</v>
      </c>
      <c r="M35" s="117" t="str">
        <f>IF(M23="","",SUM(M23:M34))</f>
        <v/>
      </c>
      <c r="N35" s="117" t="str">
        <f>IF(N23="","",SUM(N23:N34))</f>
        <v/>
      </c>
    </row>
    <row r="36" spans="2:14" ht="11.1" customHeight="1"/>
    <row r="37" spans="2:14" s="100" customFormat="1" ht="18" customHeight="1">
      <c r="B37" s="109"/>
      <c r="C37" s="335" t="str">
        <f>CONCATENATE('4e-f. Usage to GHG'!N10," Usage")</f>
        <v>Fuel Oil #5/6 Usage</v>
      </c>
      <c r="D37" s="336"/>
      <c r="E37" s="337"/>
      <c r="F37" s="335" t="str">
        <f>C37</f>
        <v>Fuel Oil #5/6 Usage</v>
      </c>
      <c r="G37" s="336"/>
      <c r="H37" s="337"/>
      <c r="I37" s="335" t="str">
        <f>C37</f>
        <v>Fuel Oil #5/6 Usage</v>
      </c>
      <c r="J37" s="336"/>
      <c r="K37" s="337"/>
      <c r="L37" s="335" t="str">
        <f>C37</f>
        <v>Fuel Oil #5/6 Usage</v>
      </c>
      <c r="M37" s="336"/>
      <c r="N37" s="337"/>
    </row>
    <row r="38" spans="2:14" s="100" customFormat="1" ht="14.45" customHeight="1">
      <c r="B38" s="109"/>
      <c r="C38" s="260" t="s">
        <v>31</v>
      </c>
      <c r="D38" s="326"/>
      <c r="E38" s="327"/>
      <c r="F38" s="260" t="s">
        <v>31</v>
      </c>
      <c r="G38" s="326"/>
      <c r="H38" s="327"/>
      <c r="I38" s="260" t="s">
        <v>31</v>
      </c>
      <c r="J38" s="326"/>
      <c r="K38" s="327"/>
      <c r="L38" s="260" t="s">
        <v>31</v>
      </c>
      <c r="M38" s="326"/>
      <c r="N38" s="328"/>
    </row>
    <row r="39" spans="2:14" s="100" customFormat="1" ht="42" customHeight="1">
      <c r="B39" s="105" t="s">
        <v>32</v>
      </c>
      <c r="C39" s="105" t="s">
        <v>33</v>
      </c>
      <c r="D39" s="105" t="s">
        <v>34</v>
      </c>
      <c r="E39" s="117" t="str">
        <f>CONCATENATE("Billed ", '4e-f. Usage to GHG'!N10," (gallons)")</f>
        <v>Billed Fuel Oil #5/6 (gallons)</v>
      </c>
      <c r="F39" s="105" t="s">
        <v>33</v>
      </c>
      <c r="G39" s="105" t="s">
        <v>34</v>
      </c>
      <c r="H39" s="117" t="str">
        <f>CONCATENATE("Billed ", '4e-f. Usage to GHG'!N10," (gallons)")</f>
        <v>Billed Fuel Oil #5/6 (gallons)</v>
      </c>
      <c r="I39" s="105" t="s">
        <v>33</v>
      </c>
      <c r="J39" s="105" t="s">
        <v>34</v>
      </c>
      <c r="K39" s="117" t="str">
        <f>CONCATENATE("Billed ", '4e-f. Usage to GHG'!N10," (gallons)")</f>
        <v>Billed Fuel Oil #5/6 (gallons)</v>
      </c>
      <c r="L39" s="105" t="s">
        <v>33</v>
      </c>
      <c r="M39" s="105" t="s">
        <v>34</v>
      </c>
      <c r="N39" s="117" t="str">
        <f>CONCATENATE("Billed ", '4e-f. Usage to GHG'!N10," (gallons)")</f>
        <v>Billed Fuel Oil #5/6 (gallons)</v>
      </c>
    </row>
    <row r="40" spans="2:14" ht="15" customHeight="1">
      <c r="B40" s="105">
        <v>1</v>
      </c>
      <c r="C40" s="261"/>
      <c r="D40" s="262"/>
      <c r="E40" s="262"/>
      <c r="F40" s="261"/>
      <c r="G40" s="262"/>
      <c r="H40" s="262"/>
      <c r="I40" s="261"/>
      <c r="J40" s="262"/>
      <c r="K40" s="262"/>
      <c r="L40" s="261"/>
      <c r="M40" s="262"/>
      <c r="N40" s="262"/>
    </row>
    <row r="41" spans="2:14">
      <c r="B41" s="105">
        <v>2</v>
      </c>
      <c r="C41" s="261"/>
      <c r="D41" s="117" t="str">
        <f>IF(C40="","",_xlfn.DAYS(C41,C40))</f>
        <v/>
      </c>
      <c r="E41" s="262"/>
      <c r="F41" s="261"/>
      <c r="G41" s="117" t="str">
        <f>IF(F40="","",_xlfn.DAYS(F41,F40))</f>
        <v/>
      </c>
      <c r="H41" s="262"/>
      <c r="I41" s="261"/>
      <c r="J41" s="117" t="str">
        <f>IF(I40="","",_xlfn.DAYS(I41,I40))</f>
        <v/>
      </c>
      <c r="K41" s="262"/>
      <c r="L41" s="261"/>
      <c r="M41" s="117" t="str">
        <f>IF(L40="","",_xlfn.DAYS(L41,L40))</f>
        <v/>
      </c>
      <c r="N41" s="262"/>
    </row>
    <row r="42" spans="2:14">
      <c r="B42" s="263">
        <v>3</v>
      </c>
      <c r="C42" s="261"/>
      <c r="D42" s="117" t="str">
        <f t="shared" ref="D42:D51" si="8">IF(C41="","",_xlfn.DAYS(C42,C41))</f>
        <v/>
      </c>
      <c r="E42" s="262"/>
      <c r="F42" s="261"/>
      <c r="G42" s="117" t="str">
        <f t="shared" ref="G42:G51" si="9">IF(F41="","",_xlfn.DAYS(F42,F41))</f>
        <v/>
      </c>
      <c r="H42" s="262"/>
      <c r="I42" s="261"/>
      <c r="J42" s="117" t="str">
        <f t="shared" ref="J42:J51" si="10">IF(I41="","",_xlfn.DAYS(I42,I41))</f>
        <v/>
      </c>
      <c r="K42" s="262"/>
      <c r="L42" s="261"/>
      <c r="M42" s="117" t="str">
        <f t="shared" ref="M42:M51" si="11">IF(L41="","",_xlfn.DAYS(L42,L41))</f>
        <v/>
      </c>
      <c r="N42" s="262"/>
    </row>
    <row r="43" spans="2:14">
      <c r="B43" s="105">
        <v>4</v>
      </c>
      <c r="C43" s="261"/>
      <c r="D43" s="117" t="str">
        <f t="shared" si="8"/>
        <v/>
      </c>
      <c r="E43" s="262"/>
      <c r="F43" s="261"/>
      <c r="G43" s="117" t="str">
        <f t="shared" si="9"/>
        <v/>
      </c>
      <c r="H43" s="262"/>
      <c r="I43" s="261"/>
      <c r="J43" s="117" t="str">
        <f t="shared" si="10"/>
        <v/>
      </c>
      <c r="K43" s="262"/>
      <c r="L43" s="261"/>
      <c r="M43" s="117" t="str">
        <f t="shared" si="11"/>
        <v/>
      </c>
      <c r="N43" s="262"/>
    </row>
    <row r="44" spans="2:14">
      <c r="B44" s="105">
        <v>5</v>
      </c>
      <c r="C44" s="261"/>
      <c r="D44" s="117" t="str">
        <f t="shared" si="8"/>
        <v/>
      </c>
      <c r="E44" s="262"/>
      <c r="F44" s="261"/>
      <c r="G44" s="117" t="str">
        <f t="shared" si="9"/>
        <v/>
      </c>
      <c r="H44" s="262"/>
      <c r="I44" s="261"/>
      <c r="J44" s="117" t="str">
        <f t="shared" si="10"/>
        <v/>
      </c>
      <c r="K44" s="262"/>
      <c r="L44" s="261"/>
      <c r="M44" s="117" t="str">
        <f t="shared" si="11"/>
        <v/>
      </c>
      <c r="N44" s="262"/>
    </row>
    <row r="45" spans="2:14">
      <c r="B45" s="105">
        <v>6</v>
      </c>
      <c r="C45" s="261"/>
      <c r="D45" s="117" t="str">
        <f t="shared" si="8"/>
        <v/>
      </c>
      <c r="E45" s="262"/>
      <c r="F45" s="261"/>
      <c r="G45" s="117" t="str">
        <f t="shared" si="9"/>
        <v/>
      </c>
      <c r="H45" s="262"/>
      <c r="I45" s="261"/>
      <c r="J45" s="117" t="str">
        <f t="shared" si="10"/>
        <v/>
      </c>
      <c r="K45" s="262"/>
      <c r="L45" s="261"/>
      <c r="M45" s="117" t="str">
        <f t="shared" si="11"/>
        <v/>
      </c>
      <c r="N45" s="262"/>
    </row>
    <row r="46" spans="2:14">
      <c r="B46" s="105">
        <v>7</v>
      </c>
      <c r="C46" s="261"/>
      <c r="D46" s="117" t="str">
        <f t="shared" si="8"/>
        <v/>
      </c>
      <c r="E46" s="262"/>
      <c r="F46" s="261"/>
      <c r="G46" s="117" t="str">
        <f t="shared" si="9"/>
        <v/>
      </c>
      <c r="H46" s="262"/>
      <c r="I46" s="261"/>
      <c r="J46" s="117" t="str">
        <f t="shared" si="10"/>
        <v/>
      </c>
      <c r="K46" s="262"/>
      <c r="L46" s="261"/>
      <c r="M46" s="117" t="str">
        <f t="shared" si="11"/>
        <v/>
      </c>
      <c r="N46" s="262"/>
    </row>
    <row r="47" spans="2:14">
      <c r="B47" s="105">
        <v>8</v>
      </c>
      <c r="C47" s="261"/>
      <c r="D47" s="117" t="str">
        <f t="shared" si="8"/>
        <v/>
      </c>
      <c r="E47" s="262"/>
      <c r="F47" s="261"/>
      <c r="G47" s="117" t="str">
        <f t="shared" si="9"/>
        <v/>
      </c>
      <c r="H47" s="262"/>
      <c r="I47" s="261"/>
      <c r="J47" s="117" t="str">
        <f t="shared" si="10"/>
        <v/>
      </c>
      <c r="K47" s="262"/>
      <c r="L47" s="261"/>
      <c r="M47" s="117" t="str">
        <f t="shared" si="11"/>
        <v/>
      </c>
      <c r="N47" s="262"/>
    </row>
    <row r="48" spans="2:14">
      <c r="B48" s="105">
        <v>9</v>
      </c>
      <c r="C48" s="261"/>
      <c r="D48" s="117" t="str">
        <f t="shared" si="8"/>
        <v/>
      </c>
      <c r="E48" s="262"/>
      <c r="F48" s="261"/>
      <c r="G48" s="117" t="str">
        <f t="shared" si="9"/>
        <v/>
      </c>
      <c r="H48" s="262"/>
      <c r="I48" s="261"/>
      <c r="J48" s="117" t="str">
        <f t="shared" si="10"/>
        <v/>
      </c>
      <c r="K48" s="262"/>
      <c r="L48" s="261"/>
      <c r="M48" s="117" t="str">
        <f t="shared" si="11"/>
        <v/>
      </c>
      <c r="N48" s="262"/>
    </row>
    <row r="49" spans="2:14">
      <c r="B49" s="105">
        <v>10</v>
      </c>
      <c r="C49" s="261"/>
      <c r="D49" s="117" t="str">
        <f t="shared" si="8"/>
        <v/>
      </c>
      <c r="E49" s="262"/>
      <c r="F49" s="261"/>
      <c r="G49" s="117" t="str">
        <f t="shared" si="9"/>
        <v/>
      </c>
      <c r="H49" s="262"/>
      <c r="I49" s="261"/>
      <c r="J49" s="117" t="str">
        <f t="shared" si="10"/>
        <v/>
      </c>
      <c r="K49" s="262"/>
      <c r="L49" s="261"/>
      <c r="M49" s="117" t="str">
        <f t="shared" si="11"/>
        <v/>
      </c>
      <c r="N49" s="262"/>
    </row>
    <row r="50" spans="2:14">
      <c r="B50" s="105">
        <v>11</v>
      </c>
      <c r="C50" s="261"/>
      <c r="D50" s="117" t="str">
        <f t="shared" si="8"/>
        <v/>
      </c>
      <c r="E50" s="262"/>
      <c r="F50" s="261"/>
      <c r="G50" s="117" t="str">
        <f t="shared" si="9"/>
        <v/>
      </c>
      <c r="H50" s="262"/>
      <c r="I50" s="261"/>
      <c r="J50" s="117" t="str">
        <f t="shared" si="10"/>
        <v/>
      </c>
      <c r="K50" s="262"/>
      <c r="L50" s="261"/>
      <c r="M50" s="117" t="str">
        <f t="shared" si="11"/>
        <v/>
      </c>
      <c r="N50" s="262"/>
    </row>
    <row r="51" spans="2:14">
      <c r="B51" s="105">
        <v>12</v>
      </c>
      <c r="C51" s="261"/>
      <c r="D51" s="117" t="str">
        <f t="shared" si="8"/>
        <v/>
      </c>
      <c r="E51" s="262"/>
      <c r="F51" s="261"/>
      <c r="G51" s="117" t="str">
        <f t="shared" si="9"/>
        <v/>
      </c>
      <c r="H51" s="262"/>
      <c r="I51" s="261"/>
      <c r="J51" s="117" t="str">
        <f t="shared" si="10"/>
        <v/>
      </c>
      <c r="K51" s="262"/>
      <c r="L51" s="261"/>
      <c r="M51" s="117" t="str">
        <f t="shared" si="11"/>
        <v/>
      </c>
      <c r="N51" s="262"/>
    </row>
    <row r="52" spans="2:14">
      <c r="C52" s="260" t="s">
        <v>37</v>
      </c>
      <c r="D52" s="117" t="str">
        <f>IF(D40="","",SUM(D40:D51))</f>
        <v/>
      </c>
      <c r="E52" s="117" t="str">
        <f>IF(E40="","",SUM(E40:E51))</f>
        <v/>
      </c>
      <c r="F52" s="260" t="s">
        <v>37</v>
      </c>
      <c r="G52" s="117" t="str">
        <f>IF(G40="","",SUM(G40:G51))</f>
        <v/>
      </c>
      <c r="H52" s="117" t="str">
        <f>IF(H40="","",SUM(H40:H51))</f>
        <v/>
      </c>
      <c r="I52" s="260" t="s">
        <v>37</v>
      </c>
      <c r="J52" s="117" t="str">
        <f>IF(J40="","",SUM(J40:J51))</f>
        <v/>
      </c>
      <c r="K52" s="117" t="str">
        <f>IF(K40="","",SUM(K40:K51))</f>
        <v/>
      </c>
      <c r="L52" s="260" t="s">
        <v>37</v>
      </c>
      <c r="M52" s="117" t="str">
        <f>IF(M40="","",SUM(M40:M51))</f>
        <v/>
      </c>
      <c r="N52" s="117" t="str">
        <f>IF(N40="","",SUM(N40:N51))</f>
        <v/>
      </c>
    </row>
    <row r="53" spans="2:14" ht="10.5" customHeight="1"/>
  </sheetData>
  <sheetProtection algorithmName="SHA-512" hashValue="OAbMy/OUtkdat610xMxHjDYEagOmfaC9KMqKGRgkMGy4YtP5Bb97wq3tfDzeamcHAzKwJBvRAY88YqcLq0EnVQ==" saltValue="UlO3pA849D4Svxb2flhFyQ==" spinCount="100000" sheet="1" formatCells="0" formatColumns="0" formatRows="0"/>
  <mergeCells count="25">
    <mergeCell ref="L37:N37"/>
    <mergeCell ref="M38:N38"/>
    <mergeCell ref="L3:N3"/>
    <mergeCell ref="C37:E37"/>
    <mergeCell ref="F37:H37"/>
    <mergeCell ref="I37:K37"/>
    <mergeCell ref="D38:E38"/>
    <mergeCell ref="G38:H38"/>
    <mergeCell ref="J38:K38"/>
    <mergeCell ref="C3:E3"/>
    <mergeCell ref="F3:H3"/>
    <mergeCell ref="I3:K3"/>
    <mergeCell ref="D4:E4"/>
    <mergeCell ref="G4:H4"/>
    <mergeCell ref="J4:K4"/>
    <mergeCell ref="C2:N2"/>
    <mergeCell ref="M4:N4"/>
    <mergeCell ref="J21:K21"/>
    <mergeCell ref="G21:H21"/>
    <mergeCell ref="D21:E21"/>
    <mergeCell ref="I20:K20"/>
    <mergeCell ref="F20:H20"/>
    <mergeCell ref="C20:E20"/>
    <mergeCell ref="L20:N20"/>
    <mergeCell ref="M21:N21"/>
  </mergeCells>
  <conditionalFormatting sqref="G23:H23 H24:H33 D23">
    <cfRule type="containsBlanks" dxfId="355" priority="159">
      <formula>LEN(TRIM(D23))=0</formula>
    </cfRule>
    <cfRule type="containsBlanks" dxfId="354" priority="160">
      <formula>LEN(TRIM(D23))=0</formula>
    </cfRule>
  </conditionalFormatting>
  <conditionalFormatting sqref="H34">
    <cfRule type="containsBlanks" dxfId="353" priority="157">
      <formula>LEN(TRIM(H34))=0</formula>
    </cfRule>
    <cfRule type="containsBlanks" dxfId="352" priority="158">
      <formula>LEN(TRIM(H34))=0</formula>
    </cfRule>
  </conditionalFormatting>
  <conditionalFormatting sqref="D21">
    <cfRule type="containsBlanks" dxfId="351" priority="151">
      <formula>LEN(TRIM(D21))=0</formula>
    </cfRule>
    <cfRule type="containsBlanks" dxfId="350" priority="152">
      <formula>LEN(TRIM(D21))=0</formula>
    </cfRule>
  </conditionalFormatting>
  <conditionalFormatting sqref="G21">
    <cfRule type="containsBlanks" dxfId="349" priority="125">
      <formula>LEN(TRIM(G21))=0</formula>
    </cfRule>
    <cfRule type="containsBlanks" dxfId="348" priority="126">
      <formula>LEN(TRIM(G21))=0</formula>
    </cfRule>
  </conditionalFormatting>
  <conditionalFormatting sqref="J23:K23 K24:K33">
    <cfRule type="containsBlanks" dxfId="347" priority="149">
      <formula>LEN(TRIM(J23))=0</formula>
    </cfRule>
    <cfRule type="containsBlanks" dxfId="346" priority="150">
      <formula>LEN(TRIM(J23))=0</formula>
    </cfRule>
  </conditionalFormatting>
  <conditionalFormatting sqref="K34">
    <cfRule type="containsBlanks" dxfId="345" priority="147">
      <formula>LEN(TRIM(K34))=0</formula>
    </cfRule>
    <cfRule type="containsBlanks" dxfId="344" priority="148">
      <formula>LEN(TRIM(K34))=0</formula>
    </cfRule>
  </conditionalFormatting>
  <conditionalFormatting sqref="I23:I33">
    <cfRule type="containsBlanks" dxfId="343" priority="145">
      <formula>LEN(TRIM(I23))=0</formula>
    </cfRule>
    <cfRule type="containsBlanks" dxfId="342" priority="146">
      <formula>LEN(TRIM(I23))=0</formula>
    </cfRule>
  </conditionalFormatting>
  <conditionalFormatting sqref="I34">
    <cfRule type="containsBlanks" dxfId="341" priority="143">
      <formula>LEN(TRIM(I34))=0</formula>
    </cfRule>
    <cfRule type="containsBlanks" dxfId="340" priority="144">
      <formula>LEN(TRIM(I34))=0</formula>
    </cfRule>
  </conditionalFormatting>
  <conditionalFormatting sqref="G40:H40 H41:H50">
    <cfRule type="containsBlanks" dxfId="339" priority="141">
      <formula>LEN(TRIM(G40))=0</formula>
    </cfRule>
    <cfRule type="containsBlanks" dxfId="338" priority="142">
      <formula>LEN(TRIM(G40))=0</formula>
    </cfRule>
  </conditionalFormatting>
  <conditionalFormatting sqref="H51">
    <cfRule type="containsBlanks" dxfId="337" priority="139">
      <formula>LEN(TRIM(H51))=0</formula>
    </cfRule>
    <cfRule type="containsBlanks" dxfId="336" priority="140">
      <formula>LEN(TRIM(H51))=0</formula>
    </cfRule>
  </conditionalFormatting>
  <conditionalFormatting sqref="J40:K40 K41:K50">
    <cfRule type="containsBlanks" dxfId="335" priority="133">
      <formula>LEN(TRIM(J40))=0</formula>
    </cfRule>
    <cfRule type="containsBlanks" dxfId="334" priority="134">
      <formula>LEN(TRIM(J40))=0</formula>
    </cfRule>
  </conditionalFormatting>
  <conditionalFormatting sqref="K51">
    <cfRule type="containsBlanks" dxfId="333" priority="131">
      <formula>LEN(TRIM(K51))=0</formula>
    </cfRule>
    <cfRule type="containsBlanks" dxfId="332" priority="132">
      <formula>LEN(TRIM(K51))=0</formula>
    </cfRule>
  </conditionalFormatting>
  <conditionalFormatting sqref="I40:I50">
    <cfRule type="containsBlanks" dxfId="331" priority="129">
      <formula>LEN(TRIM(I40))=0</formula>
    </cfRule>
    <cfRule type="containsBlanks" dxfId="330" priority="130">
      <formula>LEN(TRIM(I40))=0</formula>
    </cfRule>
  </conditionalFormatting>
  <conditionalFormatting sqref="I51">
    <cfRule type="containsBlanks" dxfId="329" priority="127">
      <formula>LEN(TRIM(I51))=0</formula>
    </cfRule>
    <cfRule type="containsBlanks" dxfId="328" priority="128">
      <formula>LEN(TRIM(I51))=0</formula>
    </cfRule>
  </conditionalFormatting>
  <conditionalFormatting sqref="I17">
    <cfRule type="containsBlanks" dxfId="327" priority="107">
      <formula>LEN(TRIM(I17))=0</formula>
    </cfRule>
    <cfRule type="containsBlanks" dxfId="326" priority="108">
      <formula>LEN(TRIM(I17))=0</formula>
    </cfRule>
  </conditionalFormatting>
  <conditionalFormatting sqref="J21">
    <cfRule type="containsBlanks" dxfId="325" priority="123">
      <formula>LEN(TRIM(J21))=0</formula>
    </cfRule>
    <cfRule type="containsBlanks" dxfId="324" priority="124">
      <formula>LEN(TRIM(J21))=0</formula>
    </cfRule>
  </conditionalFormatting>
  <conditionalFormatting sqref="D6 G6:H6 H7:H16">
    <cfRule type="containsBlanks" dxfId="323" priority="121">
      <formula>LEN(TRIM(D6))=0</formula>
    </cfRule>
    <cfRule type="containsBlanks" dxfId="322" priority="122">
      <formula>LEN(TRIM(D6))=0</formula>
    </cfRule>
  </conditionalFormatting>
  <conditionalFormatting sqref="H17">
    <cfRule type="containsBlanks" dxfId="321" priority="119">
      <formula>LEN(TRIM(H17))=0</formula>
    </cfRule>
    <cfRule type="containsBlanks" dxfId="320" priority="120">
      <formula>LEN(TRIM(H17))=0</formula>
    </cfRule>
  </conditionalFormatting>
  <conditionalFormatting sqref="K17">
    <cfRule type="containsBlanks" dxfId="319" priority="111">
      <formula>LEN(TRIM(K17))=0</formula>
    </cfRule>
    <cfRule type="containsBlanks" dxfId="318" priority="112">
      <formula>LEN(TRIM(K17))=0</formula>
    </cfRule>
  </conditionalFormatting>
  <conditionalFormatting sqref="J6:K6 K7:K16">
    <cfRule type="containsBlanks" dxfId="317" priority="113">
      <formula>LEN(TRIM(J6))=0</formula>
    </cfRule>
    <cfRule type="containsBlanks" dxfId="316" priority="114">
      <formula>LEN(TRIM(J6))=0</formula>
    </cfRule>
  </conditionalFormatting>
  <conditionalFormatting sqref="I6:I16">
    <cfRule type="containsBlanks" dxfId="315" priority="109">
      <formula>LEN(TRIM(I6))=0</formula>
    </cfRule>
    <cfRule type="containsBlanks" dxfId="314" priority="110">
      <formula>LEN(TRIM(I6))=0</formula>
    </cfRule>
  </conditionalFormatting>
  <conditionalFormatting sqref="D38">
    <cfRule type="containsBlanks" dxfId="313" priority="89">
      <formula>LEN(TRIM(D38))=0</formula>
    </cfRule>
    <cfRule type="containsBlanks" dxfId="312" priority="90">
      <formula>LEN(TRIM(D38))=0</formula>
    </cfRule>
  </conditionalFormatting>
  <conditionalFormatting sqref="D4">
    <cfRule type="containsBlanks" dxfId="311" priority="83">
      <formula>LEN(TRIM(D4))=0</formula>
    </cfRule>
    <cfRule type="containsBlanks" dxfId="310" priority="84">
      <formula>LEN(TRIM(D4))=0</formula>
    </cfRule>
  </conditionalFormatting>
  <conditionalFormatting sqref="G38">
    <cfRule type="containsBlanks" dxfId="309" priority="73">
      <formula>LEN(TRIM(G38))=0</formula>
    </cfRule>
    <cfRule type="containsBlanks" dxfId="308" priority="74">
      <formula>LEN(TRIM(G38))=0</formula>
    </cfRule>
  </conditionalFormatting>
  <conditionalFormatting sqref="J38">
    <cfRule type="containsBlanks" dxfId="307" priority="71">
      <formula>LEN(TRIM(J38))=0</formula>
    </cfRule>
    <cfRule type="containsBlanks" dxfId="306" priority="72">
      <formula>LEN(TRIM(J38))=0</formula>
    </cfRule>
  </conditionalFormatting>
  <conditionalFormatting sqref="G4">
    <cfRule type="containsBlanks" dxfId="305" priority="69">
      <formula>LEN(TRIM(G4))=0</formula>
    </cfRule>
    <cfRule type="containsBlanks" dxfId="304" priority="70">
      <formula>LEN(TRIM(G4))=0</formula>
    </cfRule>
  </conditionalFormatting>
  <conditionalFormatting sqref="J4">
    <cfRule type="containsBlanks" dxfId="303" priority="67">
      <formula>LEN(TRIM(J4))=0</formula>
    </cfRule>
    <cfRule type="containsBlanks" dxfId="302" priority="68">
      <formula>LEN(TRIM(J4))=0</formula>
    </cfRule>
  </conditionalFormatting>
  <conditionalFormatting sqref="M23:N23 N24:N33">
    <cfRule type="containsBlanks" dxfId="301" priority="65">
      <formula>LEN(TRIM(M23))=0</formula>
    </cfRule>
    <cfRule type="containsBlanks" dxfId="300" priority="66">
      <formula>LEN(TRIM(M23))=0</formula>
    </cfRule>
  </conditionalFormatting>
  <conditionalFormatting sqref="N34">
    <cfRule type="containsBlanks" dxfId="299" priority="63">
      <formula>LEN(TRIM(N34))=0</formula>
    </cfRule>
    <cfRule type="containsBlanks" dxfId="298" priority="64">
      <formula>LEN(TRIM(N34))=0</formula>
    </cfRule>
  </conditionalFormatting>
  <conditionalFormatting sqref="L23:L33">
    <cfRule type="containsBlanks" dxfId="297" priority="61">
      <formula>LEN(TRIM(L23))=0</formula>
    </cfRule>
    <cfRule type="containsBlanks" dxfId="296" priority="62">
      <formula>LEN(TRIM(L23))=0</formula>
    </cfRule>
  </conditionalFormatting>
  <conditionalFormatting sqref="L34">
    <cfRule type="containsBlanks" dxfId="295" priority="59">
      <formula>LEN(TRIM(L34))=0</formula>
    </cfRule>
    <cfRule type="containsBlanks" dxfId="294" priority="60">
      <formula>LEN(TRIM(L34))=0</formula>
    </cfRule>
  </conditionalFormatting>
  <conditionalFormatting sqref="M40:N40 N41:N50">
    <cfRule type="containsBlanks" dxfId="293" priority="57">
      <formula>LEN(TRIM(M40))=0</formula>
    </cfRule>
    <cfRule type="containsBlanks" dxfId="292" priority="58">
      <formula>LEN(TRIM(M40))=0</formula>
    </cfRule>
  </conditionalFormatting>
  <conditionalFormatting sqref="N51">
    <cfRule type="containsBlanks" dxfId="291" priority="55">
      <formula>LEN(TRIM(N51))=0</formula>
    </cfRule>
    <cfRule type="containsBlanks" dxfId="290" priority="56">
      <formula>LEN(TRIM(N51))=0</formula>
    </cfRule>
  </conditionalFormatting>
  <conditionalFormatting sqref="L40:L50">
    <cfRule type="containsBlanks" dxfId="289" priority="53">
      <formula>LEN(TRIM(L40))=0</formula>
    </cfRule>
    <cfRule type="containsBlanks" dxfId="288" priority="54">
      <formula>LEN(TRIM(L40))=0</formula>
    </cfRule>
  </conditionalFormatting>
  <conditionalFormatting sqref="L51">
    <cfRule type="containsBlanks" dxfId="287" priority="51">
      <formula>LEN(TRIM(L51))=0</formula>
    </cfRule>
    <cfRule type="containsBlanks" dxfId="286" priority="52">
      <formula>LEN(TRIM(L51))=0</formula>
    </cfRule>
  </conditionalFormatting>
  <conditionalFormatting sqref="L17">
    <cfRule type="containsBlanks" dxfId="285" priority="41">
      <formula>LEN(TRIM(L17))=0</formula>
    </cfRule>
    <cfRule type="containsBlanks" dxfId="284" priority="42">
      <formula>LEN(TRIM(L17))=0</formula>
    </cfRule>
  </conditionalFormatting>
  <conditionalFormatting sqref="M21">
    <cfRule type="containsBlanks" dxfId="283" priority="49">
      <formula>LEN(TRIM(M21))=0</formula>
    </cfRule>
    <cfRule type="containsBlanks" dxfId="282" priority="50">
      <formula>LEN(TRIM(M21))=0</formula>
    </cfRule>
  </conditionalFormatting>
  <conditionalFormatting sqref="N17">
    <cfRule type="containsBlanks" dxfId="281" priority="45">
      <formula>LEN(TRIM(N17))=0</formula>
    </cfRule>
    <cfRule type="containsBlanks" dxfId="280" priority="46">
      <formula>LEN(TRIM(N17))=0</formula>
    </cfRule>
  </conditionalFormatting>
  <conditionalFormatting sqref="M6:N6 N7:N16">
    <cfRule type="containsBlanks" dxfId="279" priority="47">
      <formula>LEN(TRIM(M6))=0</formula>
    </cfRule>
    <cfRule type="containsBlanks" dxfId="278" priority="48">
      <formula>LEN(TRIM(M6))=0</formula>
    </cfRule>
  </conditionalFormatting>
  <conditionalFormatting sqref="L6:L16">
    <cfRule type="containsBlanks" dxfId="277" priority="43">
      <formula>LEN(TRIM(L6))=0</formula>
    </cfRule>
    <cfRule type="containsBlanks" dxfId="276" priority="44">
      <formula>LEN(TRIM(L6))=0</formula>
    </cfRule>
  </conditionalFormatting>
  <conditionalFormatting sqref="M38">
    <cfRule type="containsBlanks" dxfId="275" priority="39">
      <formula>LEN(TRIM(M38))=0</formula>
    </cfRule>
    <cfRule type="containsBlanks" dxfId="274" priority="40">
      <formula>LEN(TRIM(M38))=0</formula>
    </cfRule>
  </conditionalFormatting>
  <conditionalFormatting sqref="M4">
    <cfRule type="containsBlanks" dxfId="273" priority="37">
      <formula>LEN(TRIM(M4))=0</formula>
    </cfRule>
    <cfRule type="containsBlanks" dxfId="272" priority="38">
      <formula>LEN(TRIM(M4))=0</formula>
    </cfRule>
  </conditionalFormatting>
  <conditionalFormatting sqref="C6:C17">
    <cfRule type="containsBlanks" dxfId="271" priority="31">
      <formula>LEN(TRIM(C6))=0</formula>
    </cfRule>
    <cfRule type="containsBlanks" dxfId="270" priority="32">
      <formula>LEN(TRIM(C6))=0</formula>
    </cfRule>
  </conditionalFormatting>
  <conditionalFormatting sqref="E6:E17">
    <cfRule type="containsBlanks" dxfId="269" priority="29">
      <formula>LEN(TRIM(E6))=0</formula>
    </cfRule>
    <cfRule type="containsBlanks" dxfId="268" priority="30">
      <formula>LEN(TRIM(E6))=0</formula>
    </cfRule>
  </conditionalFormatting>
  <conditionalFormatting sqref="E23:E34">
    <cfRule type="containsBlanks" dxfId="267" priority="21">
      <formula>LEN(TRIM(E23))=0</formula>
    </cfRule>
    <cfRule type="containsBlanks" dxfId="266" priority="22">
      <formula>LEN(TRIM(E23))=0</formula>
    </cfRule>
  </conditionalFormatting>
  <conditionalFormatting sqref="D40:E40 E41:E51">
    <cfRule type="containsBlanks" dxfId="265" priority="15">
      <formula>LEN(TRIM(D40))=0</formula>
    </cfRule>
    <cfRule type="containsBlanks" dxfId="264" priority="16">
      <formula>LEN(TRIM(D40))=0</formula>
    </cfRule>
  </conditionalFormatting>
  <conditionalFormatting sqref="F6:F17">
    <cfRule type="containsBlanks" dxfId="263" priority="9">
      <formula>LEN(TRIM(F6))=0</formula>
    </cfRule>
    <cfRule type="containsBlanks" dxfId="262" priority="10">
      <formula>LEN(TRIM(F6))=0</formula>
    </cfRule>
  </conditionalFormatting>
  <conditionalFormatting sqref="C23:C34">
    <cfRule type="containsBlanks" dxfId="261" priority="7">
      <formula>LEN(TRIM(C23))=0</formula>
    </cfRule>
    <cfRule type="containsBlanks" dxfId="260" priority="8">
      <formula>LEN(TRIM(C23))=0</formula>
    </cfRule>
  </conditionalFormatting>
  <conditionalFormatting sqref="F23:F34">
    <cfRule type="containsBlanks" dxfId="259" priority="5">
      <formula>LEN(TRIM(F23))=0</formula>
    </cfRule>
    <cfRule type="containsBlanks" dxfId="258" priority="6">
      <formula>LEN(TRIM(F23))=0</formula>
    </cfRule>
  </conditionalFormatting>
  <conditionalFormatting sqref="C40:C51">
    <cfRule type="containsBlanks" dxfId="257" priority="3">
      <formula>LEN(TRIM(C40))=0</formula>
    </cfRule>
    <cfRule type="containsBlanks" dxfId="256" priority="4">
      <formula>LEN(TRIM(C40))=0</formula>
    </cfRule>
  </conditionalFormatting>
  <conditionalFormatting sqref="F40:F51">
    <cfRule type="containsBlanks" dxfId="255" priority="1">
      <formula>LEN(TRIM(F40))=0</formula>
    </cfRule>
    <cfRule type="containsBlanks" dxfId="254" priority="2">
      <formula>LEN(TRIM(F40))=0</formula>
    </cfRule>
  </conditionalFormatting>
  <pageMargins left="0.4498611111111111" right="9.6805555555555561E-2" top="0.75" bottom="0.75" header="0.3" footer="0.3"/>
  <pageSetup scale="82" orientation="portrait" r:id="rId1"/>
  <headerFooter>
    <oddHeader>&amp;L&amp;G&amp;R&amp;"Liberation Sans,Bold"&amp;14&amp;K00247D
EN97A: GHG Adjustments Form</oddHeader>
    <oddFooter>&amp;L&amp;"Liberation Sans,Regular"Version 1.3&amp;R&amp;"Liberation Sans,Regular"February  2022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EE6E1-624A-4CE2-8B62-87C453477863}">
  <sheetPr codeName="Sheet47"/>
  <dimension ref="B1:N53"/>
  <sheetViews>
    <sheetView view="pageLayout" zoomScaleNormal="100" zoomScaleSheetLayoutView="100" workbookViewId="0">
      <selection activeCell="K19" sqref="K19"/>
    </sheetView>
  </sheetViews>
  <sheetFormatPr defaultColWidth="7.140625" defaultRowHeight="15"/>
  <cols>
    <col min="1" max="1" width="2.42578125" customWidth="1"/>
    <col min="2" max="2" width="5.7109375" bestFit="1" customWidth="1"/>
    <col min="3" max="14" width="9.28515625" customWidth="1"/>
    <col min="15" max="15" width="2.42578125" customWidth="1"/>
  </cols>
  <sheetData>
    <row r="1" spans="2:14" ht="10.5" customHeight="1"/>
    <row r="2" spans="2:14" ht="15.75" customHeight="1">
      <c r="B2" s="92" t="s">
        <v>46</v>
      </c>
      <c r="C2" s="341" t="str">
        <f>IF(AND(C20="",C37=""),CONCATENATE("Actual Annual Energy Consumption from 2018 Utility Bills: ",C3),IF(C37="",CONCATENATE("Actual Annual Energy Consumption from 2018 Utility Bills: ",C3,", ",C20),CONCATENATE("Actual Annual Energy Consumption from 2018 Utility Bills: ",C3,", ",C20,", ",C37)))</f>
        <v>Actual Annual Energy Consumption from 2018 Utility Bills: Fuel Oil #1 Usage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3"/>
    </row>
    <row r="3" spans="2:14" s="1" customFormat="1" ht="15" customHeight="1">
      <c r="B3" s="92"/>
      <c r="C3" s="344" t="str">
        <f>CONCATENATE('4e-f. Usage to GHG'!N11," Usage")</f>
        <v>Fuel Oil #1 Usage</v>
      </c>
      <c r="D3" s="345"/>
      <c r="E3" s="346"/>
      <c r="F3" s="344" t="str">
        <f>IF(C3="ENTER Other Fuel (1) Usage","Other Fuel (1) Usage",C3)</f>
        <v>Fuel Oil #1 Usage</v>
      </c>
      <c r="G3" s="345"/>
      <c r="H3" s="346"/>
      <c r="I3" s="344" t="str">
        <f>F3</f>
        <v>Fuel Oil #1 Usage</v>
      </c>
      <c r="J3" s="345"/>
      <c r="K3" s="346"/>
      <c r="L3" s="344" t="str">
        <f>F3</f>
        <v>Fuel Oil #1 Usage</v>
      </c>
      <c r="M3" s="345"/>
      <c r="N3" s="346"/>
    </row>
    <row r="4" spans="2:14" s="1" customFormat="1" ht="10.5" customHeight="1">
      <c r="B4" s="92"/>
      <c r="C4" s="89" t="s">
        <v>31</v>
      </c>
      <c r="D4" s="338"/>
      <c r="E4" s="339"/>
      <c r="F4" s="89" t="s">
        <v>31</v>
      </c>
      <c r="G4" s="338"/>
      <c r="H4" s="339"/>
      <c r="I4" s="89" t="s">
        <v>31</v>
      </c>
      <c r="J4" s="338"/>
      <c r="K4" s="339"/>
      <c r="L4" s="89" t="s">
        <v>31</v>
      </c>
      <c r="M4" s="338"/>
      <c r="N4" s="340"/>
    </row>
    <row r="5" spans="2:14" s="1" customFormat="1" ht="43.5" customHeight="1">
      <c r="B5" s="93" t="s">
        <v>32</v>
      </c>
      <c r="C5" s="93" t="s">
        <v>33</v>
      </c>
      <c r="D5" s="93" t="s">
        <v>34</v>
      </c>
      <c r="E5" s="84" t="str">
        <f>CONCATENATE("Billed ", '4e-f. Usage to GHG'!N11," (gallons)")</f>
        <v>Billed Fuel Oil #1 (gallons)</v>
      </c>
      <c r="F5" s="93" t="s">
        <v>33</v>
      </c>
      <c r="G5" s="93" t="s">
        <v>34</v>
      </c>
      <c r="H5" s="84" t="str">
        <f>CONCATENATE("Billed ", '4e-f. Usage to GHG'!N11," (gallons)")</f>
        <v>Billed Fuel Oil #1 (gallons)</v>
      </c>
      <c r="I5" s="93" t="s">
        <v>33</v>
      </c>
      <c r="J5" s="93" t="s">
        <v>34</v>
      </c>
      <c r="K5" s="84" t="str">
        <f>CONCATENATE("Billed ", '4e-f. Usage to GHG'!N11," (gallons)")</f>
        <v>Billed Fuel Oil #1 (gallons)</v>
      </c>
      <c r="L5" s="93" t="s">
        <v>33</v>
      </c>
      <c r="M5" s="93" t="s">
        <v>34</v>
      </c>
      <c r="N5" s="84" t="str">
        <f>CONCATENATE("Billed ", '4e-f. Usage to GHG'!N11," (gallons)")</f>
        <v>Billed Fuel Oil #1 (gallons)</v>
      </c>
    </row>
    <row r="6" spans="2:14" ht="15" customHeight="1">
      <c r="B6" s="93">
        <v>1</v>
      </c>
      <c r="C6" s="48"/>
      <c r="D6" s="13"/>
      <c r="E6" s="13"/>
      <c r="F6" s="48"/>
      <c r="G6" s="13"/>
      <c r="H6" s="13"/>
      <c r="I6" s="48"/>
      <c r="J6" s="13"/>
      <c r="K6" s="13"/>
      <c r="L6" s="48"/>
      <c r="M6" s="13"/>
      <c r="N6" s="13"/>
    </row>
    <row r="7" spans="2:14">
      <c r="B7" s="93">
        <v>2</v>
      </c>
      <c r="C7" s="48"/>
      <c r="D7" s="49" t="str">
        <f>IF(C6="","",_xlfn.DAYS(C7,C6))</f>
        <v/>
      </c>
      <c r="E7" s="13"/>
      <c r="F7" s="48"/>
      <c r="G7" s="49" t="str">
        <f>IF(F6="","",_xlfn.DAYS(F7,F6))</f>
        <v/>
      </c>
      <c r="H7" s="13"/>
      <c r="I7" s="48"/>
      <c r="J7" s="49" t="str">
        <f>IF(I6="","",_xlfn.DAYS(I7,I6))</f>
        <v/>
      </c>
      <c r="K7" s="13"/>
      <c r="L7" s="48"/>
      <c r="M7" s="49" t="str">
        <f>IF(L6="","",_xlfn.DAYS(L7,L6))</f>
        <v/>
      </c>
      <c r="N7" s="13"/>
    </row>
    <row r="8" spans="2:14">
      <c r="B8" s="62">
        <v>3</v>
      </c>
      <c r="C8" s="48"/>
      <c r="D8" s="49" t="str">
        <f t="shared" ref="D8:D17" si="0">IF(C7="","",_xlfn.DAYS(C8,C7))</f>
        <v/>
      </c>
      <c r="E8" s="13"/>
      <c r="F8" s="48"/>
      <c r="G8" s="49" t="str">
        <f t="shared" ref="G8:G17" si="1">IF(F7="","",_xlfn.DAYS(F8,F7))</f>
        <v/>
      </c>
      <c r="H8" s="13"/>
      <c r="I8" s="48"/>
      <c r="J8" s="49" t="str">
        <f t="shared" ref="J8:J17" si="2">IF(I7="","",_xlfn.DAYS(I8,I7))</f>
        <v/>
      </c>
      <c r="K8" s="13"/>
      <c r="L8" s="48"/>
      <c r="M8" s="49" t="str">
        <f t="shared" ref="M8:M17" si="3">IF(L7="","",_xlfn.DAYS(L8,L7))</f>
        <v/>
      </c>
      <c r="N8" s="13"/>
    </row>
    <row r="9" spans="2:14">
      <c r="B9" s="93">
        <v>4</v>
      </c>
      <c r="C9" s="48"/>
      <c r="D9" s="49" t="str">
        <f t="shared" si="0"/>
        <v/>
      </c>
      <c r="E9" s="13"/>
      <c r="F9" s="48"/>
      <c r="G9" s="49" t="str">
        <f t="shared" si="1"/>
        <v/>
      </c>
      <c r="H9" s="13"/>
      <c r="I9" s="48"/>
      <c r="J9" s="49" t="str">
        <f t="shared" si="2"/>
        <v/>
      </c>
      <c r="K9" s="13"/>
      <c r="L9" s="48"/>
      <c r="M9" s="49" t="str">
        <f t="shared" si="3"/>
        <v/>
      </c>
      <c r="N9" s="13"/>
    </row>
    <row r="10" spans="2:14">
      <c r="B10" s="93">
        <v>5</v>
      </c>
      <c r="C10" s="48"/>
      <c r="D10" s="49" t="str">
        <f t="shared" si="0"/>
        <v/>
      </c>
      <c r="E10" s="13"/>
      <c r="F10" s="48"/>
      <c r="G10" s="49" t="str">
        <f t="shared" si="1"/>
        <v/>
      </c>
      <c r="H10" s="13"/>
      <c r="I10" s="48"/>
      <c r="J10" s="49" t="str">
        <f t="shared" si="2"/>
        <v/>
      </c>
      <c r="K10" s="13"/>
      <c r="L10" s="48"/>
      <c r="M10" s="49" t="str">
        <f t="shared" si="3"/>
        <v/>
      </c>
      <c r="N10" s="13"/>
    </row>
    <row r="11" spans="2:14">
      <c r="B11" s="93">
        <v>6</v>
      </c>
      <c r="C11" s="48"/>
      <c r="D11" s="49" t="str">
        <f t="shared" si="0"/>
        <v/>
      </c>
      <c r="E11" s="13"/>
      <c r="F11" s="48"/>
      <c r="G11" s="49" t="str">
        <f t="shared" si="1"/>
        <v/>
      </c>
      <c r="H11" s="13"/>
      <c r="I11" s="48"/>
      <c r="J11" s="49" t="str">
        <f t="shared" si="2"/>
        <v/>
      </c>
      <c r="K11" s="13"/>
      <c r="L11" s="48"/>
      <c r="M11" s="49" t="str">
        <f t="shared" si="3"/>
        <v/>
      </c>
      <c r="N11" s="13"/>
    </row>
    <row r="12" spans="2:14">
      <c r="B12" s="93">
        <v>7</v>
      </c>
      <c r="C12" s="48"/>
      <c r="D12" s="49" t="str">
        <f t="shared" si="0"/>
        <v/>
      </c>
      <c r="E12" s="13"/>
      <c r="F12" s="48"/>
      <c r="G12" s="49" t="str">
        <f t="shared" si="1"/>
        <v/>
      </c>
      <c r="H12" s="13"/>
      <c r="I12" s="48"/>
      <c r="J12" s="49" t="str">
        <f t="shared" si="2"/>
        <v/>
      </c>
      <c r="K12" s="13"/>
      <c r="L12" s="48"/>
      <c r="M12" s="49" t="str">
        <f t="shared" si="3"/>
        <v/>
      </c>
      <c r="N12" s="13"/>
    </row>
    <row r="13" spans="2:14">
      <c r="B13" s="93">
        <v>8</v>
      </c>
      <c r="C13" s="48"/>
      <c r="D13" s="49" t="str">
        <f t="shared" si="0"/>
        <v/>
      </c>
      <c r="E13" s="13"/>
      <c r="F13" s="48"/>
      <c r="G13" s="49" t="str">
        <f t="shared" si="1"/>
        <v/>
      </c>
      <c r="H13" s="13"/>
      <c r="I13" s="48"/>
      <c r="J13" s="49" t="str">
        <f t="shared" si="2"/>
        <v/>
      </c>
      <c r="K13" s="13"/>
      <c r="L13" s="48"/>
      <c r="M13" s="49" t="str">
        <f t="shared" si="3"/>
        <v/>
      </c>
      <c r="N13" s="13"/>
    </row>
    <row r="14" spans="2:14">
      <c r="B14" s="93">
        <v>9</v>
      </c>
      <c r="C14" s="48"/>
      <c r="D14" s="49" t="str">
        <f t="shared" si="0"/>
        <v/>
      </c>
      <c r="E14" s="13"/>
      <c r="F14" s="48"/>
      <c r="G14" s="49" t="str">
        <f t="shared" si="1"/>
        <v/>
      </c>
      <c r="H14" s="13"/>
      <c r="I14" s="48"/>
      <c r="J14" s="49" t="str">
        <f t="shared" si="2"/>
        <v/>
      </c>
      <c r="K14" s="13"/>
      <c r="L14" s="48"/>
      <c r="M14" s="49" t="str">
        <f t="shared" si="3"/>
        <v/>
      </c>
      <c r="N14" s="13"/>
    </row>
    <row r="15" spans="2:14">
      <c r="B15" s="93">
        <v>10</v>
      </c>
      <c r="C15" s="48"/>
      <c r="D15" s="49" t="str">
        <f t="shared" si="0"/>
        <v/>
      </c>
      <c r="E15" s="13"/>
      <c r="F15" s="48"/>
      <c r="G15" s="49" t="str">
        <f t="shared" si="1"/>
        <v/>
      </c>
      <c r="H15" s="13"/>
      <c r="I15" s="48"/>
      <c r="J15" s="49" t="str">
        <f t="shared" si="2"/>
        <v/>
      </c>
      <c r="K15" s="13"/>
      <c r="L15" s="48"/>
      <c r="M15" s="49" t="str">
        <f t="shared" si="3"/>
        <v/>
      </c>
      <c r="N15" s="13"/>
    </row>
    <row r="16" spans="2:14">
      <c r="B16" s="93">
        <v>11</v>
      </c>
      <c r="C16" s="48"/>
      <c r="D16" s="49" t="str">
        <f t="shared" si="0"/>
        <v/>
      </c>
      <c r="E16" s="13"/>
      <c r="F16" s="48"/>
      <c r="G16" s="49" t="str">
        <f t="shared" si="1"/>
        <v/>
      </c>
      <c r="H16" s="13"/>
      <c r="I16" s="48"/>
      <c r="J16" s="49" t="str">
        <f t="shared" si="2"/>
        <v/>
      </c>
      <c r="K16" s="13"/>
      <c r="L16" s="48"/>
      <c r="M16" s="49" t="str">
        <f t="shared" si="3"/>
        <v/>
      </c>
      <c r="N16" s="13"/>
    </row>
    <row r="17" spans="2:14">
      <c r="B17" s="93">
        <v>12</v>
      </c>
      <c r="C17" s="48"/>
      <c r="D17" s="49" t="str">
        <f t="shared" si="0"/>
        <v/>
      </c>
      <c r="E17" s="13"/>
      <c r="F17" s="48"/>
      <c r="G17" s="49" t="str">
        <f t="shared" si="1"/>
        <v/>
      </c>
      <c r="H17" s="13"/>
      <c r="I17" s="48"/>
      <c r="J17" s="49" t="str">
        <f t="shared" si="2"/>
        <v/>
      </c>
      <c r="K17" s="13"/>
      <c r="L17" s="48"/>
      <c r="M17" s="49" t="str">
        <f t="shared" si="3"/>
        <v/>
      </c>
      <c r="N17" s="13"/>
    </row>
    <row r="18" spans="2:14">
      <c r="C18" s="91" t="s">
        <v>37</v>
      </c>
      <c r="D18" s="49" t="str">
        <f>IF(D6="","",SUM(D6:D17))</f>
        <v/>
      </c>
      <c r="E18" s="49" t="str">
        <f>IF(E6="","",SUM(E6:E17))</f>
        <v/>
      </c>
      <c r="F18" s="91" t="s">
        <v>37</v>
      </c>
      <c r="G18" s="49" t="str">
        <f>IF(G6="","",SUM(G6:G17))</f>
        <v/>
      </c>
      <c r="H18" s="49" t="str">
        <f>IF(H6="","",SUM(H6:H17))</f>
        <v/>
      </c>
      <c r="I18" s="91" t="s">
        <v>37</v>
      </c>
      <c r="J18" s="49" t="str">
        <f>IF(J6="","",SUM(J6:J17))</f>
        <v/>
      </c>
      <c r="K18" s="49" t="str">
        <f>IF(K6="","",SUM(K6:K17))</f>
        <v/>
      </c>
      <c r="L18" s="91" t="s">
        <v>37</v>
      </c>
      <c r="M18" s="49" t="str">
        <f>IF(M6="","",SUM(M6:M17))</f>
        <v/>
      </c>
      <c r="N18" s="49" t="str">
        <f>IF(N6="","",SUM(N6:N17))</f>
        <v/>
      </c>
    </row>
    <row r="19" spans="2:14">
      <c r="B19" s="46"/>
      <c r="C19" s="60"/>
      <c r="D19" s="61"/>
      <c r="E19" s="61"/>
      <c r="F19" s="60"/>
      <c r="G19" s="61"/>
      <c r="H19" s="61"/>
      <c r="I19" s="60"/>
      <c r="J19" s="61"/>
      <c r="K19" s="61"/>
      <c r="L19" s="60"/>
      <c r="M19" s="61"/>
      <c r="N19" s="61"/>
    </row>
    <row r="20" spans="2:14" s="1" customFormat="1" ht="18" customHeight="1">
      <c r="B20" s="92"/>
      <c r="C20" s="347"/>
      <c r="D20" s="348"/>
      <c r="E20" s="349"/>
      <c r="F20" s="344">
        <f>IF(C20="ENTER Other Fuel (1) Usage","Other Fuel (1) Usage",C20)</f>
        <v>0</v>
      </c>
      <c r="G20" s="345"/>
      <c r="H20" s="346"/>
      <c r="I20" s="344">
        <f>F20</f>
        <v>0</v>
      </c>
      <c r="J20" s="345"/>
      <c r="K20" s="346"/>
      <c r="L20" s="344">
        <f>F20</f>
        <v>0</v>
      </c>
      <c r="M20" s="345"/>
      <c r="N20" s="346"/>
    </row>
    <row r="21" spans="2:14" s="1" customFormat="1" ht="14.45" customHeight="1">
      <c r="B21" s="92"/>
      <c r="C21" s="89" t="s">
        <v>31</v>
      </c>
      <c r="D21" s="338"/>
      <c r="E21" s="340"/>
      <c r="F21" s="89" t="s">
        <v>31</v>
      </c>
      <c r="G21" s="338"/>
      <c r="H21" s="340"/>
      <c r="I21" s="89" t="s">
        <v>31</v>
      </c>
      <c r="J21" s="338"/>
      <c r="K21" s="340"/>
      <c r="L21" s="89" t="s">
        <v>31</v>
      </c>
      <c r="M21" s="338"/>
      <c r="N21" s="340"/>
    </row>
    <row r="22" spans="2:14" s="1" customFormat="1" ht="45.75" customHeight="1">
      <c r="B22" s="93" t="s">
        <v>32</v>
      </c>
      <c r="C22" s="93" t="s">
        <v>33</v>
      </c>
      <c r="D22" s="93" t="s">
        <v>34</v>
      </c>
      <c r="E22" s="93" t="s">
        <v>47</v>
      </c>
      <c r="F22" s="93" t="s">
        <v>33</v>
      </c>
      <c r="G22" s="93" t="s">
        <v>34</v>
      </c>
      <c r="H22" s="93" t="s">
        <v>47</v>
      </c>
      <c r="I22" s="93" t="s">
        <v>33</v>
      </c>
      <c r="J22" s="93" t="s">
        <v>34</v>
      </c>
      <c r="K22" s="93" t="s">
        <v>47</v>
      </c>
      <c r="L22" s="93" t="s">
        <v>33</v>
      </c>
      <c r="M22" s="93" t="s">
        <v>34</v>
      </c>
      <c r="N22" s="93" t="s">
        <v>47</v>
      </c>
    </row>
    <row r="23" spans="2:14" s="1" customFormat="1" ht="14.45" customHeight="1">
      <c r="B23" s="93">
        <v>1</v>
      </c>
      <c r="C23" s="48"/>
      <c r="D23" s="13"/>
      <c r="E23" s="13"/>
      <c r="F23" s="48"/>
      <c r="G23" s="13"/>
      <c r="H23" s="13"/>
      <c r="I23" s="48"/>
      <c r="J23" s="13"/>
      <c r="K23" s="13"/>
      <c r="L23" s="48"/>
      <c r="M23" s="13"/>
      <c r="N23" s="13"/>
    </row>
    <row r="24" spans="2:14" s="1" customFormat="1" ht="14.45" customHeight="1">
      <c r="B24" s="93">
        <v>2</v>
      </c>
      <c r="C24" s="48"/>
      <c r="D24" s="49" t="str">
        <f>IF(C23="","",_xlfn.DAYS(C24,C23))</f>
        <v/>
      </c>
      <c r="E24" s="13"/>
      <c r="F24" s="48"/>
      <c r="G24" s="49" t="str">
        <f>IF(F23="","",_xlfn.DAYS(F24,F23))</f>
        <v/>
      </c>
      <c r="H24" s="13"/>
      <c r="I24" s="48"/>
      <c r="J24" s="49" t="str">
        <f>IF(I23="","",_xlfn.DAYS(I24,I23))</f>
        <v/>
      </c>
      <c r="K24" s="13"/>
      <c r="L24" s="48"/>
      <c r="M24" s="49" t="str">
        <f>IF(L23="","",_xlfn.DAYS(L24,L23))</f>
        <v/>
      </c>
      <c r="N24" s="13"/>
    </row>
    <row r="25" spans="2:14" s="1" customFormat="1" ht="14.45" customHeight="1">
      <c r="B25" s="62">
        <v>3</v>
      </c>
      <c r="C25" s="48"/>
      <c r="D25" s="49" t="str">
        <f t="shared" ref="D25:D34" si="4">IF(C24="","",_xlfn.DAYS(C25,C24))</f>
        <v/>
      </c>
      <c r="E25" s="13"/>
      <c r="F25" s="48"/>
      <c r="G25" s="49" t="str">
        <f t="shared" ref="G25:G34" si="5">IF(F24="","",_xlfn.DAYS(F25,F24))</f>
        <v/>
      </c>
      <c r="H25" s="13"/>
      <c r="I25" s="48"/>
      <c r="J25" s="49" t="str">
        <f t="shared" ref="J25:J34" si="6">IF(I24="","",_xlfn.DAYS(I25,I24))</f>
        <v/>
      </c>
      <c r="K25" s="13"/>
      <c r="L25" s="48"/>
      <c r="M25" s="49" t="str">
        <f t="shared" ref="M25:M34" si="7">IF(L24="","",_xlfn.DAYS(L25,L24))</f>
        <v/>
      </c>
      <c r="N25" s="13"/>
    </row>
    <row r="26" spans="2:14" s="1" customFormat="1" ht="14.45" customHeight="1">
      <c r="B26" s="93">
        <v>4</v>
      </c>
      <c r="C26" s="48"/>
      <c r="D26" s="49" t="str">
        <f t="shared" si="4"/>
        <v/>
      </c>
      <c r="E26" s="13"/>
      <c r="F26" s="48"/>
      <c r="G26" s="49" t="str">
        <f t="shared" si="5"/>
        <v/>
      </c>
      <c r="H26" s="13"/>
      <c r="I26" s="48"/>
      <c r="J26" s="49" t="str">
        <f t="shared" si="6"/>
        <v/>
      </c>
      <c r="K26" s="13"/>
      <c r="L26" s="48"/>
      <c r="M26" s="49" t="str">
        <f t="shared" si="7"/>
        <v/>
      </c>
      <c r="N26" s="13"/>
    </row>
    <row r="27" spans="2:14" s="1" customFormat="1" ht="14.45" customHeight="1">
      <c r="B27" s="93">
        <v>5</v>
      </c>
      <c r="C27" s="48"/>
      <c r="D27" s="49" t="str">
        <f t="shared" si="4"/>
        <v/>
      </c>
      <c r="E27" s="13"/>
      <c r="F27" s="48"/>
      <c r="G27" s="49" t="str">
        <f t="shared" si="5"/>
        <v/>
      </c>
      <c r="H27" s="13"/>
      <c r="I27" s="48"/>
      <c r="J27" s="49" t="str">
        <f t="shared" si="6"/>
        <v/>
      </c>
      <c r="K27" s="13"/>
      <c r="L27" s="48"/>
      <c r="M27" s="49" t="str">
        <f t="shared" si="7"/>
        <v/>
      </c>
      <c r="N27" s="13"/>
    </row>
    <row r="28" spans="2:14" ht="14.45" customHeight="1">
      <c r="B28" s="93">
        <v>6</v>
      </c>
      <c r="C28" s="48"/>
      <c r="D28" s="49" t="str">
        <f t="shared" si="4"/>
        <v/>
      </c>
      <c r="E28" s="13"/>
      <c r="F28" s="48"/>
      <c r="G28" s="49" t="str">
        <f t="shared" si="5"/>
        <v/>
      </c>
      <c r="H28" s="13"/>
      <c r="I28" s="48"/>
      <c r="J28" s="49" t="str">
        <f t="shared" si="6"/>
        <v/>
      </c>
      <c r="K28" s="13"/>
      <c r="L28" s="48"/>
      <c r="M28" s="49" t="str">
        <f t="shared" si="7"/>
        <v/>
      </c>
      <c r="N28" s="13"/>
    </row>
    <row r="29" spans="2:14" ht="14.45" customHeight="1">
      <c r="B29" s="93">
        <v>7</v>
      </c>
      <c r="C29" s="48"/>
      <c r="D29" s="49" t="str">
        <f t="shared" si="4"/>
        <v/>
      </c>
      <c r="E29" s="13"/>
      <c r="F29" s="48"/>
      <c r="G29" s="49" t="str">
        <f t="shared" si="5"/>
        <v/>
      </c>
      <c r="H29" s="13"/>
      <c r="I29" s="48"/>
      <c r="J29" s="49" t="str">
        <f t="shared" si="6"/>
        <v/>
      </c>
      <c r="K29" s="13"/>
      <c r="L29" s="48"/>
      <c r="M29" s="49" t="str">
        <f t="shared" si="7"/>
        <v/>
      </c>
      <c r="N29" s="13"/>
    </row>
    <row r="30" spans="2:14" ht="14.45" customHeight="1">
      <c r="B30" s="93">
        <v>8</v>
      </c>
      <c r="C30" s="48"/>
      <c r="D30" s="49" t="str">
        <f t="shared" si="4"/>
        <v/>
      </c>
      <c r="E30" s="13"/>
      <c r="F30" s="48"/>
      <c r="G30" s="49" t="str">
        <f t="shared" si="5"/>
        <v/>
      </c>
      <c r="H30" s="13"/>
      <c r="I30" s="48"/>
      <c r="J30" s="49" t="str">
        <f t="shared" si="6"/>
        <v/>
      </c>
      <c r="K30" s="13"/>
      <c r="L30" s="48"/>
      <c r="M30" s="49" t="str">
        <f t="shared" si="7"/>
        <v/>
      </c>
      <c r="N30" s="13"/>
    </row>
    <row r="31" spans="2:14" ht="14.45" customHeight="1">
      <c r="B31" s="93">
        <v>9</v>
      </c>
      <c r="C31" s="48"/>
      <c r="D31" s="49" t="str">
        <f t="shared" si="4"/>
        <v/>
      </c>
      <c r="E31" s="13"/>
      <c r="F31" s="48"/>
      <c r="G31" s="49" t="str">
        <f t="shared" si="5"/>
        <v/>
      </c>
      <c r="H31" s="13"/>
      <c r="I31" s="48"/>
      <c r="J31" s="49" t="str">
        <f t="shared" si="6"/>
        <v/>
      </c>
      <c r="K31" s="13"/>
      <c r="L31" s="48"/>
      <c r="M31" s="49" t="str">
        <f t="shared" si="7"/>
        <v/>
      </c>
      <c r="N31" s="13"/>
    </row>
    <row r="32" spans="2:14" ht="14.45" customHeight="1">
      <c r="B32" s="93">
        <v>10</v>
      </c>
      <c r="C32" s="48"/>
      <c r="D32" s="49" t="str">
        <f t="shared" si="4"/>
        <v/>
      </c>
      <c r="E32" s="13"/>
      <c r="F32" s="48"/>
      <c r="G32" s="49" t="str">
        <f t="shared" si="5"/>
        <v/>
      </c>
      <c r="H32" s="13"/>
      <c r="I32" s="48"/>
      <c r="J32" s="49" t="str">
        <f t="shared" si="6"/>
        <v/>
      </c>
      <c r="K32" s="13"/>
      <c r="L32" s="48"/>
      <c r="M32" s="49" t="str">
        <f t="shared" si="7"/>
        <v/>
      </c>
      <c r="N32" s="13"/>
    </row>
    <row r="33" spans="2:14" ht="14.45" customHeight="1">
      <c r="B33" s="93">
        <v>11</v>
      </c>
      <c r="C33" s="48"/>
      <c r="D33" s="49" t="str">
        <f t="shared" si="4"/>
        <v/>
      </c>
      <c r="E33" s="13"/>
      <c r="F33" s="48"/>
      <c r="G33" s="49" t="str">
        <f t="shared" si="5"/>
        <v/>
      </c>
      <c r="H33" s="13"/>
      <c r="I33" s="48"/>
      <c r="J33" s="49" t="str">
        <f t="shared" si="6"/>
        <v/>
      </c>
      <c r="K33" s="13"/>
      <c r="L33" s="48"/>
      <c r="M33" s="49" t="str">
        <f t="shared" si="7"/>
        <v/>
      </c>
      <c r="N33" s="13"/>
    </row>
    <row r="34" spans="2:14" ht="14.45" customHeight="1">
      <c r="B34" s="93">
        <v>12</v>
      </c>
      <c r="C34" s="48"/>
      <c r="D34" s="49" t="str">
        <f t="shared" si="4"/>
        <v/>
      </c>
      <c r="E34" s="13"/>
      <c r="F34" s="48"/>
      <c r="G34" s="49" t="str">
        <f t="shared" si="5"/>
        <v/>
      </c>
      <c r="H34" s="13"/>
      <c r="I34" s="48"/>
      <c r="J34" s="49" t="str">
        <f t="shared" si="6"/>
        <v/>
      </c>
      <c r="K34" s="13"/>
      <c r="L34" s="48"/>
      <c r="M34" s="49" t="str">
        <f t="shared" si="7"/>
        <v/>
      </c>
      <c r="N34" s="13"/>
    </row>
    <row r="35" spans="2:14">
      <c r="B35" s="89"/>
      <c r="C35" s="89" t="s">
        <v>37</v>
      </c>
      <c r="D35" s="49" t="str">
        <f>IF(D23="","",SUM(D23:D34))</f>
        <v/>
      </c>
      <c r="E35" s="49" t="str">
        <f>IF(E23="","",SUM(E23:E34))</f>
        <v/>
      </c>
      <c r="F35" s="89" t="s">
        <v>37</v>
      </c>
      <c r="G35" s="49" t="str">
        <f>IF(G23="","",SUM(G23:G34))</f>
        <v/>
      </c>
      <c r="H35" s="49" t="str">
        <f>IF(H23="","",SUM(H23:H34))</f>
        <v/>
      </c>
      <c r="I35" s="89" t="s">
        <v>37</v>
      </c>
      <c r="J35" s="49" t="str">
        <f>IF(J23="","",SUM(J23:J34))</f>
        <v/>
      </c>
      <c r="K35" s="49" t="str">
        <f>IF(K23="","",SUM(K23:K34))</f>
        <v/>
      </c>
      <c r="L35" s="89" t="s">
        <v>37</v>
      </c>
      <c r="M35" s="49" t="str">
        <f>IF(M23="","",SUM(M23:M34))</f>
        <v/>
      </c>
      <c r="N35" s="49" t="str">
        <f>IF(N23="","",SUM(N23:N34))</f>
        <v/>
      </c>
    </row>
    <row r="36" spans="2:14" ht="11.1" customHeight="1"/>
    <row r="37" spans="2:14" s="1" customFormat="1" ht="18" customHeight="1">
      <c r="B37" s="92"/>
      <c r="C37" s="347"/>
      <c r="D37" s="348"/>
      <c r="E37" s="349"/>
      <c r="F37" s="344">
        <f>IF(C37="ENTER Other Fuel (2) Usage","Other Fuel (2) Usage",C37)</f>
        <v>0</v>
      </c>
      <c r="G37" s="345"/>
      <c r="H37" s="346"/>
      <c r="I37" s="344">
        <f>F37</f>
        <v>0</v>
      </c>
      <c r="J37" s="345"/>
      <c r="K37" s="346"/>
      <c r="L37" s="344">
        <f>F37</f>
        <v>0</v>
      </c>
      <c r="M37" s="345"/>
      <c r="N37" s="346"/>
    </row>
    <row r="38" spans="2:14" s="1" customFormat="1" ht="14.45" customHeight="1">
      <c r="B38" s="92"/>
      <c r="C38" s="89" t="s">
        <v>31</v>
      </c>
      <c r="D38" s="338"/>
      <c r="E38" s="339"/>
      <c r="F38" s="89" t="s">
        <v>31</v>
      </c>
      <c r="G38" s="338"/>
      <c r="H38" s="339"/>
      <c r="I38" s="89" t="s">
        <v>31</v>
      </c>
      <c r="J38" s="338"/>
      <c r="K38" s="339"/>
      <c r="L38" s="89" t="s">
        <v>31</v>
      </c>
      <c r="M38" s="338"/>
      <c r="N38" s="340"/>
    </row>
    <row r="39" spans="2:14" s="1" customFormat="1" ht="45.75" customHeight="1">
      <c r="B39" s="93" t="s">
        <v>32</v>
      </c>
      <c r="C39" s="93" t="s">
        <v>33</v>
      </c>
      <c r="D39" s="93" t="s">
        <v>34</v>
      </c>
      <c r="E39" s="93" t="s">
        <v>47</v>
      </c>
      <c r="F39" s="93" t="s">
        <v>33</v>
      </c>
      <c r="G39" s="93" t="s">
        <v>34</v>
      </c>
      <c r="H39" s="93" t="s">
        <v>47</v>
      </c>
      <c r="I39" s="93" t="s">
        <v>33</v>
      </c>
      <c r="J39" s="93" t="s">
        <v>34</v>
      </c>
      <c r="K39" s="93" t="s">
        <v>47</v>
      </c>
      <c r="L39" s="93" t="s">
        <v>33</v>
      </c>
      <c r="M39" s="93" t="s">
        <v>34</v>
      </c>
      <c r="N39" s="93" t="s">
        <v>47</v>
      </c>
    </row>
    <row r="40" spans="2:14" ht="15" customHeight="1">
      <c r="B40" s="93">
        <v>1</v>
      </c>
      <c r="C40" s="48"/>
      <c r="D40" s="13"/>
      <c r="E40" s="13"/>
      <c r="F40" s="48"/>
      <c r="G40" s="13"/>
      <c r="H40" s="13"/>
      <c r="I40" s="48"/>
      <c r="J40" s="13"/>
      <c r="K40" s="13"/>
      <c r="L40" s="48"/>
      <c r="M40" s="13"/>
      <c r="N40" s="13"/>
    </row>
    <row r="41" spans="2:14">
      <c r="B41" s="93">
        <v>2</v>
      </c>
      <c r="C41" s="48"/>
      <c r="D41" s="49" t="str">
        <f>IF(C40="","",_xlfn.DAYS(C41,C40))</f>
        <v/>
      </c>
      <c r="E41" s="13"/>
      <c r="F41" s="48"/>
      <c r="G41" s="49" t="str">
        <f>IF(F40="","",_xlfn.DAYS(F41,F40))</f>
        <v/>
      </c>
      <c r="H41" s="13"/>
      <c r="I41" s="48"/>
      <c r="J41" s="49" t="str">
        <f>IF(I40="","",_xlfn.DAYS(I41,I40))</f>
        <v/>
      </c>
      <c r="K41" s="13"/>
      <c r="L41" s="48"/>
      <c r="M41" s="49" t="str">
        <f>IF(L40="","",_xlfn.DAYS(L41,L40))</f>
        <v/>
      </c>
      <c r="N41" s="13"/>
    </row>
    <row r="42" spans="2:14">
      <c r="B42" s="62">
        <v>3</v>
      </c>
      <c r="C42" s="48"/>
      <c r="D42" s="49" t="str">
        <f t="shared" ref="D42:D51" si="8">IF(C41="","",_xlfn.DAYS(C42,C41))</f>
        <v/>
      </c>
      <c r="E42" s="13"/>
      <c r="F42" s="48"/>
      <c r="G42" s="49" t="str">
        <f t="shared" ref="G42:G51" si="9">IF(F41="","",_xlfn.DAYS(F42,F41))</f>
        <v/>
      </c>
      <c r="H42" s="13"/>
      <c r="I42" s="48"/>
      <c r="J42" s="49" t="str">
        <f t="shared" ref="J42:J51" si="10">IF(I41="","",_xlfn.DAYS(I42,I41))</f>
        <v/>
      </c>
      <c r="K42" s="13"/>
      <c r="L42" s="48"/>
      <c r="M42" s="49" t="str">
        <f t="shared" ref="M42:M51" si="11">IF(L41="","",_xlfn.DAYS(L42,L41))</f>
        <v/>
      </c>
      <c r="N42" s="13"/>
    </row>
    <row r="43" spans="2:14">
      <c r="B43" s="93">
        <v>4</v>
      </c>
      <c r="C43" s="48"/>
      <c r="D43" s="49" t="str">
        <f t="shared" si="8"/>
        <v/>
      </c>
      <c r="E43" s="13"/>
      <c r="F43" s="48"/>
      <c r="G43" s="49" t="str">
        <f t="shared" si="9"/>
        <v/>
      </c>
      <c r="H43" s="13"/>
      <c r="I43" s="48"/>
      <c r="J43" s="49" t="str">
        <f t="shared" si="10"/>
        <v/>
      </c>
      <c r="K43" s="13"/>
      <c r="L43" s="48"/>
      <c r="M43" s="49" t="str">
        <f t="shared" si="11"/>
        <v/>
      </c>
      <c r="N43" s="13"/>
    </row>
    <row r="44" spans="2:14">
      <c r="B44" s="93">
        <v>5</v>
      </c>
      <c r="C44" s="48"/>
      <c r="D44" s="49" t="str">
        <f t="shared" si="8"/>
        <v/>
      </c>
      <c r="E44" s="13"/>
      <c r="F44" s="48"/>
      <c r="G44" s="49" t="str">
        <f t="shared" si="9"/>
        <v/>
      </c>
      <c r="H44" s="13"/>
      <c r="I44" s="48"/>
      <c r="J44" s="49" t="str">
        <f t="shared" si="10"/>
        <v/>
      </c>
      <c r="K44" s="13"/>
      <c r="L44" s="48"/>
      <c r="M44" s="49" t="str">
        <f t="shared" si="11"/>
        <v/>
      </c>
      <c r="N44" s="13"/>
    </row>
    <row r="45" spans="2:14">
      <c r="B45" s="93">
        <v>6</v>
      </c>
      <c r="C45" s="48"/>
      <c r="D45" s="49" t="str">
        <f t="shared" si="8"/>
        <v/>
      </c>
      <c r="E45" s="13"/>
      <c r="F45" s="48"/>
      <c r="G45" s="49" t="str">
        <f t="shared" si="9"/>
        <v/>
      </c>
      <c r="H45" s="13"/>
      <c r="I45" s="48"/>
      <c r="J45" s="49" t="str">
        <f t="shared" si="10"/>
        <v/>
      </c>
      <c r="K45" s="13"/>
      <c r="L45" s="48"/>
      <c r="M45" s="49" t="str">
        <f t="shared" si="11"/>
        <v/>
      </c>
      <c r="N45" s="13"/>
    </row>
    <row r="46" spans="2:14">
      <c r="B46" s="93">
        <v>7</v>
      </c>
      <c r="C46" s="48"/>
      <c r="D46" s="49" t="str">
        <f t="shared" si="8"/>
        <v/>
      </c>
      <c r="E46" s="13"/>
      <c r="F46" s="48"/>
      <c r="G46" s="49" t="str">
        <f t="shared" si="9"/>
        <v/>
      </c>
      <c r="H46" s="13"/>
      <c r="I46" s="48"/>
      <c r="J46" s="49" t="str">
        <f t="shared" si="10"/>
        <v/>
      </c>
      <c r="K46" s="13"/>
      <c r="L46" s="48"/>
      <c r="M46" s="49" t="str">
        <f t="shared" si="11"/>
        <v/>
      </c>
      <c r="N46" s="13"/>
    </row>
    <row r="47" spans="2:14">
      <c r="B47" s="93">
        <v>8</v>
      </c>
      <c r="C47" s="48"/>
      <c r="D47" s="49" t="str">
        <f t="shared" si="8"/>
        <v/>
      </c>
      <c r="E47" s="13"/>
      <c r="F47" s="48"/>
      <c r="G47" s="49" t="str">
        <f t="shared" si="9"/>
        <v/>
      </c>
      <c r="H47" s="13"/>
      <c r="I47" s="48"/>
      <c r="J47" s="49" t="str">
        <f t="shared" si="10"/>
        <v/>
      </c>
      <c r="K47" s="13"/>
      <c r="L47" s="48"/>
      <c r="M47" s="49" t="str">
        <f t="shared" si="11"/>
        <v/>
      </c>
      <c r="N47" s="13"/>
    </row>
    <row r="48" spans="2:14">
      <c r="B48" s="93">
        <v>9</v>
      </c>
      <c r="C48" s="48"/>
      <c r="D48" s="49" t="str">
        <f t="shared" si="8"/>
        <v/>
      </c>
      <c r="E48" s="13"/>
      <c r="F48" s="48"/>
      <c r="G48" s="49" t="str">
        <f t="shared" si="9"/>
        <v/>
      </c>
      <c r="H48" s="13"/>
      <c r="I48" s="48"/>
      <c r="J48" s="49" t="str">
        <f t="shared" si="10"/>
        <v/>
      </c>
      <c r="K48" s="13"/>
      <c r="L48" s="48"/>
      <c r="M48" s="49" t="str">
        <f t="shared" si="11"/>
        <v/>
      </c>
      <c r="N48" s="13"/>
    </row>
    <row r="49" spans="2:14">
      <c r="B49" s="93">
        <v>10</v>
      </c>
      <c r="C49" s="48"/>
      <c r="D49" s="49" t="str">
        <f t="shared" si="8"/>
        <v/>
      </c>
      <c r="E49" s="13"/>
      <c r="F49" s="48"/>
      <c r="G49" s="49" t="str">
        <f t="shared" si="9"/>
        <v/>
      </c>
      <c r="H49" s="13"/>
      <c r="I49" s="48"/>
      <c r="J49" s="49" t="str">
        <f t="shared" si="10"/>
        <v/>
      </c>
      <c r="K49" s="13"/>
      <c r="L49" s="48"/>
      <c r="M49" s="49" t="str">
        <f t="shared" si="11"/>
        <v/>
      </c>
      <c r="N49" s="13"/>
    </row>
    <row r="50" spans="2:14">
      <c r="B50" s="93">
        <v>11</v>
      </c>
      <c r="C50" s="48"/>
      <c r="D50" s="49" t="str">
        <f t="shared" si="8"/>
        <v/>
      </c>
      <c r="E50" s="13"/>
      <c r="F50" s="48"/>
      <c r="G50" s="49" t="str">
        <f t="shared" si="9"/>
        <v/>
      </c>
      <c r="H50" s="13"/>
      <c r="I50" s="48"/>
      <c r="J50" s="49" t="str">
        <f t="shared" si="10"/>
        <v/>
      </c>
      <c r="K50" s="13"/>
      <c r="L50" s="48"/>
      <c r="M50" s="49" t="str">
        <f t="shared" si="11"/>
        <v/>
      </c>
      <c r="N50" s="13"/>
    </row>
    <row r="51" spans="2:14">
      <c r="B51" s="93">
        <v>12</v>
      </c>
      <c r="C51" s="48"/>
      <c r="D51" s="49" t="str">
        <f t="shared" si="8"/>
        <v/>
      </c>
      <c r="E51" s="13"/>
      <c r="F51" s="48"/>
      <c r="G51" s="49" t="str">
        <f t="shared" si="9"/>
        <v/>
      </c>
      <c r="H51" s="13"/>
      <c r="I51" s="48"/>
      <c r="J51" s="49" t="str">
        <f t="shared" si="10"/>
        <v/>
      </c>
      <c r="K51" s="13"/>
      <c r="L51" s="48"/>
      <c r="M51" s="49" t="str">
        <f t="shared" si="11"/>
        <v/>
      </c>
      <c r="N51" s="13"/>
    </row>
    <row r="52" spans="2:14">
      <c r="C52" s="89" t="s">
        <v>37</v>
      </c>
      <c r="D52" s="49" t="str">
        <f>IF(D40="","",SUM(D40:D51))</f>
        <v/>
      </c>
      <c r="E52" s="49" t="str">
        <f>IF(E40="","",SUM(E40:E51))</f>
        <v/>
      </c>
      <c r="F52" s="89" t="s">
        <v>37</v>
      </c>
      <c r="G52" s="49" t="str">
        <f>IF(G40="","",SUM(G40:G51))</f>
        <v/>
      </c>
      <c r="H52" s="49" t="str">
        <f>IF(H40="","",SUM(H40:H51))</f>
        <v/>
      </c>
      <c r="I52" s="89" t="s">
        <v>37</v>
      </c>
      <c r="J52" s="49" t="str">
        <f>IF(J40="","",SUM(J40:J51))</f>
        <v/>
      </c>
      <c r="K52" s="49" t="str">
        <f>IF(K40="","",SUM(K40:K51))</f>
        <v/>
      </c>
      <c r="L52" s="89" t="s">
        <v>37</v>
      </c>
      <c r="M52" s="49" t="str">
        <f>IF(M40="","",SUM(M40:M51))</f>
        <v/>
      </c>
      <c r="N52" s="49" t="str">
        <f>IF(N40="","",SUM(N40:N51))</f>
        <v/>
      </c>
    </row>
    <row r="53" spans="2:14" ht="10.5" customHeight="1"/>
  </sheetData>
  <sheetProtection algorithmName="SHA-512" hashValue="nCAeAZrKU3/PFgV1eM8SPryYMDMMAIjPppdKgI5h/QhSgISlPlquLFYJzn0Q2J8lu8ijPsYx3VxJ51ndNLiMjQ==" saltValue="rWmjYshRdzFSjXFP0PfaCA==" spinCount="100000" sheet="1" formatCells="0" formatColumns="0" formatRows="0"/>
  <mergeCells count="25">
    <mergeCell ref="C37:E37"/>
    <mergeCell ref="F37:H37"/>
    <mergeCell ref="I37:K37"/>
    <mergeCell ref="L37:N37"/>
    <mergeCell ref="D38:E38"/>
    <mergeCell ref="G38:H38"/>
    <mergeCell ref="J38:K38"/>
    <mergeCell ref="M38:N38"/>
    <mergeCell ref="C20:E20"/>
    <mergeCell ref="F20:H20"/>
    <mergeCell ref="I20:K20"/>
    <mergeCell ref="L20:N20"/>
    <mergeCell ref="D21:E21"/>
    <mergeCell ref="G21:H21"/>
    <mergeCell ref="J21:K21"/>
    <mergeCell ref="M21:N21"/>
    <mergeCell ref="D4:E4"/>
    <mergeCell ref="G4:H4"/>
    <mergeCell ref="J4:K4"/>
    <mergeCell ref="M4:N4"/>
    <mergeCell ref="C2:N2"/>
    <mergeCell ref="C3:E3"/>
    <mergeCell ref="F3:H3"/>
    <mergeCell ref="I3:K3"/>
    <mergeCell ref="L3:N3"/>
  </mergeCells>
  <conditionalFormatting sqref="C23:E23 G23:H23 H24:H33 C24:C33 E24:E33">
    <cfRule type="containsBlanks" dxfId="253" priority="122">
      <formula>LEN(TRIM(C23))=0</formula>
    </cfRule>
    <cfRule type="containsBlanks" dxfId="252" priority="123">
      <formula>LEN(TRIM(C23))=0</formula>
    </cfRule>
  </conditionalFormatting>
  <conditionalFormatting sqref="C34 H34 E34">
    <cfRule type="containsBlanks" dxfId="251" priority="120">
      <formula>LEN(TRIM(C34))=0</formula>
    </cfRule>
    <cfRule type="containsBlanks" dxfId="250" priority="121">
      <formula>LEN(TRIM(C34))=0</formula>
    </cfRule>
  </conditionalFormatting>
  <conditionalFormatting sqref="F23:F33">
    <cfRule type="containsBlanks" dxfId="249" priority="118">
      <formula>LEN(TRIM(F23))=0</formula>
    </cfRule>
    <cfRule type="containsBlanks" dxfId="248" priority="119">
      <formula>LEN(TRIM(F23))=0</formula>
    </cfRule>
  </conditionalFormatting>
  <conditionalFormatting sqref="F34">
    <cfRule type="containsBlanks" dxfId="247" priority="116">
      <formula>LEN(TRIM(F34))=0</formula>
    </cfRule>
    <cfRule type="containsBlanks" dxfId="246" priority="117">
      <formula>LEN(TRIM(F34))=0</formula>
    </cfRule>
  </conditionalFormatting>
  <conditionalFormatting sqref="D21">
    <cfRule type="containsBlanks" dxfId="245" priority="114">
      <formula>LEN(TRIM(D21))=0</formula>
    </cfRule>
    <cfRule type="containsBlanks" dxfId="244" priority="115">
      <formula>LEN(TRIM(D21))=0</formula>
    </cfRule>
  </conditionalFormatting>
  <conditionalFormatting sqref="G21">
    <cfRule type="containsBlanks" dxfId="243" priority="88">
      <formula>LEN(TRIM(G21))=0</formula>
    </cfRule>
    <cfRule type="containsBlanks" dxfId="242" priority="89">
      <formula>LEN(TRIM(G21))=0</formula>
    </cfRule>
  </conditionalFormatting>
  <conditionalFormatting sqref="J23:K23 K24:K33">
    <cfRule type="containsBlanks" dxfId="241" priority="112">
      <formula>LEN(TRIM(J23))=0</formula>
    </cfRule>
    <cfRule type="containsBlanks" dxfId="240" priority="113">
      <formula>LEN(TRIM(J23))=0</formula>
    </cfRule>
  </conditionalFormatting>
  <conditionalFormatting sqref="K34">
    <cfRule type="containsBlanks" dxfId="239" priority="110">
      <formula>LEN(TRIM(K34))=0</formula>
    </cfRule>
    <cfRule type="containsBlanks" dxfId="238" priority="111">
      <formula>LEN(TRIM(K34))=0</formula>
    </cfRule>
  </conditionalFormatting>
  <conditionalFormatting sqref="I23:I33">
    <cfRule type="containsBlanks" dxfId="237" priority="108">
      <formula>LEN(TRIM(I23))=0</formula>
    </cfRule>
    <cfRule type="containsBlanks" dxfId="236" priority="109">
      <formula>LEN(TRIM(I23))=0</formula>
    </cfRule>
  </conditionalFormatting>
  <conditionalFormatting sqref="I34">
    <cfRule type="containsBlanks" dxfId="235" priority="106">
      <formula>LEN(TRIM(I34))=0</formula>
    </cfRule>
    <cfRule type="containsBlanks" dxfId="234" priority="107">
      <formula>LEN(TRIM(I34))=0</formula>
    </cfRule>
  </conditionalFormatting>
  <conditionalFormatting sqref="C40:E40 G40:H40 H41:H50 C41:C50 E41:E50">
    <cfRule type="containsBlanks" dxfId="233" priority="104">
      <formula>LEN(TRIM(C40))=0</formula>
    </cfRule>
    <cfRule type="containsBlanks" dxfId="232" priority="105">
      <formula>LEN(TRIM(C40))=0</formula>
    </cfRule>
  </conditionalFormatting>
  <conditionalFormatting sqref="C51 H51 E51">
    <cfRule type="containsBlanks" dxfId="231" priority="102">
      <formula>LEN(TRIM(C51))=0</formula>
    </cfRule>
    <cfRule type="containsBlanks" dxfId="230" priority="103">
      <formula>LEN(TRIM(C51))=0</formula>
    </cfRule>
  </conditionalFormatting>
  <conditionalFormatting sqref="F40:F50">
    <cfRule type="containsBlanks" dxfId="229" priority="100">
      <formula>LEN(TRIM(F40))=0</formula>
    </cfRule>
    <cfRule type="containsBlanks" dxfId="228" priority="101">
      <formula>LEN(TRIM(F40))=0</formula>
    </cfRule>
  </conditionalFormatting>
  <conditionalFormatting sqref="F51">
    <cfRule type="containsBlanks" dxfId="227" priority="98">
      <formula>LEN(TRIM(F51))=0</formula>
    </cfRule>
    <cfRule type="containsBlanks" dxfId="226" priority="99">
      <formula>LEN(TRIM(F51))=0</formula>
    </cfRule>
  </conditionalFormatting>
  <conditionalFormatting sqref="F17">
    <cfRule type="containsBlanks" dxfId="225" priority="78">
      <formula>LEN(TRIM(F17))=0</formula>
    </cfRule>
    <cfRule type="containsBlanks" dxfId="224" priority="79">
      <formula>LEN(TRIM(F17))=0</formula>
    </cfRule>
  </conditionalFormatting>
  <conditionalFormatting sqref="J40:K40 K41:K50">
    <cfRule type="containsBlanks" dxfId="223" priority="96">
      <formula>LEN(TRIM(J40))=0</formula>
    </cfRule>
    <cfRule type="containsBlanks" dxfId="222" priority="97">
      <formula>LEN(TRIM(J40))=0</formula>
    </cfRule>
  </conditionalFormatting>
  <conditionalFormatting sqref="K51">
    <cfRule type="containsBlanks" dxfId="221" priority="94">
      <formula>LEN(TRIM(K51))=0</formula>
    </cfRule>
    <cfRule type="containsBlanks" dxfId="220" priority="95">
      <formula>LEN(TRIM(K51))=0</formula>
    </cfRule>
  </conditionalFormatting>
  <conditionalFormatting sqref="I40:I50">
    <cfRule type="containsBlanks" dxfId="219" priority="92">
      <formula>LEN(TRIM(I40))=0</formula>
    </cfRule>
    <cfRule type="containsBlanks" dxfId="218" priority="93">
      <formula>LEN(TRIM(I40))=0</formula>
    </cfRule>
  </conditionalFormatting>
  <conditionalFormatting sqref="I51">
    <cfRule type="containsBlanks" dxfId="217" priority="90">
      <formula>LEN(TRIM(I51))=0</formula>
    </cfRule>
    <cfRule type="containsBlanks" dxfId="216" priority="91">
      <formula>LEN(TRIM(I51))=0</formula>
    </cfRule>
  </conditionalFormatting>
  <conditionalFormatting sqref="I17">
    <cfRule type="containsBlanks" dxfId="215" priority="70">
      <formula>LEN(TRIM(I17))=0</formula>
    </cfRule>
    <cfRule type="containsBlanks" dxfId="214" priority="71">
      <formula>LEN(TRIM(I17))=0</formula>
    </cfRule>
  </conditionalFormatting>
  <conditionalFormatting sqref="J21">
    <cfRule type="containsBlanks" dxfId="213" priority="86">
      <formula>LEN(TRIM(J21))=0</formula>
    </cfRule>
    <cfRule type="containsBlanks" dxfId="212" priority="87">
      <formula>LEN(TRIM(J21))=0</formula>
    </cfRule>
  </conditionalFormatting>
  <conditionalFormatting sqref="C6:E6 G6:H6 H7:H16 C7:C16 E7:E16">
    <cfRule type="containsBlanks" dxfId="211" priority="84">
      <formula>LEN(TRIM(C6))=0</formula>
    </cfRule>
    <cfRule type="containsBlanks" dxfId="210" priority="85">
      <formula>LEN(TRIM(C6))=0</formula>
    </cfRule>
  </conditionalFormatting>
  <conditionalFormatting sqref="C17 H17 E17">
    <cfRule type="containsBlanks" dxfId="209" priority="82">
      <formula>LEN(TRIM(C17))=0</formula>
    </cfRule>
    <cfRule type="containsBlanks" dxfId="208" priority="83">
      <formula>LEN(TRIM(C17))=0</formula>
    </cfRule>
  </conditionalFormatting>
  <conditionalFormatting sqref="F6:F16">
    <cfRule type="containsBlanks" dxfId="207" priority="80">
      <formula>LEN(TRIM(F6))=0</formula>
    </cfRule>
    <cfRule type="containsBlanks" dxfId="206" priority="81">
      <formula>LEN(TRIM(F6))=0</formula>
    </cfRule>
  </conditionalFormatting>
  <conditionalFormatting sqref="K17">
    <cfRule type="containsBlanks" dxfId="205" priority="74">
      <formula>LEN(TRIM(K17))=0</formula>
    </cfRule>
    <cfRule type="containsBlanks" dxfId="204" priority="75">
      <formula>LEN(TRIM(K17))=0</formula>
    </cfRule>
  </conditionalFormatting>
  <conditionalFormatting sqref="J6:K6 K7:K16">
    <cfRule type="containsBlanks" dxfId="203" priority="76">
      <formula>LEN(TRIM(J6))=0</formula>
    </cfRule>
    <cfRule type="containsBlanks" dxfId="202" priority="77">
      <formula>LEN(TRIM(J6))=0</formula>
    </cfRule>
  </conditionalFormatting>
  <conditionalFormatting sqref="I6:I16">
    <cfRule type="containsBlanks" dxfId="201" priority="72">
      <formula>LEN(TRIM(I6))=0</formula>
    </cfRule>
    <cfRule type="containsBlanks" dxfId="200" priority="73">
      <formula>LEN(TRIM(I6))=0</formula>
    </cfRule>
  </conditionalFormatting>
  <conditionalFormatting sqref="D38">
    <cfRule type="containsBlanks" dxfId="199" priority="68">
      <formula>LEN(TRIM(D38))=0</formula>
    </cfRule>
    <cfRule type="containsBlanks" dxfId="198" priority="69">
      <formula>LEN(TRIM(D38))=0</formula>
    </cfRule>
  </conditionalFormatting>
  <conditionalFormatting sqref="D4">
    <cfRule type="containsBlanks" dxfId="197" priority="66">
      <formula>LEN(TRIM(D4))=0</formula>
    </cfRule>
    <cfRule type="containsBlanks" dxfId="196" priority="67">
      <formula>LEN(TRIM(D4))=0</formula>
    </cfRule>
  </conditionalFormatting>
  <conditionalFormatting sqref="G38">
    <cfRule type="containsBlanks" dxfId="195" priority="64">
      <formula>LEN(TRIM(G38))=0</formula>
    </cfRule>
    <cfRule type="containsBlanks" dxfId="194" priority="65">
      <formula>LEN(TRIM(G38))=0</formula>
    </cfRule>
  </conditionalFormatting>
  <conditionalFormatting sqref="J38">
    <cfRule type="containsBlanks" dxfId="193" priority="62">
      <formula>LEN(TRIM(J38))=0</formula>
    </cfRule>
    <cfRule type="containsBlanks" dxfId="192" priority="63">
      <formula>LEN(TRIM(J38))=0</formula>
    </cfRule>
  </conditionalFormatting>
  <conditionalFormatting sqref="G4">
    <cfRule type="containsBlanks" dxfId="191" priority="60">
      <formula>LEN(TRIM(G4))=0</formula>
    </cfRule>
    <cfRule type="containsBlanks" dxfId="190" priority="61">
      <formula>LEN(TRIM(G4))=0</formula>
    </cfRule>
  </conditionalFormatting>
  <conditionalFormatting sqref="J4">
    <cfRule type="containsBlanks" dxfId="189" priority="58">
      <formula>LEN(TRIM(J4))=0</formula>
    </cfRule>
    <cfRule type="containsBlanks" dxfId="188" priority="59">
      <formula>LEN(TRIM(J4))=0</formula>
    </cfRule>
  </conditionalFormatting>
  <conditionalFormatting sqref="M23:N23 N24:N33">
    <cfRule type="containsBlanks" dxfId="187" priority="56">
      <formula>LEN(TRIM(M23))=0</formula>
    </cfRule>
    <cfRule type="containsBlanks" dxfId="186" priority="57">
      <formula>LEN(TRIM(M23))=0</formula>
    </cfRule>
  </conditionalFormatting>
  <conditionalFormatting sqref="N34">
    <cfRule type="containsBlanks" dxfId="185" priority="54">
      <formula>LEN(TRIM(N34))=0</formula>
    </cfRule>
    <cfRule type="containsBlanks" dxfId="184" priority="55">
      <formula>LEN(TRIM(N34))=0</formula>
    </cfRule>
  </conditionalFormatting>
  <conditionalFormatting sqref="L23:L33">
    <cfRule type="containsBlanks" dxfId="183" priority="52">
      <formula>LEN(TRIM(L23))=0</formula>
    </cfRule>
    <cfRule type="containsBlanks" dxfId="182" priority="53">
      <formula>LEN(TRIM(L23))=0</formula>
    </cfRule>
  </conditionalFormatting>
  <conditionalFormatting sqref="L34">
    <cfRule type="containsBlanks" dxfId="181" priority="50">
      <formula>LEN(TRIM(L34))=0</formula>
    </cfRule>
    <cfRule type="containsBlanks" dxfId="180" priority="51">
      <formula>LEN(TRIM(L34))=0</formula>
    </cfRule>
  </conditionalFormatting>
  <conditionalFormatting sqref="M40:N40 N41:N50">
    <cfRule type="containsBlanks" dxfId="179" priority="48">
      <formula>LEN(TRIM(M40))=0</formula>
    </cfRule>
    <cfRule type="containsBlanks" dxfId="178" priority="49">
      <formula>LEN(TRIM(M40))=0</formula>
    </cfRule>
  </conditionalFormatting>
  <conditionalFormatting sqref="N51">
    <cfRule type="containsBlanks" dxfId="177" priority="46">
      <formula>LEN(TRIM(N51))=0</formula>
    </cfRule>
    <cfRule type="containsBlanks" dxfId="176" priority="47">
      <formula>LEN(TRIM(N51))=0</formula>
    </cfRule>
  </conditionalFormatting>
  <conditionalFormatting sqref="L40:L50">
    <cfRule type="containsBlanks" dxfId="175" priority="44">
      <formula>LEN(TRIM(L40))=0</formula>
    </cfRule>
    <cfRule type="containsBlanks" dxfId="174" priority="45">
      <formula>LEN(TRIM(L40))=0</formula>
    </cfRule>
  </conditionalFormatting>
  <conditionalFormatting sqref="L51">
    <cfRule type="containsBlanks" dxfId="173" priority="42">
      <formula>LEN(TRIM(L51))=0</formula>
    </cfRule>
    <cfRule type="containsBlanks" dxfId="172" priority="43">
      <formula>LEN(TRIM(L51))=0</formula>
    </cfRule>
  </conditionalFormatting>
  <conditionalFormatting sqref="L17">
    <cfRule type="containsBlanks" dxfId="171" priority="32">
      <formula>LEN(TRIM(L17))=0</formula>
    </cfRule>
    <cfRule type="containsBlanks" dxfId="170" priority="33">
      <formula>LEN(TRIM(L17))=0</formula>
    </cfRule>
  </conditionalFormatting>
  <conditionalFormatting sqref="M21">
    <cfRule type="containsBlanks" dxfId="169" priority="40">
      <formula>LEN(TRIM(M21))=0</formula>
    </cfRule>
    <cfRule type="containsBlanks" dxfId="168" priority="41">
      <formula>LEN(TRIM(M21))=0</formula>
    </cfRule>
  </conditionalFormatting>
  <conditionalFormatting sqref="N17">
    <cfRule type="containsBlanks" dxfId="167" priority="36">
      <formula>LEN(TRIM(N17))=0</formula>
    </cfRule>
    <cfRule type="containsBlanks" dxfId="166" priority="37">
      <formula>LEN(TRIM(N17))=0</formula>
    </cfRule>
  </conditionalFormatting>
  <conditionalFormatting sqref="M6:N6 N7:N16">
    <cfRule type="containsBlanks" dxfId="165" priority="38">
      <formula>LEN(TRIM(M6))=0</formula>
    </cfRule>
    <cfRule type="containsBlanks" dxfId="164" priority="39">
      <formula>LEN(TRIM(M6))=0</formula>
    </cfRule>
  </conditionalFormatting>
  <conditionalFormatting sqref="L6:L16">
    <cfRule type="containsBlanks" dxfId="163" priority="34">
      <formula>LEN(TRIM(L6))=0</formula>
    </cfRule>
    <cfRule type="containsBlanks" dxfId="162" priority="35">
      <formula>LEN(TRIM(L6))=0</formula>
    </cfRule>
  </conditionalFormatting>
  <conditionalFormatting sqref="M38">
    <cfRule type="containsBlanks" dxfId="161" priority="30">
      <formula>LEN(TRIM(M38))=0</formula>
    </cfRule>
    <cfRule type="containsBlanks" dxfId="160" priority="31">
      <formula>LEN(TRIM(M38))=0</formula>
    </cfRule>
  </conditionalFormatting>
  <conditionalFormatting sqref="M4">
    <cfRule type="containsBlanks" dxfId="159" priority="28">
      <formula>LEN(TRIM(M4))=0</formula>
    </cfRule>
    <cfRule type="containsBlanks" dxfId="158" priority="29">
      <formula>LEN(TRIM(M4))=0</formula>
    </cfRule>
  </conditionalFormatting>
  <conditionalFormatting sqref="C20">
    <cfRule type="containsBlanks" dxfId="157" priority="11">
      <formula>LEN(TRIM(C20))=0</formula>
    </cfRule>
    <cfRule type="containsBlanks" dxfId="156" priority="12">
      <formula>LEN(TRIM(C20))=0</formula>
    </cfRule>
  </conditionalFormatting>
  <conditionalFormatting sqref="C20:E20">
    <cfRule type="containsText" dxfId="155" priority="10" operator="containsText" text="OTHER FUEL">
      <formula>NOT(ISERROR(SEARCH("OTHER FUEL",C20)))</formula>
    </cfRule>
  </conditionalFormatting>
  <conditionalFormatting sqref="C37">
    <cfRule type="containsBlanks" dxfId="154" priority="2">
      <formula>LEN(TRIM(C37))=0</formula>
    </cfRule>
    <cfRule type="containsBlanks" dxfId="153" priority="3">
      <formula>LEN(TRIM(C37))=0</formula>
    </cfRule>
  </conditionalFormatting>
  <conditionalFormatting sqref="C37:E37">
    <cfRule type="containsText" dxfId="152" priority="1" operator="containsText" text="OTHER FUEL">
      <formula>NOT(ISERROR(SEARCH("OTHER FUEL",C37)))</formula>
    </cfRule>
  </conditionalFormatting>
  <pageMargins left="0.4498611111111111" right="0.35020833333333334" top="0.75" bottom="0.75" header="0.3" footer="0.3"/>
  <pageSetup scale="82" orientation="portrait" r:id="rId1"/>
  <headerFooter>
    <oddHeader>&amp;L&amp;G&amp;R&amp;"Liberation Sans,Bold"&amp;14&amp;K00247D
EN97A: GHG Adjustments Form</oddHeader>
    <oddFooter>&amp;L&amp;"Liberation Sans,Regular"Version 1.3&amp;R&amp;"Liberation Sans,Regular"February  2022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70B5E-55DB-42F8-9969-DE9FF1506BD0}">
  <sheetPr codeName="Sheet5"/>
  <dimension ref="A3:O39"/>
  <sheetViews>
    <sheetView view="pageLayout" zoomScaleNormal="100" zoomScaleSheetLayoutView="100" workbookViewId="0">
      <selection activeCell="O18" sqref="O18"/>
    </sheetView>
  </sheetViews>
  <sheetFormatPr defaultColWidth="8.85546875" defaultRowHeight="15"/>
  <cols>
    <col min="1" max="1" width="3.85546875" customWidth="1"/>
    <col min="2" max="2" width="5.28515625" customWidth="1"/>
    <col min="3" max="12" width="8.85546875" customWidth="1"/>
    <col min="13" max="13" width="2.85546875" customWidth="1"/>
    <col min="14" max="14" width="10.7109375" customWidth="1"/>
    <col min="15" max="15" width="11" bestFit="1" customWidth="1"/>
  </cols>
  <sheetData>
    <row r="3" spans="1:15" s="51" customFormat="1" ht="21" customHeight="1">
      <c r="A3" s="259" t="s">
        <v>48</v>
      </c>
      <c r="B3" s="351" t="s">
        <v>976</v>
      </c>
      <c r="C3" s="351"/>
      <c r="D3" s="351"/>
      <c r="E3" s="351"/>
      <c r="F3" s="351"/>
      <c r="G3" s="351"/>
      <c r="H3" s="351"/>
      <c r="I3" s="351"/>
      <c r="J3" s="351"/>
      <c r="K3" s="351"/>
      <c r="L3" s="351"/>
    </row>
    <row r="4" spans="1:15" s="1" customFormat="1" ht="22.5" customHeight="1">
      <c r="A4" s="352"/>
      <c r="B4" s="352"/>
      <c r="C4" s="341" t="s">
        <v>49</v>
      </c>
      <c r="D4" s="342"/>
      <c r="E4" s="342"/>
      <c r="F4" s="342"/>
      <c r="G4" s="342"/>
      <c r="H4" s="342"/>
      <c r="I4" s="342"/>
      <c r="J4" s="342"/>
      <c r="K4" s="342"/>
      <c r="L4" s="343"/>
      <c r="N4" s="258" t="s">
        <v>50</v>
      </c>
    </row>
    <row r="5" spans="1:15" s="1" customFormat="1" ht="54.75" customHeight="1">
      <c r="A5" s="350"/>
      <c r="B5" s="350"/>
      <c r="C5" s="90" t="s">
        <v>51</v>
      </c>
      <c r="D5" s="90" t="s">
        <v>52</v>
      </c>
      <c r="E5" s="90" t="s">
        <v>53</v>
      </c>
      <c r="F5" s="74" t="s">
        <v>54</v>
      </c>
      <c r="G5" s="65" t="str">
        <f>CONCATENATE(N9," Usage (kBTU) ")</f>
        <v xml:space="preserve">#2 Fuel Oil Usage (kBTU) </v>
      </c>
      <c r="H5" s="65" t="str">
        <f>CONCATENATE(N10," Usage (kBTU) ")</f>
        <v xml:space="preserve">Fuel Oil #5/6 Usage (kBTU) </v>
      </c>
      <c r="I5" s="65" t="str">
        <f>CONCATENATE(N11," Usage (kBTU) ")</f>
        <v xml:space="preserve">Fuel Oil #1 Usage (kBTU) </v>
      </c>
      <c r="J5" s="65" t="str">
        <f>CONCATENATE('4d. Utility Bills - Other'!F20," Usage (kBTU) ")</f>
        <v xml:space="preserve">0 Usage (kBTU) </v>
      </c>
      <c r="K5" s="65" t="str">
        <f>CONCATENATE('4d. Utility Bills - Other'!F37," Usage (kBTU)")</f>
        <v>0 Usage (kBTU)</v>
      </c>
      <c r="L5" s="90" t="s">
        <v>55</v>
      </c>
      <c r="N5" s="90" t="s">
        <v>56</v>
      </c>
      <c r="O5" s="90" t="s">
        <v>57</v>
      </c>
    </row>
    <row r="6" spans="1:15" s="1" customFormat="1" ht="21.75" customHeight="1">
      <c r="A6" s="350" t="s">
        <v>58</v>
      </c>
      <c r="B6" s="350"/>
      <c r="C6" s="16">
        <f>SUM('4a.1 Utility Bills - Electric'!E6,'4a.1 Utility Bills - Electric'!I6,'4a.1 Utility Bills - Electric'!M6,'4a.1 Utility Bills - Electric'!E23,'4a.1 Utility Bills - Electric'!I23,'4a.1 Utility Bills - Electric'!M23,'4a.1 Utility Bills - Electric'!E40,'4a.1 Utility Bills - Electric'!I40,'4a.1 Utility Bills - Electric'!M40,'4a.2 Utility Bills - Elec add''l'!E6,'4a.2 Utility Bills - Elec add''l'!I6,'4a.2 Utility Bills - Elec add''l'!M6,'4a.2 Utility Bills - Elec add''l'!E23,'4a.2 Utility Bills - Elec add''l'!I23,'4a.2 Utility Bills - Elec add''l'!M23,'4a.2 Utility Bills - Elec add''l'!E40,'4a.2 Utility Bills - Elec add''l'!I40,'4a.2 Utility Bills - Elec add''l'!M40)</f>
        <v>0</v>
      </c>
      <c r="D6" s="16">
        <f>SUM('4a.1 Utility Bills - Electric'!F6,'4a.1 Utility Bills - Electric'!J6,'4a.1 Utility Bills - Electric'!N6,'4a.1 Utility Bills - Electric'!F23,'4a.1 Utility Bills - Electric'!J23,'4a.1 Utility Bills - Electric'!N23,'4a.1 Utility Bills - Electric'!F40,'4a.1 Utility Bills - Electric'!J40,'4a.1 Utility Bills - Electric'!N40,'4a.2 Utility Bills - Elec add''l'!F6,'4a.2 Utility Bills - Elec add''l'!J6,'4a.2 Utility Bills - Elec add''l'!N6,'4a.2 Utility Bills - Elec add''l'!F23,'4a.2 Utility Bills - Elec add''l'!J23,'4a.2 Utility Bills - Elec add''l'!N23,'4a.2 Utility Bills - Elec add''l'!F40,'4a.2 Utility Bills - Elec add''l'!J40,'4a.2 Utility Bills - Elec add''l'!N40)</f>
        <v>0</v>
      </c>
      <c r="E6" s="16">
        <f>SUM('4b. Utility Bills - Nat.Gas'!E6,'4b. Utility Bills - Nat.Gas'!H6,'4b. Utility Bills - Nat.Gas'!K6,'4b. Utility Bills - Nat.Gas'!E23,'4b. Utility Bills - Nat.Gas'!H23,'4b. Utility Bills - Nat.Gas'!K23,'4b. Utility Bills - Nat.Gas'!E40,'4b. Utility Bills - Nat.Gas'!H40,'4b. Utility Bills - Nat.Gas'!K40)</f>
        <v>0</v>
      </c>
      <c r="F6" s="16">
        <f>SUM('4c. Utility Bills - Steam,Other'!E6,'4c. Utility Bills - Steam,Other'!H6,'4c. Utility Bills - Steam,Other'!K6,'4c. Utility Bills - Steam,Other'!N6)*1194</f>
        <v>0</v>
      </c>
      <c r="G6" s="16">
        <f>SUM('4c. Utility Bills - Steam,Other'!E23,'4c. Utility Bills - Steam,Other'!H23,'4c. Utility Bills - Steam,Other'!K23,'4c. Utility Bills - Steam,Other'!N23)*VLOOKUP($N$9,Lists!$G$139:$I$146,3)</f>
        <v>0</v>
      </c>
      <c r="H6" s="16">
        <f>SUM('4c. Utility Bills - Steam,Other'!E40,'4c. Utility Bills - Steam,Other'!H40,'4c. Utility Bills - Steam,Other'!K40,'4c. Utility Bills - Steam,Other'!N40)*VLOOKUP($N$10,Lists!$G$139:$I$146,3)</f>
        <v>0</v>
      </c>
      <c r="I6" s="16">
        <f>SUM('4d. Utility Bills - Other'!E6,'4d. Utility Bills - Other'!H6,'4d. Utility Bills - Other'!K6,'4d. Utility Bills - Other'!N6)*VLOOKUP($N$11,Lists!$G$139:$I$146,3)</f>
        <v>0</v>
      </c>
      <c r="J6" s="16">
        <f>SUM('4d. Utility Bills - Other'!E23,'4d. Utility Bills - Other'!H23,'4d. Utility Bills - Other'!K23,'4d. Utility Bills - Other'!N23)</f>
        <v>0</v>
      </c>
      <c r="K6" s="16">
        <f>SUM('4d. Utility Bills - Other'!E40,'4d. Utility Bills - Other'!H40,'4d. Utility Bills - Other'!K40,'4d. Utility Bills - Other'!N40)</f>
        <v>0</v>
      </c>
      <c r="L6" s="14"/>
      <c r="N6" s="74" t="s">
        <v>59</v>
      </c>
      <c r="O6" s="75">
        <v>2.8896199999999998E-4</v>
      </c>
    </row>
    <row r="7" spans="1:15" s="1" customFormat="1" ht="21.75" customHeight="1">
      <c r="A7" s="350" t="s">
        <v>60</v>
      </c>
      <c r="B7" s="350"/>
      <c r="C7" s="16">
        <f>SUM('4a.1 Utility Bills - Electric'!E7,'4a.1 Utility Bills - Electric'!I7,'4a.1 Utility Bills - Electric'!M7,'4a.1 Utility Bills - Electric'!E24,'4a.1 Utility Bills - Electric'!I24,'4a.1 Utility Bills - Electric'!M24,'4a.1 Utility Bills - Electric'!E41,'4a.1 Utility Bills - Electric'!I41,'4a.1 Utility Bills - Electric'!M41,'4a.2 Utility Bills - Elec add''l'!E7,'4a.2 Utility Bills - Elec add''l'!I7,'4a.2 Utility Bills - Elec add''l'!M7,'4a.2 Utility Bills - Elec add''l'!E24,'4a.2 Utility Bills - Elec add''l'!I24,'4a.2 Utility Bills - Elec add''l'!M24,'4a.2 Utility Bills - Elec add''l'!E41,'4a.2 Utility Bills - Elec add''l'!I41,'4a.2 Utility Bills - Elec add''l'!M41)</f>
        <v>0</v>
      </c>
      <c r="D7" s="16">
        <f>SUM('4a.1 Utility Bills - Electric'!F7,'4a.1 Utility Bills - Electric'!J7,'4a.1 Utility Bills - Electric'!N7,'4a.1 Utility Bills - Electric'!F24,'4a.1 Utility Bills - Electric'!J24,'4a.1 Utility Bills - Electric'!N24,'4a.1 Utility Bills - Electric'!F41,'4a.1 Utility Bills - Electric'!J41,'4a.1 Utility Bills - Electric'!N41,'4a.2 Utility Bills - Elec add''l'!F7,'4a.2 Utility Bills - Elec add''l'!J7,'4a.2 Utility Bills - Elec add''l'!N7,'4a.2 Utility Bills - Elec add''l'!F24,'4a.2 Utility Bills - Elec add''l'!J24,'4a.2 Utility Bills - Elec add''l'!N24,'4a.2 Utility Bills - Elec add''l'!F41,'4a.2 Utility Bills - Elec add''l'!J41,'4a.2 Utility Bills - Elec add''l'!N41)</f>
        <v>0</v>
      </c>
      <c r="E7" s="16">
        <f>SUM('4b. Utility Bills - Nat.Gas'!E7,'4b. Utility Bills - Nat.Gas'!H7,'4b. Utility Bills - Nat.Gas'!K7,'4b. Utility Bills - Nat.Gas'!E24,'4b. Utility Bills - Nat.Gas'!H24,'4b. Utility Bills - Nat.Gas'!K24,'4b. Utility Bills - Nat.Gas'!E41,'4b. Utility Bills - Nat.Gas'!H41,'4b. Utility Bills - Nat.Gas'!K41)</f>
        <v>0</v>
      </c>
      <c r="F7" s="16">
        <f>SUM('4c. Utility Bills - Steam,Other'!E7,'4c. Utility Bills - Steam,Other'!H7,'4c. Utility Bills - Steam,Other'!K7,'4c. Utility Bills - Steam,Other'!N7)*1194</f>
        <v>0</v>
      </c>
      <c r="G7" s="16">
        <f>SUM('4c. Utility Bills - Steam,Other'!E24,'4c. Utility Bills - Steam,Other'!H24,'4c. Utility Bills - Steam,Other'!K24,'4c. Utility Bills - Steam,Other'!N24)*VLOOKUP($N$9,Lists!$G$139:$I$146,3)</f>
        <v>0</v>
      </c>
      <c r="H7" s="16">
        <f>SUM('4c. Utility Bills - Steam,Other'!E41,'4c. Utility Bills - Steam,Other'!H41,'4c. Utility Bills - Steam,Other'!K41,'4c. Utility Bills - Steam,Other'!N41)*VLOOKUP($N$10,Lists!$G$139:$I$146,3)</f>
        <v>0</v>
      </c>
      <c r="I7" s="16">
        <f>SUM('4d. Utility Bills - Other'!E7,'4d. Utility Bills - Other'!H7,'4d. Utility Bills - Other'!K7,'4d. Utility Bills - Other'!N7)*VLOOKUP($N$11,Lists!$G$139:$I$146,3)</f>
        <v>0</v>
      </c>
      <c r="J7" s="16">
        <f>SUM('4d. Utility Bills - Other'!E24,'4d. Utility Bills - Other'!H24,'4d. Utility Bills - Other'!K24,'4d. Utility Bills - Other'!N24)</f>
        <v>0</v>
      </c>
      <c r="K7" s="16">
        <f>SUM('4d. Utility Bills - Other'!E41,'4d. Utility Bills - Other'!H41,'4d. Utility Bills - Other'!K41,'4d. Utility Bills - Other'!N41)</f>
        <v>0</v>
      </c>
      <c r="L7" s="14"/>
      <c r="N7" s="74" t="s">
        <v>61</v>
      </c>
      <c r="O7" s="81">
        <v>5.3109999999999998E-5</v>
      </c>
    </row>
    <row r="8" spans="1:15" s="1" customFormat="1" ht="21.75" customHeight="1">
      <c r="A8" s="353" t="s">
        <v>62</v>
      </c>
      <c r="B8" s="354"/>
      <c r="C8" s="16">
        <f>SUM('4a.1 Utility Bills - Electric'!E8,'4a.1 Utility Bills - Electric'!I8,'4a.1 Utility Bills - Electric'!M8,'4a.1 Utility Bills - Electric'!E25,'4a.1 Utility Bills - Electric'!I25,'4a.1 Utility Bills - Electric'!M25,'4a.1 Utility Bills - Electric'!E42,'4a.1 Utility Bills - Electric'!I42,'4a.1 Utility Bills - Electric'!M42,'4a.2 Utility Bills - Elec add''l'!E8,'4a.2 Utility Bills - Elec add''l'!I8,'4a.2 Utility Bills - Elec add''l'!M8,'4a.2 Utility Bills - Elec add''l'!E25,'4a.2 Utility Bills - Elec add''l'!I25,'4a.2 Utility Bills - Elec add''l'!M25,'4a.2 Utility Bills - Elec add''l'!E42,'4a.2 Utility Bills - Elec add''l'!I42,'4a.2 Utility Bills - Elec add''l'!M42)</f>
        <v>0</v>
      </c>
      <c r="D8" s="16">
        <f>SUM('4a.1 Utility Bills - Electric'!F8,'4a.1 Utility Bills - Electric'!J8,'4a.1 Utility Bills - Electric'!N8,'4a.1 Utility Bills - Electric'!F25,'4a.1 Utility Bills - Electric'!J25,'4a.1 Utility Bills - Electric'!N25,'4a.1 Utility Bills - Electric'!F42,'4a.1 Utility Bills - Electric'!J42,'4a.1 Utility Bills - Electric'!N42,'4a.2 Utility Bills - Elec add''l'!F8,'4a.2 Utility Bills - Elec add''l'!J8,'4a.2 Utility Bills - Elec add''l'!N8,'4a.2 Utility Bills - Elec add''l'!F25,'4a.2 Utility Bills - Elec add''l'!J25,'4a.2 Utility Bills - Elec add''l'!N25,'4a.2 Utility Bills - Elec add''l'!F42,'4a.2 Utility Bills - Elec add''l'!J42,'4a.2 Utility Bills - Elec add''l'!N42)</f>
        <v>0</v>
      </c>
      <c r="E8" s="16">
        <f>SUM('4b. Utility Bills - Nat.Gas'!E8,'4b. Utility Bills - Nat.Gas'!H8,'4b. Utility Bills - Nat.Gas'!K8,'4b. Utility Bills - Nat.Gas'!E25,'4b. Utility Bills - Nat.Gas'!H25,'4b. Utility Bills - Nat.Gas'!K25,'4b. Utility Bills - Nat.Gas'!E42,'4b. Utility Bills - Nat.Gas'!H42,'4b. Utility Bills - Nat.Gas'!K42)</f>
        <v>0</v>
      </c>
      <c r="F8" s="16">
        <f>SUM('4c. Utility Bills - Steam,Other'!E8,'4c. Utility Bills - Steam,Other'!H8,'4c. Utility Bills - Steam,Other'!K8,'4c. Utility Bills - Steam,Other'!N8)*1194</f>
        <v>0</v>
      </c>
      <c r="G8" s="16">
        <f>SUM('4c. Utility Bills - Steam,Other'!E25,'4c. Utility Bills - Steam,Other'!H25,'4c. Utility Bills - Steam,Other'!K25,'4c. Utility Bills - Steam,Other'!N25)*VLOOKUP($N$9,Lists!$G$139:$I$146,3)</f>
        <v>0</v>
      </c>
      <c r="H8" s="16">
        <f>SUM('4c. Utility Bills - Steam,Other'!E42,'4c. Utility Bills - Steam,Other'!H42,'4c. Utility Bills - Steam,Other'!K42,'4c. Utility Bills - Steam,Other'!N42)*VLOOKUP($N$10,Lists!$G$139:$I$146,3)</f>
        <v>0</v>
      </c>
      <c r="I8" s="16">
        <f>SUM('4d. Utility Bills - Other'!E8,'4d. Utility Bills - Other'!H8,'4d. Utility Bills - Other'!K8,'4d. Utility Bills - Other'!N8)*VLOOKUP($N$11,Lists!$G$139:$I$146,3)</f>
        <v>0</v>
      </c>
      <c r="J8" s="16">
        <f>SUM('4d. Utility Bills - Other'!E25,'4d. Utility Bills - Other'!H25,'4d. Utility Bills - Other'!K25,'4d. Utility Bills - Other'!N25)</f>
        <v>0</v>
      </c>
      <c r="K8" s="16">
        <f>SUM('4d. Utility Bills - Other'!E42,'4d. Utility Bills - Other'!H42,'4d. Utility Bills - Other'!K42,'4d. Utility Bills - Other'!N42)</f>
        <v>0</v>
      </c>
      <c r="L8" s="14"/>
      <c r="N8" s="74" t="s">
        <v>63</v>
      </c>
      <c r="O8" s="81">
        <v>4.4929999999999998E-5</v>
      </c>
    </row>
    <row r="9" spans="1:15" s="1" customFormat="1" ht="21.75" customHeight="1">
      <c r="A9" s="350" t="s">
        <v>64</v>
      </c>
      <c r="B9" s="350"/>
      <c r="C9" s="16">
        <f>SUM('4a.1 Utility Bills - Electric'!E9,'4a.1 Utility Bills - Electric'!I9,'4a.1 Utility Bills - Electric'!M9,'4a.1 Utility Bills - Electric'!E26,'4a.1 Utility Bills - Electric'!I26,'4a.1 Utility Bills - Electric'!M26,'4a.1 Utility Bills - Electric'!E43,'4a.1 Utility Bills - Electric'!I43,'4a.1 Utility Bills - Electric'!M43,'4a.2 Utility Bills - Elec add''l'!E9,'4a.2 Utility Bills - Elec add''l'!I9,'4a.2 Utility Bills - Elec add''l'!M9,'4a.2 Utility Bills - Elec add''l'!E26,'4a.2 Utility Bills - Elec add''l'!I26,'4a.2 Utility Bills - Elec add''l'!M26,'4a.2 Utility Bills - Elec add''l'!E43,'4a.2 Utility Bills - Elec add''l'!I43,'4a.2 Utility Bills - Elec add''l'!M43)</f>
        <v>0</v>
      </c>
      <c r="D9" s="16">
        <f>SUM('4a.1 Utility Bills - Electric'!F9,'4a.1 Utility Bills - Electric'!J9,'4a.1 Utility Bills - Electric'!N9,'4a.1 Utility Bills - Electric'!F26,'4a.1 Utility Bills - Electric'!J26,'4a.1 Utility Bills - Electric'!N26,'4a.1 Utility Bills - Electric'!F43,'4a.1 Utility Bills - Electric'!J43,'4a.1 Utility Bills - Electric'!N43,'4a.2 Utility Bills - Elec add''l'!F9,'4a.2 Utility Bills - Elec add''l'!J9,'4a.2 Utility Bills - Elec add''l'!N9,'4a.2 Utility Bills - Elec add''l'!F26,'4a.2 Utility Bills - Elec add''l'!J26,'4a.2 Utility Bills - Elec add''l'!N26,'4a.2 Utility Bills - Elec add''l'!F43,'4a.2 Utility Bills - Elec add''l'!J43,'4a.2 Utility Bills - Elec add''l'!N43)</f>
        <v>0</v>
      </c>
      <c r="E9" s="16">
        <f>SUM('4b. Utility Bills - Nat.Gas'!E9,'4b. Utility Bills - Nat.Gas'!H9,'4b. Utility Bills - Nat.Gas'!K9,'4b. Utility Bills - Nat.Gas'!E26,'4b. Utility Bills - Nat.Gas'!H26,'4b. Utility Bills - Nat.Gas'!K26,'4b. Utility Bills - Nat.Gas'!E43,'4b. Utility Bills - Nat.Gas'!H43,'4b. Utility Bills - Nat.Gas'!K43)</f>
        <v>0</v>
      </c>
      <c r="F9" s="16">
        <f>SUM('4c. Utility Bills - Steam,Other'!E9,'4c. Utility Bills - Steam,Other'!H9,'4c. Utility Bills - Steam,Other'!K9,'4c. Utility Bills - Steam,Other'!N9)*1194</f>
        <v>0</v>
      </c>
      <c r="G9" s="16">
        <f>SUM('4c. Utility Bills - Steam,Other'!E26,'4c. Utility Bills - Steam,Other'!H26,'4c. Utility Bills - Steam,Other'!K26,'4c. Utility Bills - Steam,Other'!N26)*VLOOKUP($N$9,Lists!$G$139:$I$146,3)</f>
        <v>0</v>
      </c>
      <c r="H9" s="16">
        <f>SUM('4c. Utility Bills - Steam,Other'!E43,'4c. Utility Bills - Steam,Other'!H43,'4c. Utility Bills - Steam,Other'!K43,'4c. Utility Bills - Steam,Other'!N43)*VLOOKUP($N$10,Lists!$G$139:$I$146,3)</f>
        <v>0</v>
      </c>
      <c r="I9" s="16">
        <f>SUM('4d. Utility Bills - Other'!E9,'4d. Utility Bills - Other'!H9,'4d. Utility Bills - Other'!K9,'4d. Utility Bills - Other'!N9)*VLOOKUP($N$11,Lists!$G$139:$I$146,3)</f>
        <v>0</v>
      </c>
      <c r="J9" s="16">
        <f>SUM('4d. Utility Bills - Other'!E26,'4d. Utility Bills - Other'!H26,'4d. Utility Bills - Other'!K26,'4d. Utility Bills - Other'!N26)</f>
        <v>0</v>
      </c>
      <c r="K9" s="16">
        <f>SUM('4d. Utility Bills - Other'!E43,'4d. Utility Bills - Other'!H43,'4d. Utility Bills - Other'!K43,'4d. Utility Bills - Other'!N43)</f>
        <v>0</v>
      </c>
      <c r="L9" s="14"/>
      <c r="N9" s="83" t="s">
        <v>65</v>
      </c>
      <c r="O9" s="80">
        <f>VLOOKUP($N9,Lists!$G$140:$H$146,2)</f>
        <v>7.4209999999999996E-5</v>
      </c>
    </row>
    <row r="10" spans="1:15" s="1" customFormat="1" ht="21.75" customHeight="1">
      <c r="A10" s="350" t="s">
        <v>66</v>
      </c>
      <c r="B10" s="350"/>
      <c r="C10" s="16">
        <f>SUM('4a.1 Utility Bills - Electric'!E10,'4a.1 Utility Bills - Electric'!I10,'4a.1 Utility Bills - Electric'!M10,'4a.1 Utility Bills - Electric'!E27,'4a.1 Utility Bills - Electric'!I27,'4a.1 Utility Bills - Electric'!M27,'4a.1 Utility Bills - Electric'!E44,'4a.1 Utility Bills - Electric'!I44,'4a.1 Utility Bills - Electric'!M44,'4a.2 Utility Bills - Elec add''l'!E10,'4a.2 Utility Bills - Elec add''l'!I10,'4a.2 Utility Bills - Elec add''l'!M10,'4a.2 Utility Bills - Elec add''l'!E27,'4a.2 Utility Bills - Elec add''l'!I27,'4a.2 Utility Bills - Elec add''l'!M27,'4a.2 Utility Bills - Elec add''l'!E44,'4a.2 Utility Bills - Elec add''l'!I44,'4a.2 Utility Bills - Elec add''l'!M44)</f>
        <v>0</v>
      </c>
      <c r="D10" s="16">
        <f>SUM('4a.1 Utility Bills - Electric'!F10,'4a.1 Utility Bills - Electric'!J10,'4a.1 Utility Bills - Electric'!N10,'4a.1 Utility Bills - Electric'!F27,'4a.1 Utility Bills - Electric'!J27,'4a.1 Utility Bills - Electric'!N27,'4a.1 Utility Bills - Electric'!F44,'4a.1 Utility Bills - Electric'!J44,'4a.1 Utility Bills - Electric'!N44,'4a.2 Utility Bills - Elec add''l'!F10,'4a.2 Utility Bills - Elec add''l'!J10,'4a.2 Utility Bills - Elec add''l'!N10,'4a.2 Utility Bills - Elec add''l'!F27,'4a.2 Utility Bills - Elec add''l'!J27,'4a.2 Utility Bills - Elec add''l'!N27,'4a.2 Utility Bills - Elec add''l'!F44,'4a.2 Utility Bills - Elec add''l'!J44,'4a.2 Utility Bills - Elec add''l'!N44)</f>
        <v>0</v>
      </c>
      <c r="E10" s="16">
        <f>SUM('4b. Utility Bills - Nat.Gas'!E10,'4b. Utility Bills - Nat.Gas'!H10,'4b. Utility Bills - Nat.Gas'!K10,'4b. Utility Bills - Nat.Gas'!E27,'4b. Utility Bills - Nat.Gas'!H27,'4b. Utility Bills - Nat.Gas'!K27,'4b. Utility Bills - Nat.Gas'!E44,'4b. Utility Bills - Nat.Gas'!H44,'4b. Utility Bills - Nat.Gas'!K44)</f>
        <v>0</v>
      </c>
      <c r="F10" s="16">
        <f>SUM('4c. Utility Bills - Steam,Other'!E10,'4c. Utility Bills - Steam,Other'!H10,'4c. Utility Bills - Steam,Other'!K10,'4c. Utility Bills - Steam,Other'!N10)*1194</f>
        <v>0</v>
      </c>
      <c r="G10" s="16">
        <f>SUM('4c. Utility Bills - Steam,Other'!E27,'4c. Utility Bills - Steam,Other'!H27,'4c. Utility Bills - Steam,Other'!K27,'4c. Utility Bills - Steam,Other'!N27)*VLOOKUP($N$9,Lists!$G$139:$I$146,3)</f>
        <v>0</v>
      </c>
      <c r="H10" s="16">
        <f>SUM('4c. Utility Bills - Steam,Other'!E44,'4c. Utility Bills - Steam,Other'!H44,'4c. Utility Bills - Steam,Other'!K44,'4c. Utility Bills - Steam,Other'!N44)*VLOOKUP($N$10,Lists!$G$139:$I$146,3)</f>
        <v>0</v>
      </c>
      <c r="I10" s="16">
        <f>SUM('4d. Utility Bills - Other'!E10,'4d. Utility Bills - Other'!H10,'4d. Utility Bills - Other'!K10,'4d. Utility Bills - Other'!N10)*VLOOKUP($N$11,Lists!$G$139:$I$146,3)</f>
        <v>0</v>
      </c>
      <c r="J10" s="16">
        <f>SUM('4d. Utility Bills - Other'!E27,'4d. Utility Bills - Other'!H27,'4d. Utility Bills - Other'!K27,'4d. Utility Bills - Other'!N27)</f>
        <v>0</v>
      </c>
      <c r="K10" s="16">
        <f>SUM('4d. Utility Bills - Other'!E44,'4d. Utility Bills - Other'!H44,'4d. Utility Bills - Other'!K44,'4d. Utility Bills - Other'!N44)</f>
        <v>0</v>
      </c>
      <c r="L10" s="14"/>
      <c r="N10" s="83" t="s">
        <v>67</v>
      </c>
      <c r="O10" s="80">
        <f>VLOOKUP($N10,Lists!$G$140:$H$146,2)</f>
        <v>7.5350000000000002E-5</v>
      </c>
    </row>
    <row r="11" spans="1:15" ht="22.5" customHeight="1">
      <c r="A11" s="350" t="s">
        <v>68</v>
      </c>
      <c r="B11" s="350"/>
      <c r="C11" s="16">
        <f>SUM('4a.1 Utility Bills - Electric'!E11,'4a.1 Utility Bills - Electric'!I11,'4a.1 Utility Bills - Electric'!M11,'4a.1 Utility Bills - Electric'!E28,'4a.1 Utility Bills - Electric'!I28,'4a.1 Utility Bills - Electric'!M28,'4a.1 Utility Bills - Electric'!E45,'4a.1 Utility Bills - Electric'!I45,'4a.1 Utility Bills - Electric'!M45,'4a.2 Utility Bills - Elec add''l'!E11,'4a.2 Utility Bills - Elec add''l'!I11,'4a.2 Utility Bills - Elec add''l'!M11,'4a.2 Utility Bills - Elec add''l'!E28,'4a.2 Utility Bills - Elec add''l'!I28,'4a.2 Utility Bills - Elec add''l'!M28,'4a.2 Utility Bills - Elec add''l'!E45,'4a.2 Utility Bills - Elec add''l'!I45,'4a.2 Utility Bills - Elec add''l'!M45)</f>
        <v>0</v>
      </c>
      <c r="D11" s="16">
        <f>SUM('4a.1 Utility Bills - Electric'!F11,'4a.1 Utility Bills - Electric'!J11,'4a.1 Utility Bills - Electric'!N11,'4a.1 Utility Bills - Electric'!F28,'4a.1 Utility Bills - Electric'!J28,'4a.1 Utility Bills - Electric'!N28,'4a.1 Utility Bills - Electric'!F45,'4a.1 Utility Bills - Electric'!J45,'4a.1 Utility Bills - Electric'!N45,'4a.2 Utility Bills - Elec add''l'!F11,'4a.2 Utility Bills - Elec add''l'!J11,'4a.2 Utility Bills - Elec add''l'!N11,'4a.2 Utility Bills - Elec add''l'!F28,'4a.2 Utility Bills - Elec add''l'!J28,'4a.2 Utility Bills - Elec add''l'!N28,'4a.2 Utility Bills - Elec add''l'!F45,'4a.2 Utility Bills - Elec add''l'!J45,'4a.2 Utility Bills - Elec add''l'!N45)</f>
        <v>0</v>
      </c>
      <c r="E11" s="16">
        <f>SUM('4b. Utility Bills - Nat.Gas'!E11,'4b. Utility Bills - Nat.Gas'!H11,'4b. Utility Bills - Nat.Gas'!K11,'4b. Utility Bills - Nat.Gas'!E28,'4b. Utility Bills - Nat.Gas'!H28,'4b. Utility Bills - Nat.Gas'!K28,'4b. Utility Bills - Nat.Gas'!E45,'4b. Utility Bills - Nat.Gas'!H45,'4b. Utility Bills - Nat.Gas'!K45)</f>
        <v>0</v>
      </c>
      <c r="F11" s="16">
        <f>SUM('4c. Utility Bills - Steam,Other'!E11,'4c. Utility Bills - Steam,Other'!H11,'4c. Utility Bills - Steam,Other'!K11,'4c. Utility Bills - Steam,Other'!N11)*1194</f>
        <v>0</v>
      </c>
      <c r="G11" s="16">
        <f>SUM('4c. Utility Bills - Steam,Other'!E28,'4c. Utility Bills - Steam,Other'!H28,'4c. Utility Bills - Steam,Other'!K28,'4c. Utility Bills - Steam,Other'!N28)*VLOOKUP($N$9,Lists!$G$139:$I$146,3)</f>
        <v>0</v>
      </c>
      <c r="H11" s="16">
        <f>SUM('4c. Utility Bills - Steam,Other'!E45,'4c. Utility Bills - Steam,Other'!H45,'4c. Utility Bills - Steam,Other'!K45,'4c. Utility Bills - Steam,Other'!N45)*VLOOKUP($N$10,Lists!$G$139:$I$146,3)</f>
        <v>0</v>
      </c>
      <c r="I11" s="16">
        <f>SUM('4d. Utility Bills - Other'!E11,'4d. Utility Bills - Other'!H11,'4d. Utility Bills - Other'!K11,'4d. Utility Bills - Other'!N11)*VLOOKUP($N$11,Lists!$G$139:$I$146,3)</f>
        <v>0</v>
      </c>
      <c r="J11" s="16">
        <f>SUM('4d. Utility Bills - Other'!E28,'4d. Utility Bills - Other'!H28,'4d. Utility Bills - Other'!K28,'4d. Utility Bills - Other'!N28)</f>
        <v>0</v>
      </c>
      <c r="K11" s="16">
        <f>SUM('4d. Utility Bills - Other'!E45,'4d. Utility Bills - Other'!H45,'4d. Utility Bills - Other'!K45,'4d. Utility Bills - Other'!N45)</f>
        <v>0</v>
      </c>
      <c r="L11" s="14"/>
      <c r="N11" s="83" t="s">
        <v>69</v>
      </c>
      <c r="O11" s="80">
        <f>VLOOKUP($N11,Lists!$G$140:$H$146,2)</f>
        <v>7.3499999999999998E-5</v>
      </c>
    </row>
    <row r="12" spans="1:15" ht="21.75" customHeight="1">
      <c r="A12" s="350" t="s">
        <v>70</v>
      </c>
      <c r="B12" s="350"/>
      <c r="C12" s="16">
        <f>SUM('4a.1 Utility Bills - Electric'!E12,'4a.1 Utility Bills - Electric'!I12,'4a.1 Utility Bills - Electric'!M12,'4a.1 Utility Bills - Electric'!E29,'4a.1 Utility Bills - Electric'!I29,'4a.1 Utility Bills - Electric'!M29,'4a.1 Utility Bills - Electric'!E46,'4a.1 Utility Bills - Electric'!I46,'4a.1 Utility Bills - Electric'!M46,'4a.2 Utility Bills - Elec add''l'!E12,'4a.2 Utility Bills - Elec add''l'!I12,'4a.2 Utility Bills - Elec add''l'!M12,'4a.2 Utility Bills - Elec add''l'!E29,'4a.2 Utility Bills - Elec add''l'!I29,'4a.2 Utility Bills - Elec add''l'!M29,'4a.2 Utility Bills - Elec add''l'!E46,'4a.2 Utility Bills - Elec add''l'!I46,'4a.2 Utility Bills - Elec add''l'!M46)</f>
        <v>0</v>
      </c>
      <c r="D12" s="16">
        <f>SUM('4a.1 Utility Bills - Electric'!F12,'4a.1 Utility Bills - Electric'!J12,'4a.1 Utility Bills - Electric'!N12,'4a.1 Utility Bills - Electric'!F29,'4a.1 Utility Bills - Electric'!J29,'4a.1 Utility Bills - Electric'!N29,'4a.1 Utility Bills - Electric'!F46,'4a.1 Utility Bills - Electric'!J46,'4a.1 Utility Bills - Electric'!N46,'4a.2 Utility Bills - Elec add''l'!F12,'4a.2 Utility Bills - Elec add''l'!J12,'4a.2 Utility Bills - Elec add''l'!N12,'4a.2 Utility Bills - Elec add''l'!F29,'4a.2 Utility Bills - Elec add''l'!J29,'4a.2 Utility Bills - Elec add''l'!N29,'4a.2 Utility Bills - Elec add''l'!F46,'4a.2 Utility Bills - Elec add''l'!J46,'4a.2 Utility Bills - Elec add''l'!N46)</f>
        <v>0</v>
      </c>
      <c r="E12" s="16">
        <f>SUM('4b. Utility Bills - Nat.Gas'!E12,'4b. Utility Bills - Nat.Gas'!H12,'4b. Utility Bills - Nat.Gas'!K12,'4b. Utility Bills - Nat.Gas'!E29,'4b. Utility Bills - Nat.Gas'!H29,'4b. Utility Bills - Nat.Gas'!K29,'4b. Utility Bills - Nat.Gas'!E46,'4b. Utility Bills - Nat.Gas'!H46,'4b. Utility Bills - Nat.Gas'!K46)</f>
        <v>0</v>
      </c>
      <c r="F12" s="16">
        <f>SUM('4c. Utility Bills - Steam,Other'!E12,'4c. Utility Bills - Steam,Other'!H12,'4c. Utility Bills - Steam,Other'!K12,'4c. Utility Bills - Steam,Other'!N12)*1194</f>
        <v>0</v>
      </c>
      <c r="G12" s="16">
        <f>SUM('4c. Utility Bills - Steam,Other'!E29,'4c. Utility Bills - Steam,Other'!H29,'4c. Utility Bills - Steam,Other'!K29,'4c. Utility Bills - Steam,Other'!N29)*VLOOKUP($N$9,Lists!$G$139:$I$146,3)</f>
        <v>0</v>
      </c>
      <c r="H12" s="16">
        <f>SUM('4c. Utility Bills - Steam,Other'!E46,'4c. Utility Bills - Steam,Other'!H46,'4c. Utility Bills - Steam,Other'!K46,'4c. Utility Bills - Steam,Other'!N46)*VLOOKUP($N$10,Lists!$G$139:$I$146,3)</f>
        <v>0</v>
      </c>
      <c r="I12" s="16">
        <f>SUM('4d. Utility Bills - Other'!E12,'4d. Utility Bills - Other'!H12,'4d. Utility Bills - Other'!K12,'4d. Utility Bills - Other'!N12)*VLOOKUP($N$11,Lists!$G$139:$I$146,3)</f>
        <v>0</v>
      </c>
      <c r="J12" s="16">
        <f>SUM('4d. Utility Bills - Other'!E29,'4d. Utility Bills - Other'!H29,'4d. Utility Bills - Other'!K29,'4d. Utility Bills - Other'!N29)</f>
        <v>0</v>
      </c>
      <c r="K12" s="16">
        <f>SUM('4d. Utility Bills - Other'!E46,'4d. Utility Bills - Other'!H46,'4d. Utility Bills - Other'!K46,'4d. Utility Bills - Other'!N46)</f>
        <v>0</v>
      </c>
      <c r="L12" s="14"/>
      <c r="N12" s="65">
        <f>'4d. Utility Bills - Other'!F20</f>
        <v>0</v>
      </c>
      <c r="O12" s="82"/>
    </row>
    <row r="13" spans="1:15" ht="22.5" customHeight="1">
      <c r="A13" s="350" t="s">
        <v>71</v>
      </c>
      <c r="B13" s="350"/>
      <c r="C13" s="16">
        <f>SUM('4a.1 Utility Bills - Electric'!E13,'4a.1 Utility Bills - Electric'!I13,'4a.1 Utility Bills - Electric'!M13,'4a.1 Utility Bills - Electric'!E30,'4a.1 Utility Bills - Electric'!I30,'4a.1 Utility Bills - Electric'!M30,'4a.1 Utility Bills - Electric'!E47,'4a.1 Utility Bills - Electric'!I47,'4a.1 Utility Bills - Electric'!M47,'4a.2 Utility Bills - Elec add''l'!E13,'4a.2 Utility Bills - Elec add''l'!I13,'4a.2 Utility Bills - Elec add''l'!M13,'4a.2 Utility Bills - Elec add''l'!E30,'4a.2 Utility Bills - Elec add''l'!I30,'4a.2 Utility Bills - Elec add''l'!M30,'4a.2 Utility Bills - Elec add''l'!E47,'4a.2 Utility Bills - Elec add''l'!I47,'4a.2 Utility Bills - Elec add''l'!M47)</f>
        <v>0</v>
      </c>
      <c r="D13" s="16">
        <f>SUM('4a.1 Utility Bills - Electric'!F13,'4a.1 Utility Bills - Electric'!J13,'4a.1 Utility Bills - Electric'!N13,'4a.1 Utility Bills - Electric'!F30,'4a.1 Utility Bills - Electric'!J30,'4a.1 Utility Bills - Electric'!N30,'4a.1 Utility Bills - Electric'!F47,'4a.1 Utility Bills - Electric'!J47,'4a.1 Utility Bills - Electric'!N47,'4a.2 Utility Bills - Elec add''l'!F13,'4a.2 Utility Bills - Elec add''l'!J13,'4a.2 Utility Bills - Elec add''l'!N13,'4a.2 Utility Bills - Elec add''l'!F30,'4a.2 Utility Bills - Elec add''l'!J30,'4a.2 Utility Bills - Elec add''l'!N30,'4a.2 Utility Bills - Elec add''l'!F47,'4a.2 Utility Bills - Elec add''l'!J47,'4a.2 Utility Bills - Elec add''l'!N47)</f>
        <v>0</v>
      </c>
      <c r="E13" s="16">
        <f>SUM('4b. Utility Bills - Nat.Gas'!E13,'4b. Utility Bills - Nat.Gas'!H13,'4b. Utility Bills - Nat.Gas'!K13,'4b. Utility Bills - Nat.Gas'!E30,'4b. Utility Bills - Nat.Gas'!H30,'4b. Utility Bills - Nat.Gas'!K30,'4b. Utility Bills - Nat.Gas'!E47,'4b. Utility Bills - Nat.Gas'!H47,'4b. Utility Bills - Nat.Gas'!K47)</f>
        <v>0</v>
      </c>
      <c r="F13" s="16">
        <f>SUM('4c. Utility Bills - Steam,Other'!E13,'4c. Utility Bills - Steam,Other'!H13,'4c. Utility Bills - Steam,Other'!K13,'4c. Utility Bills - Steam,Other'!N13)*1194</f>
        <v>0</v>
      </c>
      <c r="G13" s="16">
        <f>SUM('4c. Utility Bills - Steam,Other'!E30,'4c. Utility Bills - Steam,Other'!H30,'4c. Utility Bills - Steam,Other'!K30,'4c. Utility Bills - Steam,Other'!N30)*VLOOKUP($N$9,Lists!$G$139:$I$146,3)</f>
        <v>0</v>
      </c>
      <c r="H13" s="16">
        <f>SUM('4c. Utility Bills - Steam,Other'!E47,'4c. Utility Bills - Steam,Other'!H47,'4c. Utility Bills - Steam,Other'!K47,'4c. Utility Bills - Steam,Other'!N47)*VLOOKUP($N$10,Lists!$G$139:$I$146,3)</f>
        <v>0</v>
      </c>
      <c r="I13" s="16">
        <f>SUM('4d. Utility Bills - Other'!E13,'4d. Utility Bills - Other'!H13,'4d. Utility Bills - Other'!K13,'4d. Utility Bills - Other'!N13)*VLOOKUP($N$11,Lists!$G$139:$I$146,3)</f>
        <v>0</v>
      </c>
      <c r="J13" s="16">
        <f>SUM('4d. Utility Bills - Other'!E30,'4d. Utility Bills - Other'!H30,'4d. Utility Bills - Other'!K30,'4d. Utility Bills - Other'!N30)</f>
        <v>0</v>
      </c>
      <c r="K13" s="16">
        <f>SUM('4d. Utility Bills - Other'!E47,'4d. Utility Bills - Other'!H47,'4d. Utility Bills - Other'!K47,'4d. Utility Bills - Other'!N47)</f>
        <v>0</v>
      </c>
      <c r="L13" s="14"/>
      <c r="N13" s="65">
        <f>'4d. Utility Bills - Other'!F37</f>
        <v>0</v>
      </c>
      <c r="O13" s="82"/>
    </row>
    <row r="14" spans="1:15" ht="21.75" customHeight="1">
      <c r="A14" s="350" t="s">
        <v>72</v>
      </c>
      <c r="B14" s="350"/>
      <c r="C14" s="16">
        <f>SUM('4a.1 Utility Bills - Electric'!E14,'4a.1 Utility Bills - Electric'!I14,'4a.1 Utility Bills - Electric'!M14,'4a.1 Utility Bills - Electric'!E31,'4a.1 Utility Bills - Electric'!I31,'4a.1 Utility Bills - Electric'!M31,'4a.1 Utility Bills - Electric'!E48,'4a.1 Utility Bills - Electric'!I48,'4a.1 Utility Bills - Electric'!M48,'4a.2 Utility Bills - Elec add''l'!E14,'4a.2 Utility Bills - Elec add''l'!I14,'4a.2 Utility Bills - Elec add''l'!M14,'4a.2 Utility Bills - Elec add''l'!E31,'4a.2 Utility Bills - Elec add''l'!I31,'4a.2 Utility Bills - Elec add''l'!M31,'4a.2 Utility Bills - Elec add''l'!E48,'4a.2 Utility Bills - Elec add''l'!I48,'4a.2 Utility Bills - Elec add''l'!M48)</f>
        <v>0</v>
      </c>
      <c r="D14" s="16">
        <f>SUM('4a.1 Utility Bills - Electric'!F14,'4a.1 Utility Bills - Electric'!J14,'4a.1 Utility Bills - Electric'!N14,'4a.1 Utility Bills - Electric'!F31,'4a.1 Utility Bills - Electric'!J31,'4a.1 Utility Bills - Electric'!N31,'4a.1 Utility Bills - Electric'!F48,'4a.1 Utility Bills - Electric'!J48,'4a.1 Utility Bills - Electric'!N48,'4a.2 Utility Bills - Elec add''l'!F14,'4a.2 Utility Bills - Elec add''l'!J14,'4a.2 Utility Bills - Elec add''l'!N14,'4a.2 Utility Bills - Elec add''l'!F31,'4a.2 Utility Bills - Elec add''l'!J31,'4a.2 Utility Bills - Elec add''l'!N31,'4a.2 Utility Bills - Elec add''l'!F48,'4a.2 Utility Bills - Elec add''l'!J48,'4a.2 Utility Bills - Elec add''l'!N48)</f>
        <v>0</v>
      </c>
      <c r="E14" s="16">
        <f>SUM('4b. Utility Bills - Nat.Gas'!E14,'4b. Utility Bills - Nat.Gas'!H14,'4b. Utility Bills - Nat.Gas'!K14,'4b. Utility Bills - Nat.Gas'!E31,'4b. Utility Bills - Nat.Gas'!H31,'4b. Utility Bills - Nat.Gas'!K31,'4b. Utility Bills - Nat.Gas'!E48,'4b. Utility Bills - Nat.Gas'!H48,'4b. Utility Bills - Nat.Gas'!K48)</f>
        <v>0</v>
      </c>
      <c r="F14" s="16">
        <f>SUM('4c. Utility Bills - Steam,Other'!E14,'4c. Utility Bills - Steam,Other'!H14,'4c. Utility Bills - Steam,Other'!K14,'4c. Utility Bills - Steam,Other'!N14)*1194</f>
        <v>0</v>
      </c>
      <c r="G14" s="16">
        <f>SUM('4c. Utility Bills - Steam,Other'!E31,'4c. Utility Bills - Steam,Other'!H31,'4c. Utility Bills - Steam,Other'!K31,'4c. Utility Bills - Steam,Other'!N31)*VLOOKUP($N$9,Lists!$G$139:$I$146,3)</f>
        <v>0</v>
      </c>
      <c r="H14" s="16">
        <f>SUM('4c. Utility Bills - Steam,Other'!E48,'4c. Utility Bills - Steam,Other'!H48,'4c. Utility Bills - Steam,Other'!K48,'4c. Utility Bills - Steam,Other'!N48)*VLOOKUP($N$10,Lists!$G$139:$I$146,3)</f>
        <v>0</v>
      </c>
      <c r="I14" s="16">
        <f>SUM('4d. Utility Bills - Other'!E14,'4d. Utility Bills - Other'!H14,'4d. Utility Bills - Other'!K14,'4d. Utility Bills - Other'!N14)*VLOOKUP($N$11,Lists!$G$139:$I$146,3)</f>
        <v>0</v>
      </c>
      <c r="J14" s="16">
        <f>SUM('4d. Utility Bills - Other'!E31,'4d. Utility Bills - Other'!H31,'4d. Utility Bills - Other'!K31,'4d. Utility Bills - Other'!N31)</f>
        <v>0</v>
      </c>
      <c r="K14" s="16">
        <f>SUM('4d. Utility Bills - Other'!E48,'4d. Utility Bills - Other'!H48,'4d. Utility Bills - Other'!K48,'4d. Utility Bills - Other'!N48)</f>
        <v>0</v>
      </c>
      <c r="L14" s="14"/>
    </row>
    <row r="15" spans="1:15" ht="21.75" customHeight="1">
      <c r="A15" s="350" t="s">
        <v>73</v>
      </c>
      <c r="B15" s="350"/>
      <c r="C15" s="16">
        <f>SUM('4a.1 Utility Bills - Electric'!E15,'4a.1 Utility Bills - Electric'!I15,'4a.1 Utility Bills - Electric'!M15,'4a.1 Utility Bills - Electric'!E32,'4a.1 Utility Bills - Electric'!I32,'4a.1 Utility Bills - Electric'!M32,'4a.1 Utility Bills - Electric'!E49,'4a.1 Utility Bills - Electric'!I49,'4a.1 Utility Bills - Electric'!M49,'4a.2 Utility Bills - Elec add''l'!E15,'4a.2 Utility Bills - Elec add''l'!I15,'4a.2 Utility Bills - Elec add''l'!M15,'4a.2 Utility Bills - Elec add''l'!E32,'4a.2 Utility Bills - Elec add''l'!I32,'4a.2 Utility Bills - Elec add''l'!M32,'4a.2 Utility Bills - Elec add''l'!E49,'4a.2 Utility Bills - Elec add''l'!I49,'4a.2 Utility Bills - Elec add''l'!M49)</f>
        <v>0</v>
      </c>
      <c r="D15" s="16">
        <f>SUM('4a.1 Utility Bills - Electric'!F15,'4a.1 Utility Bills - Electric'!J15,'4a.1 Utility Bills - Electric'!N15,'4a.1 Utility Bills - Electric'!F32,'4a.1 Utility Bills - Electric'!J32,'4a.1 Utility Bills - Electric'!N32,'4a.1 Utility Bills - Electric'!F49,'4a.1 Utility Bills - Electric'!J49,'4a.1 Utility Bills - Electric'!N49,'4a.2 Utility Bills - Elec add''l'!F15,'4a.2 Utility Bills - Elec add''l'!J15,'4a.2 Utility Bills - Elec add''l'!N15,'4a.2 Utility Bills - Elec add''l'!F32,'4a.2 Utility Bills - Elec add''l'!J32,'4a.2 Utility Bills - Elec add''l'!N32,'4a.2 Utility Bills - Elec add''l'!F49,'4a.2 Utility Bills - Elec add''l'!J49,'4a.2 Utility Bills - Elec add''l'!N49)</f>
        <v>0</v>
      </c>
      <c r="E15" s="16">
        <f>SUM('4b. Utility Bills - Nat.Gas'!E15,'4b. Utility Bills - Nat.Gas'!H15,'4b. Utility Bills - Nat.Gas'!K15,'4b. Utility Bills - Nat.Gas'!E32,'4b. Utility Bills - Nat.Gas'!H32,'4b. Utility Bills - Nat.Gas'!K32,'4b. Utility Bills - Nat.Gas'!E49,'4b. Utility Bills - Nat.Gas'!H49,'4b. Utility Bills - Nat.Gas'!K49)</f>
        <v>0</v>
      </c>
      <c r="F15" s="16">
        <f>SUM('4c. Utility Bills - Steam,Other'!E15,'4c. Utility Bills - Steam,Other'!H15,'4c. Utility Bills - Steam,Other'!K15,'4c. Utility Bills - Steam,Other'!N15)*1194</f>
        <v>0</v>
      </c>
      <c r="G15" s="16">
        <f>SUM('4c. Utility Bills - Steam,Other'!E32,'4c. Utility Bills - Steam,Other'!H32,'4c. Utility Bills - Steam,Other'!K32,'4c. Utility Bills - Steam,Other'!N32)*VLOOKUP($N$9,Lists!$G$139:$I$146,3)</f>
        <v>0</v>
      </c>
      <c r="H15" s="16">
        <f>SUM('4c. Utility Bills - Steam,Other'!E49,'4c. Utility Bills - Steam,Other'!H49,'4c. Utility Bills - Steam,Other'!K49,'4c. Utility Bills - Steam,Other'!N49)*VLOOKUP($N$10,Lists!$G$139:$I$146,3)</f>
        <v>0</v>
      </c>
      <c r="I15" s="16">
        <f>SUM('4d. Utility Bills - Other'!E15,'4d. Utility Bills - Other'!H15,'4d. Utility Bills - Other'!K15,'4d. Utility Bills - Other'!N15)*VLOOKUP($N$11,Lists!$G$139:$I$146,3)</f>
        <v>0</v>
      </c>
      <c r="J15" s="16">
        <f>SUM('4d. Utility Bills - Other'!E32,'4d. Utility Bills - Other'!H32,'4d. Utility Bills - Other'!K32,'4d. Utility Bills - Other'!N32)</f>
        <v>0</v>
      </c>
      <c r="K15" s="16">
        <f>SUM('4d. Utility Bills - Other'!E49,'4d. Utility Bills - Other'!H49,'4d. Utility Bills - Other'!K49,'4d. Utility Bills - Other'!N49)</f>
        <v>0</v>
      </c>
      <c r="L15" s="14"/>
    </row>
    <row r="16" spans="1:15" ht="21.75" customHeight="1">
      <c r="A16" s="350" t="s">
        <v>74</v>
      </c>
      <c r="B16" s="350"/>
      <c r="C16" s="16">
        <f>SUM('4a.1 Utility Bills - Electric'!E16,'4a.1 Utility Bills - Electric'!I16,'4a.1 Utility Bills - Electric'!M16,'4a.1 Utility Bills - Electric'!E33,'4a.1 Utility Bills - Electric'!I33,'4a.1 Utility Bills - Electric'!M33,'4a.1 Utility Bills - Electric'!E50,'4a.1 Utility Bills - Electric'!I50,'4a.1 Utility Bills - Electric'!M50,'4a.2 Utility Bills - Elec add''l'!E16,'4a.2 Utility Bills - Elec add''l'!I16,'4a.2 Utility Bills - Elec add''l'!M16,'4a.2 Utility Bills - Elec add''l'!E33,'4a.2 Utility Bills - Elec add''l'!I33,'4a.2 Utility Bills - Elec add''l'!M33,'4a.2 Utility Bills - Elec add''l'!E50,'4a.2 Utility Bills - Elec add''l'!I50,'4a.2 Utility Bills - Elec add''l'!M50)</f>
        <v>0</v>
      </c>
      <c r="D16" s="16">
        <f>SUM('4a.1 Utility Bills - Electric'!F16,'4a.1 Utility Bills - Electric'!J16,'4a.1 Utility Bills - Electric'!N16,'4a.1 Utility Bills - Electric'!F33,'4a.1 Utility Bills - Electric'!J33,'4a.1 Utility Bills - Electric'!N33,'4a.1 Utility Bills - Electric'!F50,'4a.1 Utility Bills - Electric'!J50,'4a.1 Utility Bills - Electric'!N50,'4a.2 Utility Bills - Elec add''l'!F16,'4a.2 Utility Bills - Elec add''l'!J16,'4a.2 Utility Bills - Elec add''l'!N16,'4a.2 Utility Bills - Elec add''l'!F33,'4a.2 Utility Bills - Elec add''l'!J33,'4a.2 Utility Bills - Elec add''l'!N33,'4a.2 Utility Bills - Elec add''l'!F50,'4a.2 Utility Bills - Elec add''l'!J50,'4a.2 Utility Bills - Elec add''l'!N50)</f>
        <v>0</v>
      </c>
      <c r="E16" s="16">
        <f>SUM('4b. Utility Bills - Nat.Gas'!E16,'4b. Utility Bills - Nat.Gas'!H16,'4b. Utility Bills - Nat.Gas'!K16,'4b. Utility Bills - Nat.Gas'!E33,'4b. Utility Bills - Nat.Gas'!H33,'4b. Utility Bills - Nat.Gas'!K33,'4b. Utility Bills - Nat.Gas'!E50,'4b. Utility Bills - Nat.Gas'!H50,'4b. Utility Bills - Nat.Gas'!K50)</f>
        <v>0</v>
      </c>
      <c r="F16" s="16">
        <f>SUM('4c. Utility Bills - Steam,Other'!E16,'4c. Utility Bills - Steam,Other'!H16,'4c. Utility Bills - Steam,Other'!K16,'4c. Utility Bills - Steam,Other'!N16)*1194</f>
        <v>0</v>
      </c>
      <c r="G16" s="16">
        <f>SUM('4c. Utility Bills - Steam,Other'!E33,'4c. Utility Bills - Steam,Other'!H33,'4c. Utility Bills - Steam,Other'!K33,'4c. Utility Bills - Steam,Other'!N33)*VLOOKUP($N$9,Lists!$G$139:$I$146,3)</f>
        <v>0</v>
      </c>
      <c r="H16" s="16">
        <f>SUM('4c. Utility Bills - Steam,Other'!E50,'4c. Utility Bills - Steam,Other'!H50,'4c. Utility Bills - Steam,Other'!K50,'4c. Utility Bills - Steam,Other'!N50)*VLOOKUP($N$10,Lists!$G$139:$I$146,3)</f>
        <v>0</v>
      </c>
      <c r="I16" s="16">
        <f>SUM('4d. Utility Bills - Other'!E16,'4d. Utility Bills - Other'!H16,'4d. Utility Bills - Other'!K16,'4d. Utility Bills - Other'!N16)*VLOOKUP($N$11,Lists!$G$139:$I$146,3)</f>
        <v>0</v>
      </c>
      <c r="J16" s="16">
        <f>SUM('4d. Utility Bills - Other'!E33,'4d. Utility Bills - Other'!H33,'4d. Utility Bills - Other'!K33,'4d. Utility Bills - Other'!N33)</f>
        <v>0</v>
      </c>
      <c r="K16" s="16">
        <f>SUM('4d. Utility Bills - Other'!E50,'4d. Utility Bills - Other'!H50,'4d. Utility Bills - Other'!K50,'4d. Utility Bills - Other'!N50)</f>
        <v>0</v>
      </c>
      <c r="L16" s="14"/>
    </row>
    <row r="17" spans="1:12" ht="21.75" customHeight="1">
      <c r="A17" s="350" t="s">
        <v>75</v>
      </c>
      <c r="B17" s="350"/>
      <c r="C17" s="16">
        <f>SUM('4a.1 Utility Bills - Electric'!E17,'4a.1 Utility Bills - Electric'!I17,'4a.1 Utility Bills - Electric'!M17,'4a.1 Utility Bills - Electric'!E34,'4a.1 Utility Bills - Electric'!I34,'4a.1 Utility Bills - Electric'!M34,'4a.1 Utility Bills - Electric'!E51,'4a.1 Utility Bills - Electric'!I51,'4a.1 Utility Bills - Electric'!M51,'4a.2 Utility Bills - Elec add''l'!E17,'4a.2 Utility Bills - Elec add''l'!I17,'4a.2 Utility Bills - Elec add''l'!M17,'4a.2 Utility Bills - Elec add''l'!E34,'4a.2 Utility Bills - Elec add''l'!I34,'4a.2 Utility Bills - Elec add''l'!M34,'4a.2 Utility Bills - Elec add''l'!E51,'4a.2 Utility Bills - Elec add''l'!I51,'4a.2 Utility Bills - Elec add''l'!M51)</f>
        <v>0</v>
      </c>
      <c r="D17" s="16">
        <f>SUM('4a.1 Utility Bills - Electric'!F17,'4a.1 Utility Bills - Electric'!J17,'4a.1 Utility Bills - Electric'!N17,'4a.1 Utility Bills - Electric'!F34,'4a.1 Utility Bills - Electric'!J34,'4a.1 Utility Bills - Electric'!N34,'4a.1 Utility Bills - Electric'!F51,'4a.1 Utility Bills - Electric'!J51,'4a.1 Utility Bills - Electric'!N51,'4a.2 Utility Bills - Elec add''l'!F17,'4a.2 Utility Bills - Elec add''l'!J17,'4a.2 Utility Bills - Elec add''l'!N17,'4a.2 Utility Bills - Elec add''l'!F34,'4a.2 Utility Bills - Elec add''l'!J34,'4a.2 Utility Bills - Elec add''l'!N34,'4a.2 Utility Bills - Elec add''l'!F51,'4a.2 Utility Bills - Elec add''l'!J51,'4a.2 Utility Bills - Elec add''l'!N51)</f>
        <v>0</v>
      </c>
      <c r="E17" s="16">
        <f>SUM('4b. Utility Bills - Nat.Gas'!E17,'4b. Utility Bills - Nat.Gas'!H17,'4b. Utility Bills - Nat.Gas'!K17,'4b. Utility Bills - Nat.Gas'!E34,'4b. Utility Bills - Nat.Gas'!H34,'4b. Utility Bills - Nat.Gas'!K34,'4b. Utility Bills - Nat.Gas'!E51,'4b. Utility Bills - Nat.Gas'!H51,'4b. Utility Bills - Nat.Gas'!K51)</f>
        <v>0</v>
      </c>
      <c r="F17" s="16">
        <f>SUM('4c. Utility Bills - Steam,Other'!E17,'4c. Utility Bills - Steam,Other'!H17,'4c. Utility Bills - Steam,Other'!K17,'4c. Utility Bills - Steam,Other'!N17)*1194</f>
        <v>0</v>
      </c>
      <c r="G17" s="16">
        <f>SUM('4c. Utility Bills - Steam,Other'!E34,'4c. Utility Bills - Steam,Other'!H34,'4c. Utility Bills - Steam,Other'!K34,'4c. Utility Bills - Steam,Other'!N34)*VLOOKUP($N$9,Lists!$G$139:$I$146,3)</f>
        <v>0</v>
      </c>
      <c r="H17" s="16">
        <f>SUM('4c. Utility Bills - Steam,Other'!E51,'4c. Utility Bills - Steam,Other'!H51,'4c. Utility Bills - Steam,Other'!K51,'4c. Utility Bills - Steam,Other'!N51)*VLOOKUP($N$10,Lists!$G$139:$I$146,3)</f>
        <v>0</v>
      </c>
      <c r="I17" s="16">
        <f>SUM('4d. Utility Bills - Other'!E17,'4d. Utility Bills - Other'!H17,'4d. Utility Bills - Other'!K17,'4d. Utility Bills - Other'!N17)*VLOOKUP($N$11,Lists!$G$139:$I$146,3)</f>
        <v>0</v>
      </c>
      <c r="J17" s="16">
        <f>SUM('4d. Utility Bills - Other'!E34,'4d. Utility Bills - Other'!H34,'4d. Utility Bills - Other'!K34,'4d. Utility Bills - Other'!N34)</f>
        <v>0</v>
      </c>
      <c r="K17" s="16">
        <f>SUM('4d. Utility Bills - Other'!E51,'4d. Utility Bills - Other'!H51,'4d. Utility Bills - Other'!K51,'4d. Utility Bills - Other'!N51)</f>
        <v>0</v>
      </c>
      <c r="L17" s="14"/>
    </row>
    <row r="18" spans="1:12" ht="21.75" customHeight="1">
      <c r="A18" s="352" t="s">
        <v>37</v>
      </c>
      <c r="B18" s="352"/>
      <c r="C18" s="16">
        <f t="shared" ref="C18:K18" si="0">IF(SUM(C6:C17)=0,0,SUM(C6:C17))</f>
        <v>0</v>
      </c>
      <c r="D18" s="16">
        <f t="shared" si="0"/>
        <v>0</v>
      </c>
      <c r="E18" s="16">
        <f t="shared" si="0"/>
        <v>0</v>
      </c>
      <c r="F18" s="16">
        <f t="shared" si="0"/>
        <v>0</v>
      </c>
      <c r="G18" s="16">
        <f t="shared" si="0"/>
        <v>0</v>
      </c>
      <c r="H18" s="16">
        <f t="shared" si="0"/>
        <v>0</v>
      </c>
      <c r="I18" s="16">
        <f t="shared" si="0"/>
        <v>0</v>
      </c>
      <c r="J18" s="16">
        <f t="shared" si="0"/>
        <v>0</v>
      </c>
      <c r="K18" s="16">
        <f t="shared" si="0"/>
        <v>0</v>
      </c>
      <c r="L18" s="16"/>
    </row>
    <row r="21" spans="1:12" ht="14.45" customHeight="1">
      <c r="A21" s="352" t="s">
        <v>50</v>
      </c>
      <c r="B21" s="352"/>
      <c r="C21" s="355" t="s">
        <v>76</v>
      </c>
      <c r="D21" s="355"/>
      <c r="E21" s="355"/>
      <c r="F21" s="355"/>
      <c r="G21" s="355"/>
      <c r="H21" s="355"/>
      <c r="I21" s="355"/>
      <c r="J21" s="355"/>
      <c r="K21" s="60"/>
    </row>
    <row r="22" spans="1:12" ht="25.5" customHeight="1">
      <c r="A22" s="350"/>
      <c r="B22" s="350"/>
      <c r="C22" s="74" t="s">
        <v>77</v>
      </c>
      <c r="D22" s="90" t="s">
        <v>78</v>
      </c>
      <c r="E22" s="90" t="s">
        <v>79</v>
      </c>
      <c r="F22" s="90" t="s">
        <v>80</v>
      </c>
      <c r="G22" s="90" t="s">
        <v>81</v>
      </c>
      <c r="H22" s="63" t="str">
        <f>'4d. Utility Bills - Other'!C3</f>
        <v>Fuel Oil #1 Usage</v>
      </c>
      <c r="I22" s="63">
        <f>'4d. Utility Bills - Other'!F20</f>
        <v>0</v>
      </c>
      <c r="J22" s="63">
        <f>'4d. Utility Bills - Other'!F37</f>
        <v>0</v>
      </c>
    </row>
    <row r="23" spans="1:12" ht="14.45" customHeight="1">
      <c r="A23" s="350" t="s">
        <v>58</v>
      </c>
      <c r="B23" s="350"/>
      <c r="C23" s="63">
        <f>IF(C6="","",(C6*$O$6))</f>
        <v>0</v>
      </c>
      <c r="D23" s="63" t="str">
        <f>IF(E6=0,"",(E6*100*$O$7))</f>
        <v/>
      </c>
      <c r="E23" s="63" t="str">
        <f>IF(F6=0,"",(F6*$O$8))</f>
        <v/>
      </c>
      <c r="F23" s="63" t="str">
        <f>IF(G6=0,"",(G6*$O$9))</f>
        <v/>
      </c>
      <c r="G23" s="63" t="str">
        <f>IF(H6=0,"",(H6*$O$10))</f>
        <v/>
      </c>
      <c r="H23" s="63" t="str">
        <f>IF(I6=0,"",(I6*$O$11))</f>
        <v/>
      </c>
      <c r="I23" s="63" t="str">
        <f>IF(J6=0,"",(J6*$O$12))</f>
        <v/>
      </c>
      <c r="J23" s="63" t="str">
        <f>IF(K6=0,"",(K6*$O$13))</f>
        <v/>
      </c>
    </row>
    <row r="24" spans="1:12">
      <c r="A24" s="350" t="s">
        <v>60</v>
      </c>
      <c r="B24" s="350"/>
      <c r="C24" s="63">
        <f t="shared" ref="C24:C34" si="1">IF(C7="","",(C7*$O$6))</f>
        <v>0</v>
      </c>
      <c r="D24" s="63" t="str">
        <f t="shared" ref="D24:D33" si="2">IF(E7=0,"",(E7*100*$O$7))</f>
        <v/>
      </c>
      <c r="E24" s="63" t="str">
        <f t="shared" ref="E24:E34" si="3">IF(F7=0,"",(F7*$O$8))</f>
        <v/>
      </c>
      <c r="F24" s="63" t="str">
        <f t="shared" ref="F24:F34" si="4">IF(G7=0,"",(G7*$O$9))</f>
        <v/>
      </c>
      <c r="G24" s="63" t="str">
        <f t="shared" ref="G24:G34" si="5">IF(H7=0,"",(H7*$O$10))</f>
        <v/>
      </c>
      <c r="H24" s="63" t="str">
        <f t="shared" ref="H24:H34" si="6">IF(I7=0,"",(I7*$O$11))</f>
        <v/>
      </c>
      <c r="I24" s="63" t="str">
        <f t="shared" ref="I24:I34" si="7">IF(J7=0,"",(J7*$O$12))</f>
        <v/>
      </c>
      <c r="J24" s="63" t="str">
        <f t="shared" ref="J24:J34" si="8">IF(K7=0,"",(K7*$O$13))</f>
        <v/>
      </c>
    </row>
    <row r="25" spans="1:12">
      <c r="A25" s="353" t="s">
        <v>62</v>
      </c>
      <c r="B25" s="354"/>
      <c r="C25" s="63">
        <f t="shared" si="1"/>
        <v>0</v>
      </c>
      <c r="D25" s="63" t="str">
        <f t="shared" si="2"/>
        <v/>
      </c>
      <c r="E25" s="63" t="str">
        <f t="shared" si="3"/>
        <v/>
      </c>
      <c r="F25" s="63" t="str">
        <f t="shared" si="4"/>
        <v/>
      </c>
      <c r="G25" s="63" t="str">
        <f t="shared" si="5"/>
        <v/>
      </c>
      <c r="H25" s="63" t="str">
        <f t="shared" si="6"/>
        <v/>
      </c>
      <c r="I25" s="63" t="str">
        <f t="shared" si="7"/>
        <v/>
      </c>
      <c r="J25" s="63" t="str">
        <f t="shared" si="8"/>
        <v/>
      </c>
    </row>
    <row r="26" spans="1:12">
      <c r="A26" s="350" t="s">
        <v>64</v>
      </c>
      <c r="B26" s="350"/>
      <c r="C26" s="63">
        <f t="shared" si="1"/>
        <v>0</v>
      </c>
      <c r="D26" s="63" t="str">
        <f t="shared" si="2"/>
        <v/>
      </c>
      <c r="E26" s="63" t="str">
        <f t="shared" si="3"/>
        <v/>
      </c>
      <c r="F26" s="63" t="str">
        <f t="shared" si="4"/>
        <v/>
      </c>
      <c r="G26" s="63" t="str">
        <f t="shared" si="5"/>
        <v/>
      </c>
      <c r="H26" s="63" t="str">
        <f t="shared" si="6"/>
        <v/>
      </c>
      <c r="I26" s="63" t="str">
        <f t="shared" si="7"/>
        <v/>
      </c>
      <c r="J26" s="63" t="str">
        <f t="shared" si="8"/>
        <v/>
      </c>
    </row>
    <row r="27" spans="1:12">
      <c r="A27" s="350" t="s">
        <v>66</v>
      </c>
      <c r="B27" s="350"/>
      <c r="C27" s="63">
        <f t="shared" si="1"/>
        <v>0</v>
      </c>
      <c r="D27" s="63" t="str">
        <f t="shared" si="2"/>
        <v/>
      </c>
      <c r="E27" s="63" t="str">
        <f t="shared" si="3"/>
        <v/>
      </c>
      <c r="F27" s="63" t="str">
        <f t="shared" si="4"/>
        <v/>
      </c>
      <c r="G27" s="63" t="str">
        <f t="shared" si="5"/>
        <v/>
      </c>
      <c r="H27" s="63" t="str">
        <f t="shared" si="6"/>
        <v/>
      </c>
      <c r="I27" s="63" t="str">
        <f t="shared" si="7"/>
        <v/>
      </c>
      <c r="J27" s="63" t="str">
        <f t="shared" si="8"/>
        <v/>
      </c>
    </row>
    <row r="28" spans="1:12">
      <c r="A28" s="350" t="s">
        <v>68</v>
      </c>
      <c r="B28" s="350"/>
      <c r="C28" s="63">
        <f t="shared" si="1"/>
        <v>0</v>
      </c>
      <c r="D28" s="63" t="str">
        <f t="shared" si="2"/>
        <v/>
      </c>
      <c r="E28" s="63" t="str">
        <f t="shared" si="3"/>
        <v/>
      </c>
      <c r="F28" s="63" t="str">
        <f t="shared" si="4"/>
        <v/>
      </c>
      <c r="G28" s="63" t="str">
        <f t="shared" si="5"/>
        <v/>
      </c>
      <c r="H28" s="63" t="str">
        <f t="shared" si="6"/>
        <v/>
      </c>
      <c r="I28" s="63" t="str">
        <f t="shared" si="7"/>
        <v/>
      </c>
      <c r="J28" s="63" t="str">
        <f t="shared" si="8"/>
        <v/>
      </c>
    </row>
    <row r="29" spans="1:12">
      <c r="A29" s="350" t="s">
        <v>70</v>
      </c>
      <c r="B29" s="350"/>
      <c r="C29" s="63">
        <f t="shared" si="1"/>
        <v>0</v>
      </c>
      <c r="D29" s="63" t="str">
        <f t="shared" si="2"/>
        <v/>
      </c>
      <c r="E29" s="63" t="str">
        <f t="shared" si="3"/>
        <v/>
      </c>
      <c r="F29" s="63" t="str">
        <f t="shared" si="4"/>
        <v/>
      </c>
      <c r="G29" s="63" t="str">
        <f t="shared" si="5"/>
        <v/>
      </c>
      <c r="H29" s="63" t="str">
        <f t="shared" si="6"/>
        <v/>
      </c>
      <c r="I29" s="63" t="str">
        <f t="shared" si="7"/>
        <v/>
      </c>
      <c r="J29" s="63" t="str">
        <f t="shared" si="8"/>
        <v/>
      </c>
    </row>
    <row r="30" spans="1:12">
      <c r="A30" s="350" t="s">
        <v>71</v>
      </c>
      <c r="B30" s="350"/>
      <c r="C30" s="63">
        <f t="shared" si="1"/>
        <v>0</v>
      </c>
      <c r="D30" s="63" t="str">
        <f t="shared" si="2"/>
        <v/>
      </c>
      <c r="E30" s="63" t="str">
        <f t="shared" si="3"/>
        <v/>
      </c>
      <c r="F30" s="63" t="str">
        <f t="shared" si="4"/>
        <v/>
      </c>
      <c r="G30" s="63" t="str">
        <f t="shared" si="5"/>
        <v/>
      </c>
      <c r="H30" s="63" t="str">
        <f t="shared" si="6"/>
        <v/>
      </c>
      <c r="I30" s="63" t="str">
        <f t="shared" si="7"/>
        <v/>
      </c>
      <c r="J30" s="63" t="str">
        <f t="shared" si="8"/>
        <v/>
      </c>
    </row>
    <row r="31" spans="1:12">
      <c r="A31" s="350" t="s">
        <v>72</v>
      </c>
      <c r="B31" s="350"/>
      <c r="C31" s="63">
        <f t="shared" si="1"/>
        <v>0</v>
      </c>
      <c r="D31" s="63" t="str">
        <f t="shared" si="2"/>
        <v/>
      </c>
      <c r="E31" s="63" t="str">
        <f t="shared" si="3"/>
        <v/>
      </c>
      <c r="F31" s="63" t="str">
        <f t="shared" si="4"/>
        <v/>
      </c>
      <c r="G31" s="63" t="str">
        <f t="shared" si="5"/>
        <v/>
      </c>
      <c r="H31" s="63" t="str">
        <f t="shared" si="6"/>
        <v/>
      </c>
      <c r="I31" s="63" t="str">
        <f t="shared" si="7"/>
        <v/>
      </c>
      <c r="J31" s="63" t="str">
        <f t="shared" si="8"/>
        <v/>
      </c>
    </row>
    <row r="32" spans="1:12">
      <c r="A32" s="350" t="s">
        <v>73</v>
      </c>
      <c r="B32" s="350"/>
      <c r="C32" s="63">
        <f t="shared" si="1"/>
        <v>0</v>
      </c>
      <c r="D32" s="63" t="str">
        <f t="shared" si="2"/>
        <v/>
      </c>
      <c r="E32" s="63" t="str">
        <f t="shared" si="3"/>
        <v/>
      </c>
      <c r="F32" s="63" t="str">
        <f t="shared" si="4"/>
        <v/>
      </c>
      <c r="G32" s="63" t="str">
        <f t="shared" si="5"/>
        <v/>
      </c>
      <c r="H32" s="63" t="str">
        <f t="shared" si="6"/>
        <v/>
      </c>
      <c r="I32" s="63" t="str">
        <f t="shared" si="7"/>
        <v/>
      </c>
      <c r="J32" s="63" t="str">
        <f t="shared" si="8"/>
        <v/>
      </c>
    </row>
    <row r="33" spans="1:10">
      <c r="A33" s="350" t="s">
        <v>74</v>
      </c>
      <c r="B33" s="350"/>
      <c r="C33" s="63">
        <f t="shared" si="1"/>
        <v>0</v>
      </c>
      <c r="D33" s="63" t="str">
        <f t="shared" si="2"/>
        <v/>
      </c>
      <c r="E33" s="63" t="str">
        <f t="shared" si="3"/>
        <v/>
      </c>
      <c r="F33" s="63" t="str">
        <f t="shared" si="4"/>
        <v/>
      </c>
      <c r="G33" s="63" t="str">
        <f t="shared" si="5"/>
        <v/>
      </c>
      <c r="H33" s="63" t="str">
        <f t="shared" si="6"/>
        <v/>
      </c>
      <c r="I33" s="63" t="str">
        <f t="shared" si="7"/>
        <v/>
      </c>
      <c r="J33" s="63" t="str">
        <f t="shared" si="8"/>
        <v/>
      </c>
    </row>
    <row r="34" spans="1:10">
      <c r="A34" s="350" t="s">
        <v>75</v>
      </c>
      <c r="B34" s="350"/>
      <c r="C34" s="63">
        <f t="shared" si="1"/>
        <v>0</v>
      </c>
      <c r="D34" s="63" t="str">
        <f>IF(E17=0,"",(E17*100*$O$7))</f>
        <v/>
      </c>
      <c r="E34" s="63" t="str">
        <f t="shared" si="3"/>
        <v/>
      </c>
      <c r="F34" s="63" t="str">
        <f t="shared" si="4"/>
        <v/>
      </c>
      <c r="G34" s="63" t="str">
        <f t="shared" si="5"/>
        <v/>
      </c>
      <c r="H34" s="63" t="str">
        <f t="shared" si="6"/>
        <v/>
      </c>
      <c r="I34" s="63" t="str">
        <f t="shared" si="7"/>
        <v/>
      </c>
      <c r="J34" s="63" t="str">
        <f t="shared" si="8"/>
        <v/>
      </c>
    </row>
    <row r="35" spans="1:10" ht="33.75" customHeight="1">
      <c r="A35" s="352" t="s">
        <v>82</v>
      </c>
      <c r="B35" s="352"/>
      <c r="C35" s="63">
        <f>IF(C23="","",SUM(C23:C34))</f>
        <v>0</v>
      </c>
      <c r="D35" s="63" t="str">
        <f>IF(D23="","",SUM(D23:D34))</f>
        <v/>
      </c>
      <c r="E35" s="63" t="str">
        <f>IF(E23="","",SUM(E23:E34))</f>
        <v/>
      </c>
      <c r="F35" s="63" t="str">
        <f t="shared" ref="F35:J35" si="9">IF(F23="","",SUM(F23:F34))</f>
        <v/>
      </c>
      <c r="G35" s="63" t="str">
        <f t="shared" si="9"/>
        <v/>
      </c>
      <c r="H35" s="63" t="str">
        <f t="shared" si="9"/>
        <v/>
      </c>
      <c r="I35" s="63" t="str">
        <f t="shared" si="9"/>
        <v/>
      </c>
      <c r="J35" s="63" t="str">
        <f t="shared" si="9"/>
        <v/>
      </c>
    </row>
    <row r="36" spans="1:10" ht="24" customHeight="1">
      <c r="A36" s="356" t="s">
        <v>83</v>
      </c>
      <c r="B36" s="356"/>
      <c r="C36" s="356"/>
      <c r="D36" s="356"/>
      <c r="E36" s="356"/>
      <c r="F36" s="357">
        <f>SUM(C35:J35)</f>
        <v>0</v>
      </c>
      <c r="G36" s="358"/>
      <c r="H36" s="358"/>
      <c r="I36" s="358"/>
      <c r="J36" s="359"/>
    </row>
    <row r="39" spans="1:10" ht="21" customHeight="1"/>
  </sheetData>
  <sheetProtection algorithmName="SHA-512" hashValue="/WRmEzJ/65oj8fidY5+ts2e5qgRG7u0hhpvth6IJI7Tp6UDbe7C1JAnJb7cpjKdRCXie6y4UuFooGjN4XO62cA==" saltValue="ABfrtJFvgOYKscYXRBZt3Q==" spinCount="100000" sheet="1" formatCells="0" formatColumns="0" formatRows="0"/>
  <mergeCells count="35">
    <mergeCell ref="C21:J21"/>
    <mergeCell ref="A36:E36"/>
    <mergeCell ref="F36:J36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31:B31"/>
    <mergeCell ref="A21:B21"/>
    <mergeCell ref="A22:B22"/>
    <mergeCell ref="A23:B23"/>
    <mergeCell ref="A24:B24"/>
    <mergeCell ref="A25:B25"/>
    <mergeCell ref="A13:B13"/>
    <mergeCell ref="A14:B14"/>
    <mergeCell ref="A15:B15"/>
    <mergeCell ref="A16:B16"/>
    <mergeCell ref="A17:B17"/>
    <mergeCell ref="A18:B18"/>
    <mergeCell ref="A12:B12"/>
    <mergeCell ref="B3:L3"/>
    <mergeCell ref="A4:B4"/>
    <mergeCell ref="A5:B5"/>
    <mergeCell ref="A6:B6"/>
    <mergeCell ref="A7:B7"/>
    <mergeCell ref="A8:B8"/>
    <mergeCell ref="A9:B9"/>
    <mergeCell ref="A10:B10"/>
    <mergeCell ref="A11:B11"/>
    <mergeCell ref="C4:L4"/>
  </mergeCells>
  <conditionalFormatting sqref="L6:L17">
    <cfRule type="containsBlanks" dxfId="151" priority="7">
      <formula>LEN(TRIM(L6))=0</formula>
    </cfRule>
    <cfRule type="containsBlanks" dxfId="150" priority="9">
      <formula>LEN(TRIM(L6))=0</formula>
    </cfRule>
  </conditionalFormatting>
  <pageMargins left="0.25" right="0.34166666666666667" top="0.75" bottom="0.75" header="0.3" footer="0.3"/>
  <pageSetup scale="82" orientation="portrait" r:id="rId1"/>
  <headerFooter>
    <oddHeader>&amp;L&amp;G&amp;R
&amp;"Liberation Sans,Bold"&amp;14&amp;K00247DEN97A: GHG Adjustments Form</oddHeader>
    <oddFooter>&amp;L&amp;"Liberation Sans,Regular"Version 1.3&amp;R&amp;"Liberation Sans,Regular"Febraury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E18AC6B5-2057-4437-91E8-545DF3BB9E77}">
          <x14:formula1>
            <xm:f>Lists!$G$140:$G$146</xm:f>
          </x14:formula1>
          <xm:sqref>N9:N11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48CD-EB51-409B-932D-D9F682DB704D}">
  <sheetPr codeName="Sheet36"/>
  <dimension ref="A2:N61"/>
  <sheetViews>
    <sheetView view="pageLayout" zoomScaleNormal="100" zoomScaleSheetLayoutView="100" workbookViewId="0">
      <selection activeCell="L1" sqref="L1"/>
    </sheetView>
  </sheetViews>
  <sheetFormatPr defaultColWidth="8.85546875" defaultRowHeight="14.25"/>
  <cols>
    <col min="1" max="1" width="3.28515625" style="94" customWidth="1"/>
    <col min="2" max="2" width="12.140625" style="94" customWidth="1"/>
    <col min="3" max="4" width="9.28515625" style="94" customWidth="1"/>
    <col min="5" max="5" width="9.7109375" style="94" customWidth="1"/>
    <col min="6" max="6" width="9.28515625" style="94" customWidth="1"/>
    <col min="7" max="7" width="9" style="94" customWidth="1"/>
    <col min="8" max="8" width="11.140625" style="94" customWidth="1"/>
    <col min="9" max="9" width="10.140625" style="94" customWidth="1"/>
    <col min="10" max="10" width="10" style="94" customWidth="1"/>
    <col min="11" max="11" width="14.7109375" style="94" customWidth="1"/>
    <col min="12" max="12" width="13.7109375" style="94" bestFit="1" customWidth="1"/>
    <col min="13" max="16384" width="8.85546875" style="94"/>
  </cols>
  <sheetData>
    <row r="2" spans="1:14" ht="15.75" customHeight="1">
      <c r="A2" s="250" t="s">
        <v>84</v>
      </c>
      <c r="B2" s="320" t="s">
        <v>85</v>
      </c>
      <c r="C2" s="321"/>
      <c r="D2" s="321"/>
      <c r="E2" s="321"/>
      <c r="F2" s="321"/>
      <c r="G2" s="321"/>
      <c r="H2" s="321"/>
      <c r="I2" s="321"/>
      <c r="J2" s="321"/>
      <c r="K2" s="321"/>
      <c r="L2" s="325"/>
      <c r="M2" s="251"/>
      <c r="N2" s="251"/>
    </row>
    <row r="3" spans="1:14" s="100" customFormat="1" ht="15.95" customHeight="1">
      <c r="A3" s="362"/>
      <c r="B3" s="369"/>
      <c r="C3" s="320" t="s">
        <v>86</v>
      </c>
      <c r="D3" s="321"/>
      <c r="E3" s="321"/>
      <c r="F3" s="321"/>
      <c r="G3" s="321"/>
      <c r="H3" s="321"/>
      <c r="I3" s="321"/>
      <c r="J3" s="321"/>
      <c r="K3" s="321"/>
      <c r="L3" s="325"/>
    </row>
    <row r="4" spans="1:14" s="100" customFormat="1" ht="35.450000000000003" customHeight="1">
      <c r="A4" s="366"/>
      <c r="B4" s="366"/>
      <c r="C4" s="99" t="s">
        <v>51</v>
      </c>
      <c r="D4" s="99" t="s">
        <v>53</v>
      </c>
      <c r="E4" s="99" t="s">
        <v>87</v>
      </c>
      <c r="F4" s="124" t="str">
        <f>CONCATENATE('4c. Utility Bills - Steam,Other'!$C$20," (kBTU)")</f>
        <v>#2 Fuel Oil Usage (kBTU)</v>
      </c>
      <c r="G4" s="124" t="str">
        <f>CONCATENATE('4c. Utility Bills - Steam,Other'!$C$37," (kBTU)")</f>
        <v>Fuel Oil #5/6 Usage (kBTU)</v>
      </c>
      <c r="H4" s="124" t="str">
        <f>CONCATENATE('4d. Utility Bills - Other'!$F$3," (kBTU)")</f>
        <v>Fuel Oil #1 Usage (kBTU)</v>
      </c>
      <c r="I4" s="124" t="str">
        <f>CONCATENATE('4d. Utility Bills - Other'!$F$20," (kBTU)")</f>
        <v>0 (kBTU)</v>
      </c>
      <c r="J4" s="124" t="str">
        <f>CONCATENATE('4d. Utility Bills - Other'!$F$37," (kBTU)")</f>
        <v>0 (kBTU)</v>
      </c>
      <c r="K4" s="99" t="s">
        <v>88</v>
      </c>
      <c r="L4" s="99" t="s">
        <v>55</v>
      </c>
    </row>
    <row r="5" spans="1:14" s="100" customFormat="1" ht="15.6" customHeight="1">
      <c r="A5" s="360" t="s">
        <v>89</v>
      </c>
      <c r="B5" s="361"/>
      <c r="C5" s="252"/>
      <c r="D5" s="252"/>
      <c r="E5" s="252"/>
      <c r="F5" s="252"/>
      <c r="G5" s="252"/>
      <c r="H5" s="253"/>
      <c r="I5" s="253"/>
      <c r="J5" s="253"/>
      <c r="K5" s="254"/>
      <c r="L5" s="252"/>
    </row>
    <row r="6" spans="1:14" s="100" customFormat="1" ht="15.6" customHeight="1">
      <c r="A6" s="360" t="s">
        <v>90</v>
      </c>
      <c r="B6" s="361"/>
      <c r="C6" s="252"/>
      <c r="D6" s="252"/>
      <c r="E6" s="252"/>
      <c r="F6" s="252"/>
      <c r="G6" s="252"/>
      <c r="H6" s="253"/>
      <c r="I6" s="253"/>
      <c r="J6" s="253"/>
      <c r="K6" s="254"/>
      <c r="L6" s="252"/>
    </row>
    <row r="7" spans="1:14" s="100" customFormat="1" ht="15.95" customHeight="1">
      <c r="A7" s="367" t="s">
        <v>91</v>
      </c>
      <c r="B7" s="368"/>
      <c r="C7" s="252"/>
      <c r="D7" s="252"/>
      <c r="E7" s="252"/>
      <c r="F7" s="252"/>
      <c r="G7" s="252"/>
      <c r="H7" s="253"/>
      <c r="I7" s="253"/>
      <c r="J7" s="253"/>
      <c r="K7" s="254"/>
      <c r="L7" s="252"/>
    </row>
    <row r="8" spans="1:14" s="100" customFormat="1" ht="15.6" customHeight="1">
      <c r="A8" s="360" t="s">
        <v>92</v>
      </c>
      <c r="B8" s="361"/>
      <c r="C8" s="252"/>
      <c r="D8" s="252"/>
      <c r="E8" s="252"/>
      <c r="F8" s="252"/>
      <c r="G8" s="252"/>
      <c r="H8" s="253"/>
      <c r="I8" s="253"/>
      <c r="J8" s="253"/>
      <c r="K8" s="254"/>
      <c r="L8" s="252"/>
    </row>
    <row r="9" spans="1:14" s="100" customFormat="1" ht="15.95" customHeight="1">
      <c r="A9" s="360" t="s">
        <v>93</v>
      </c>
      <c r="B9" s="361"/>
      <c r="C9" s="252"/>
      <c r="D9" s="252"/>
      <c r="E9" s="252"/>
      <c r="F9" s="252"/>
      <c r="G9" s="252"/>
      <c r="H9" s="253"/>
      <c r="I9" s="253"/>
      <c r="J9" s="253"/>
      <c r="K9" s="254"/>
      <c r="L9" s="252"/>
    </row>
    <row r="10" spans="1:14" ht="16.5" customHeight="1">
      <c r="A10" s="360" t="s">
        <v>94</v>
      </c>
      <c r="B10" s="361"/>
      <c r="C10" s="252"/>
      <c r="D10" s="252"/>
      <c r="E10" s="252"/>
      <c r="F10" s="252"/>
      <c r="G10" s="252"/>
      <c r="H10" s="253"/>
      <c r="I10" s="253"/>
      <c r="J10" s="253"/>
      <c r="K10" s="254"/>
      <c r="L10" s="252"/>
    </row>
    <row r="11" spans="1:14" ht="15.6" customHeight="1">
      <c r="A11" s="360" t="s">
        <v>95</v>
      </c>
      <c r="B11" s="361"/>
      <c r="C11" s="252"/>
      <c r="D11" s="252"/>
      <c r="E11" s="252"/>
      <c r="F11" s="252"/>
      <c r="G11" s="252"/>
      <c r="H11" s="253"/>
      <c r="I11" s="253"/>
      <c r="J11" s="253"/>
      <c r="K11" s="254"/>
      <c r="L11" s="252"/>
    </row>
    <row r="12" spans="1:14" ht="14.1" customHeight="1">
      <c r="A12" s="360" t="s">
        <v>96</v>
      </c>
      <c r="B12" s="361"/>
      <c r="C12" s="252"/>
      <c r="D12" s="252"/>
      <c r="E12" s="252"/>
      <c r="F12" s="252"/>
      <c r="G12" s="252"/>
      <c r="H12" s="253"/>
      <c r="I12" s="253"/>
      <c r="J12" s="253"/>
      <c r="K12" s="254"/>
      <c r="L12" s="252"/>
    </row>
    <row r="13" spans="1:14" ht="15.95" customHeight="1">
      <c r="A13" s="360" t="s">
        <v>97</v>
      </c>
      <c r="B13" s="361"/>
      <c r="C13" s="252"/>
      <c r="D13" s="252"/>
      <c r="E13" s="252"/>
      <c r="F13" s="252"/>
      <c r="G13" s="252"/>
      <c r="H13" s="253"/>
      <c r="I13" s="253"/>
      <c r="J13" s="253"/>
      <c r="K13" s="254"/>
      <c r="L13" s="252"/>
    </row>
    <row r="14" spans="1:14" ht="15.6" customHeight="1">
      <c r="A14" s="360" t="s">
        <v>98</v>
      </c>
      <c r="B14" s="361"/>
      <c r="C14" s="252"/>
      <c r="D14" s="252"/>
      <c r="E14" s="252"/>
      <c r="F14" s="252"/>
      <c r="G14" s="252"/>
      <c r="H14" s="253"/>
      <c r="I14" s="253"/>
      <c r="J14" s="253"/>
      <c r="K14" s="254"/>
      <c r="L14" s="252"/>
    </row>
    <row r="15" spans="1:14" ht="14.1" customHeight="1">
      <c r="A15" s="362" t="s">
        <v>37</v>
      </c>
      <c r="B15" s="362"/>
      <c r="C15" s="113">
        <f t="shared" ref="C15:J15" si="0">IF(SUM(C5:C14)=0,0,SUM(C5:C14))</f>
        <v>0</v>
      </c>
      <c r="D15" s="113">
        <f t="shared" si="0"/>
        <v>0</v>
      </c>
      <c r="E15" s="113">
        <f t="shared" si="0"/>
        <v>0</v>
      </c>
      <c r="F15" s="113">
        <f t="shared" si="0"/>
        <v>0</v>
      </c>
      <c r="G15" s="113">
        <f t="shared" si="0"/>
        <v>0</v>
      </c>
      <c r="H15" s="113">
        <f t="shared" si="0"/>
        <v>0</v>
      </c>
      <c r="I15" s="113">
        <f t="shared" si="0"/>
        <v>0</v>
      </c>
      <c r="J15" s="113">
        <f t="shared" si="0"/>
        <v>0</v>
      </c>
      <c r="K15" s="255"/>
    </row>
    <row r="16" spans="1:14">
      <c r="A16" s="125"/>
      <c r="B16" s="125"/>
      <c r="C16" s="125"/>
      <c r="D16" s="125"/>
      <c r="E16" s="125"/>
      <c r="F16" s="125"/>
      <c r="G16" s="125"/>
      <c r="H16" s="125"/>
      <c r="I16" s="125"/>
      <c r="J16" s="125"/>
      <c r="K16" s="125"/>
    </row>
    <row r="17" spans="1:12" s="153" customFormat="1" ht="18.75" customHeight="1">
      <c r="A17" s="257" t="s">
        <v>99</v>
      </c>
      <c r="B17" s="119"/>
      <c r="C17" s="363" t="s">
        <v>100</v>
      </c>
      <c r="D17" s="364"/>
      <c r="E17" s="364"/>
      <c r="F17" s="364"/>
      <c r="G17" s="364"/>
      <c r="H17" s="364"/>
      <c r="I17" s="364"/>
      <c r="J17" s="364"/>
      <c r="K17" s="364"/>
      <c r="L17" s="365"/>
    </row>
    <row r="18" spans="1:12" ht="36.950000000000003" customHeight="1">
      <c r="A18" s="366"/>
      <c r="B18" s="366"/>
      <c r="C18" s="99" t="s">
        <v>51</v>
      </c>
      <c r="D18" s="99" t="s">
        <v>53</v>
      </c>
      <c r="E18" s="99" t="s">
        <v>87</v>
      </c>
      <c r="F18" s="124" t="str">
        <f>CONCATENATE('4c. Utility Bills - Steam,Other'!$C$20," (kBTU)")</f>
        <v>#2 Fuel Oil Usage (kBTU)</v>
      </c>
      <c r="G18" s="124" t="str">
        <f>CONCATENATE('4c. Utility Bills - Steam,Other'!$C$37," (kBTU)")</f>
        <v>Fuel Oil #5/6 Usage (kBTU)</v>
      </c>
      <c r="H18" s="124" t="str">
        <f>CONCATENATE('4d. Utility Bills - Other'!$F$3," (kBTU)")</f>
        <v>Fuel Oil #1 Usage (kBTU)</v>
      </c>
      <c r="I18" s="124" t="str">
        <f>CONCATENATE('4d. Utility Bills - Other'!$F$20," (kBTU)")</f>
        <v>0 (kBTU)</v>
      </c>
      <c r="J18" s="124" t="str">
        <f>CONCATENATE('4d. Utility Bills - Other'!$F$37," (kBTU)")</f>
        <v>0 (kBTU)</v>
      </c>
      <c r="K18" s="99" t="s">
        <v>88</v>
      </c>
      <c r="L18" s="99" t="s">
        <v>55</v>
      </c>
    </row>
    <row r="19" spans="1:12" ht="15.95" customHeight="1">
      <c r="A19" s="360" t="s">
        <v>89</v>
      </c>
      <c r="B19" s="361"/>
      <c r="C19" s="252"/>
      <c r="D19" s="252"/>
      <c r="E19" s="252"/>
      <c r="F19" s="252"/>
      <c r="G19" s="252"/>
      <c r="H19" s="253"/>
      <c r="I19" s="253"/>
      <c r="J19" s="253"/>
      <c r="K19" s="254"/>
      <c r="L19" s="252"/>
    </row>
    <row r="20" spans="1:12" ht="16.5" customHeight="1">
      <c r="A20" s="360" t="s">
        <v>90</v>
      </c>
      <c r="B20" s="361"/>
      <c r="C20" s="252"/>
      <c r="D20" s="252"/>
      <c r="E20" s="252"/>
      <c r="F20" s="252"/>
      <c r="G20" s="252"/>
      <c r="H20" s="253"/>
      <c r="I20" s="253"/>
      <c r="J20" s="253"/>
      <c r="K20" s="254"/>
      <c r="L20" s="252"/>
    </row>
    <row r="21" spans="1:12" ht="15" customHeight="1">
      <c r="A21" s="367" t="s">
        <v>91</v>
      </c>
      <c r="B21" s="368"/>
      <c r="C21" s="252"/>
      <c r="D21" s="252"/>
      <c r="E21" s="252"/>
      <c r="F21" s="252"/>
      <c r="G21" s="252"/>
      <c r="H21" s="253"/>
      <c r="I21" s="253"/>
      <c r="J21" s="253"/>
      <c r="K21" s="254"/>
      <c r="L21" s="252"/>
    </row>
    <row r="22" spans="1:12" ht="16.5" customHeight="1">
      <c r="A22" s="360" t="s">
        <v>92</v>
      </c>
      <c r="B22" s="361"/>
      <c r="C22" s="252"/>
      <c r="D22" s="252"/>
      <c r="E22" s="252"/>
      <c r="F22" s="252"/>
      <c r="G22" s="252"/>
      <c r="H22" s="253"/>
      <c r="I22" s="253"/>
      <c r="J22" s="253"/>
      <c r="K22" s="254"/>
      <c r="L22" s="252"/>
    </row>
    <row r="23" spans="1:12" ht="17.45" customHeight="1">
      <c r="A23" s="360" t="s">
        <v>93</v>
      </c>
      <c r="B23" s="361"/>
      <c r="C23" s="252"/>
      <c r="D23" s="252"/>
      <c r="E23" s="252"/>
      <c r="F23" s="252"/>
      <c r="G23" s="252"/>
      <c r="H23" s="253"/>
      <c r="I23" s="253"/>
      <c r="J23" s="253"/>
      <c r="K23" s="254"/>
      <c r="L23" s="252"/>
    </row>
    <row r="24" spans="1:12" ht="16.5" customHeight="1">
      <c r="A24" s="360" t="s">
        <v>94</v>
      </c>
      <c r="B24" s="361"/>
      <c r="C24" s="252"/>
      <c r="D24" s="252"/>
      <c r="E24" s="252"/>
      <c r="F24" s="252"/>
      <c r="G24" s="252"/>
      <c r="H24" s="253"/>
      <c r="I24" s="253"/>
      <c r="J24" s="253"/>
      <c r="K24" s="254"/>
      <c r="L24" s="252"/>
    </row>
    <row r="25" spans="1:12" ht="15.6" customHeight="1">
      <c r="A25" s="360" t="s">
        <v>95</v>
      </c>
      <c r="B25" s="361"/>
      <c r="C25" s="252"/>
      <c r="D25" s="252"/>
      <c r="E25" s="252"/>
      <c r="F25" s="252"/>
      <c r="G25" s="252"/>
      <c r="H25" s="253"/>
      <c r="I25" s="253"/>
      <c r="J25" s="253"/>
      <c r="K25" s="254"/>
      <c r="L25" s="252"/>
    </row>
    <row r="26" spans="1:12" ht="15.95" customHeight="1">
      <c r="A26" s="360" t="s">
        <v>96</v>
      </c>
      <c r="B26" s="361"/>
      <c r="C26" s="252"/>
      <c r="D26" s="252"/>
      <c r="E26" s="252"/>
      <c r="F26" s="252"/>
      <c r="G26" s="252"/>
      <c r="H26" s="253"/>
      <c r="I26" s="253"/>
      <c r="J26" s="253"/>
      <c r="K26" s="254"/>
      <c r="L26" s="252"/>
    </row>
    <row r="27" spans="1:12" ht="15.95" customHeight="1">
      <c r="A27" s="360" t="s">
        <v>97</v>
      </c>
      <c r="B27" s="361"/>
      <c r="C27" s="252"/>
      <c r="D27" s="252"/>
      <c r="E27" s="252"/>
      <c r="F27" s="252"/>
      <c r="G27" s="252"/>
      <c r="H27" s="253"/>
      <c r="I27" s="253"/>
      <c r="J27" s="253"/>
      <c r="K27" s="254"/>
      <c r="L27" s="252"/>
    </row>
    <row r="28" spans="1:12" ht="18" customHeight="1">
      <c r="A28" s="360" t="s">
        <v>98</v>
      </c>
      <c r="B28" s="361"/>
      <c r="C28" s="252"/>
      <c r="D28" s="252"/>
      <c r="E28" s="252"/>
      <c r="F28" s="252"/>
      <c r="G28" s="252"/>
      <c r="H28" s="253"/>
      <c r="I28" s="253"/>
      <c r="J28" s="253"/>
      <c r="K28" s="254"/>
      <c r="L28" s="252"/>
    </row>
    <row r="29" spans="1:12" ht="16.5" customHeight="1">
      <c r="A29" s="362" t="s">
        <v>37</v>
      </c>
      <c r="B29" s="362"/>
      <c r="C29" s="113">
        <f t="shared" ref="C29:J29" si="1">IF(SUM(C19:C28)=0,0,SUM(C19:C28))</f>
        <v>0</v>
      </c>
      <c r="D29" s="113">
        <f t="shared" si="1"/>
        <v>0</v>
      </c>
      <c r="E29" s="113">
        <f t="shared" si="1"/>
        <v>0</v>
      </c>
      <c r="F29" s="113">
        <f t="shared" si="1"/>
        <v>0</v>
      </c>
      <c r="G29" s="113">
        <f t="shared" si="1"/>
        <v>0</v>
      </c>
      <c r="H29" s="113">
        <f t="shared" si="1"/>
        <v>0</v>
      </c>
      <c r="I29" s="113">
        <f t="shared" si="1"/>
        <v>0</v>
      </c>
      <c r="J29" s="113">
        <f t="shared" si="1"/>
        <v>0</v>
      </c>
      <c r="K29" s="255"/>
    </row>
    <row r="30" spans="1:12" ht="12.95" customHeight="1"/>
    <row r="49" spans="1:4">
      <c r="A49" s="149"/>
      <c r="B49" s="149"/>
      <c r="C49" s="149"/>
      <c r="D49" s="149"/>
    </row>
    <row r="50" spans="1:4">
      <c r="A50" s="256"/>
      <c r="B50" s="256"/>
      <c r="C50" s="256"/>
      <c r="D50" s="149"/>
    </row>
    <row r="51" spans="1:4">
      <c r="A51" s="256"/>
      <c r="B51" s="256"/>
      <c r="C51" s="256"/>
      <c r="D51" s="149"/>
    </row>
    <row r="52" spans="1:4">
      <c r="A52" s="256"/>
      <c r="B52" s="256"/>
      <c r="C52" s="256"/>
      <c r="D52" s="149"/>
    </row>
    <row r="53" spans="1:4">
      <c r="A53" s="256"/>
      <c r="B53" s="256"/>
      <c r="C53" s="256"/>
      <c r="D53" s="149"/>
    </row>
    <row r="54" spans="1:4">
      <c r="A54" s="256"/>
      <c r="B54" s="256"/>
      <c r="C54" s="256"/>
      <c r="D54" s="149"/>
    </row>
    <row r="55" spans="1:4">
      <c r="A55" s="256"/>
      <c r="B55" s="256"/>
      <c r="C55" s="256"/>
      <c r="D55" s="149"/>
    </row>
    <row r="56" spans="1:4">
      <c r="A56" s="256"/>
      <c r="B56" s="256"/>
      <c r="C56" s="256"/>
      <c r="D56" s="149"/>
    </row>
    <row r="57" spans="1:4">
      <c r="A57" s="256"/>
      <c r="B57" s="256"/>
      <c r="C57" s="256"/>
      <c r="D57" s="149"/>
    </row>
    <row r="58" spans="1:4">
      <c r="A58" s="256"/>
      <c r="B58" s="256"/>
      <c r="C58" s="256"/>
      <c r="D58" s="149"/>
    </row>
    <row r="59" spans="1:4">
      <c r="A59" s="256"/>
      <c r="B59" s="256"/>
      <c r="C59" s="256"/>
      <c r="D59" s="149"/>
    </row>
    <row r="60" spans="1:4">
      <c r="A60" s="256"/>
      <c r="B60" s="256"/>
      <c r="C60" s="256"/>
      <c r="D60" s="149"/>
    </row>
    <row r="61" spans="1:4">
      <c r="A61" s="149"/>
      <c r="B61" s="149"/>
      <c r="C61" s="149"/>
      <c r="D61" s="149"/>
    </row>
  </sheetData>
  <sheetProtection algorithmName="SHA-512" hashValue="L67RIwuYc17a3tw7Y5T1ifF7j1A7A5S4GSV+NIHoGz40CSWB3c2+F0eTn2KDIfInmK9pcLSHoOA3DtPlqIzx5w==" saltValue="bHVmNMPHk3+230Y5nFoXSg==" spinCount="100000" sheet="1" formatCells="0" formatColumns="0" formatRows="0"/>
  <mergeCells count="28">
    <mergeCell ref="A28:B28"/>
    <mergeCell ref="A22:B22"/>
    <mergeCell ref="A29:B29"/>
    <mergeCell ref="A11:B11"/>
    <mergeCell ref="A3:B3"/>
    <mergeCell ref="A8:B8"/>
    <mergeCell ref="A9:B9"/>
    <mergeCell ref="A10:B10"/>
    <mergeCell ref="A4:B4"/>
    <mergeCell ref="A5:B5"/>
    <mergeCell ref="A6:B6"/>
    <mergeCell ref="A7:B7"/>
    <mergeCell ref="A26:B26"/>
    <mergeCell ref="A23:B23"/>
    <mergeCell ref="A24:B24"/>
    <mergeCell ref="A25:B25"/>
    <mergeCell ref="A27:B27"/>
    <mergeCell ref="C17:L17"/>
    <mergeCell ref="A18:B18"/>
    <mergeCell ref="A19:B19"/>
    <mergeCell ref="A20:B20"/>
    <mergeCell ref="A21:B21"/>
    <mergeCell ref="A12:B12"/>
    <mergeCell ref="A13:B13"/>
    <mergeCell ref="A14:B14"/>
    <mergeCell ref="A15:B15"/>
    <mergeCell ref="B2:L2"/>
    <mergeCell ref="C3:L3"/>
  </mergeCells>
  <conditionalFormatting sqref="D5:D14 H5:J14 H19:J28">
    <cfRule type="containsBlanks" dxfId="149" priority="16">
      <formula>LEN(TRIM(D5))=0</formula>
    </cfRule>
    <cfRule type="containsBlanks" dxfId="148" priority="19">
      <formula>LEN(TRIM(D5))=0</formula>
    </cfRule>
  </conditionalFormatting>
  <conditionalFormatting sqref="C5:C14">
    <cfRule type="containsBlanks" dxfId="147" priority="15">
      <formula>LEN(TRIM(C5))=0</formula>
    </cfRule>
    <cfRule type="containsBlanks" dxfId="146" priority="18">
      <formula>LEN(TRIM(C5))=0</formula>
    </cfRule>
  </conditionalFormatting>
  <conditionalFormatting sqref="E5:G14">
    <cfRule type="containsBlanks" dxfId="145" priority="13">
      <formula>LEN(TRIM(E5))=0</formula>
    </cfRule>
    <cfRule type="containsBlanks" dxfId="144" priority="14">
      <formula>LEN(TRIM(E5))=0</formula>
    </cfRule>
  </conditionalFormatting>
  <conditionalFormatting sqref="D19:D28">
    <cfRule type="containsBlanks" dxfId="143" priority="9">
      <formula>LEN(TRIM(D19))=0</formula>
    </cfRule>
    <cfRule type="containsBlanks" dxfId="142" priority="12">
      <formula>LEN(TRIM(D19))=0</formula>
    </cfRule>
  </conditionalFormatting>
  <conditionalFormatting sqref="C19:C28">
    <cfRule type="containsBlanks" dxfId="141" priority="8">
      <formula>LEN(TRIM(C19))=0</formula>
    </cfRule>
    <cfRule type="containsBlanks" dxfId="140" priority="11">
      <formula>LEN(TRIM(C19))=0</formula>
    </cfRule>
  </conditionalFormatting>
  <conditionalFormatting sqref="E19:G28">
    <cfRule type="containsBlanks" dxfId="139" priority="6">
      <formula>LEN(TRIM(E19))=0</formula>
    </cfRule>
    <cfRule type="containsBlanks" dxfId="138" priority="7">
      <formula>LEN(TRIM(E19))=0</formula>
    </cfRule>
  </conditionalFormatting>
  <conditionalFormatting sqref="L5:L14">
    <cfRule type="containsBlanks" dxfId="137" priority="3">
      <formula>LEN(TRIM(L5))=0</formula>
    </cfRule>
    <cfRule type="containsBlanks" dxfId="136" priority="4">
      <formula>LEN(TRIM(L5))=0</formula>
    </cfRule>
  </conditionalFormatting>
  <conditionalFormatting sqref="L19:L28">
    <cfRule type="containsBlanks" dxfId="135" priority="1">
      <formula>LEN(TRIM(L19))=0</formula>
    </cfRule>
    <cfRule type="containsBlanks" dxfId="134" priority="2">
      <formula>LEN(TRIM(L19))=0</formula>
    </cfRule>
  </conditionalFormatting>
  <pageMargins left="0.37583333333333335" right="0.27333333333333332" top="0.75" bottom="0.75" header="0.3" footer="0.3"/>
  <pageSetup scale="82" orientation="portrait" r:id="rId1"/>
  <headerFooter>
    <oddHeader>&amp;L&amp;G&amp;R&amp;"Liberation Sans,Bold"&amp;14&amp;K00247D
EN97A: GHG Adjustments Form</oddHeader>
    <oddFooter>&amp;L&amp;"Liberation Sans,Regular"Version 1.3&amp;R&amp;"Liberation Sans,Regular"February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00092CF-EA1F-4815-AA82-A547366506E1}">
          <x14:formula1>
            <xm:f>Lists!$K$1:$K$3</xm:f>
          </x14:formula1>
          <xm:sqref>K19:K28 K5:K14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EE261-F7CB-4915-9342-979AE3A78D56}">
  <sheetPr codeName="Sheet51"/>
  <dimension ref="A1:J36"/>
  <sheetViews>
    <sheetView view="pageLayout" zoomScaleNormal="100" zoomScaleSheetLayoutView="90" workbookViewId="0">
      <selection activeCell="J1" sqref="J1"/>
    </sheetView>
  </sheetViews>
  <sheetFormatPr defaultColWidth="8.85546875" defaultRowHeight="14.25"/>
  <cols>
    <col min="1" max="1" width="2.85546875" style="94" customWidth="1"/>
    <col min="2" max="2" width="14.85546875" style="94" customWidth="1"/>
    <col min="3" max="3" width="15.7109375" style="94" customWidth="1"/>
    <col min="4" max="5" width="11.85546875" style="94" customWidth="1"/>
    <col min="6" max="6" width="12.28515625" style="94" customWidth="1"/>
    <col min="7" max="7" width="12.42578125" style="94" customWidth="1"/>
    <col min="8" max="8" width="15" style="94" customWidth="1"/>
    <col min="9" max="9" width="10" style="94" customWidth="1"/>
    <col min="10" max="16384" width="8.85546875" style="94"/>
  </cols>
  <sheetData>
    <row r="1" spans="1:10">
      <c r="A1" s="246"/>
      <c r="B1" s="246"/>
      <c r="C1" s="246"/>
      <c r="D1" s="246"/>
      <c r="E1" s="246"/>
      <c r="F1" s="246"/>
      <c r="G1" s="246"/>
      <c r="H1" s="246"/>
      <c r="I1" s="246"/>
      <c r="J1" s="246"/>
    </row>
    <row r="2" spans="1:10">
      <c r="A2" s="246"/>
    </row>
    <row r="3" spans="1:10" s="153" customFormat="1" ht="14.45" customHeight="1">
      <c r="A3" s="394" t="s">
        <v>945</v>
      </c>
      <c r="B3" s="395"/>
      <c r="C3" s="363" t="s">
        <v>101</v>
      </c>
      <c r="D3" s="364"/>
      <c r="E3" s="364"/>
      <c r="F3" s="364"/>
      <c r="G3" s="364"/>
      <c r="H3" s="364"/>
      <c r="I3" s="364"/>
      <c r="J3" s="365"/>
    </row>
    <row r="4" spans="1:10" ht="22.5">
      <c r="A4" s="360"/>
      <c r="B4" s="361"/>
      <c r="C4" s="99" t="s">
        <v>51</v>
      </c>
      <c r="D4" s="99" t="s">
        <v>53</v>
      </c>
      <c r="E4" s="99" t="s">
        <v>87</v>
      </c>
      <c r="F4" s="113" t="str">
        <f>CONCATENATE('4c. Utility Bills - Steam,Other'!$C$20," (kBTU)")</f>
        <v>#2 Fuel Oil Usage (kBTU)</v>
      </c>
      <c r="G4" s="113" t="str">
        <f>CONCATENATE('4c. Utility Bills - Steam,Other'!$C$37," (kBTU)")</f>
        <v>Fuel Oil #5/6 Usage (kBTU)</v>
      </c>
      <c r="H4" s="113" t="str">
        <f>CONCATENATE('4d. Utility Bills - Other'!$F$3," (kBTU)")</f>
        <v>Fuel Oil #1 Usage (kBTU)</v>
      </c>
      <c r="I4" s="113" t="str">
        <f>CONCATENATE('4d. Utility Bills - Other'!$F$20," (kBTU)")</f>
        <v>0 (kBTU)</v>
      </c>
      <c r="J4" s="113" t="str">
        <f>CONCATENATE('4d. Utility Bills - Other'!$F$37," (kBTU)")</f>
        <v>0 (kBTU)</v>
      </c>
    </row>
    <row r="5" spans="1:10" ht="19.5" customHeight="1">
      <c r="A5" s="360" t="s">
        <v>89</v>
      </c>
      <c r="B5" s="361"/>
      <c r="C5" s="113">
        <f>'5a-b. Special Circ End Use'!C5-'5a-b. Special Circ End Use'!C19</f>
        <v>0</v>
      </c>
      <c r="D5" s="113">
        <f>'5a-b. Special Circ End Use'!D5-'5a-b. Special Circ End Use'!D19</f>
        <v>0</v>
      </c>
      <c r="E5" s="113">
        <f>'5a-b. Special Circ End Use'!E5-'5a-b. Special Circ End Use'!E19</f>
        <v>0</v>
      </c>
      <c r="F5" s="113">
        <f>'5a-b. Special Circ End Use'!F5-'5a-b. Special Circ End Use'!F19</f>
        <v>0</v>
      </c>
      <c r="G5" s="113">
        <f>'5a-b. Special Circ End Use'!G5-'5a-b. Special Circ End Use'!G19</f>
        <v>0</v>
      </c>
      <c r="H5" s="113">
        <f>'5a-b. Special Circ End Use'!H5-'5a-b. Special Circ End Use'!H19</f>
        <v>0</v>
      </c>
      <c r="I5" s="113">
        <f>'5a-b. Special Circ End Use'!I5-'5a-b. Special Circ End Use'!I19</f>
        <v>0</v>
      </c>
      <c r="J5" s="113">
        <f>'5a-b. Special Circ End Use'!J5-'5a-b. Special Circ End Use'!J19</f>
        <v>0</v>
      </c>
    </row>
    <row r="6" spans="1:10" ht="18.95" customHeight="1">
      <c r="A6" s="360" t="s">
        <v>90</v>
      </c>
      <c r="B6" s="361"/>
      <c r="C6" s="113">
        <f>'5a-b. Special Circ End Use'!C6-'5a-b. Special Circ End Use'!C20</f>
        <v>0</v>
      </c>
      <c r="D6" s="113">
        <f>'5a-b. Special Circ End Use'!D6-'5a-b. Special Circ End Use'!D20</f>
        <v>0</v>
      </c>
      <c r="E6" s="113">
        <f>'5a-b. Special Circ End Use'!E6-'5a-b. Special Circ End Use'!E20</f>
        <v>0</v>
      </c>
      <c r="F6" s="113">
        <f>'5a-b. Special Circ End Use'!F6-'5a-b. Special Circ End Use'!F20</f>
        <v>0</v>
      </c>
      <c r="G6" s="113">
        <f>'5a-b. Special Circ End Use'!G6-'5a-b. Special Circ End Use'!G20</f>
        <v>0</v>
      </c>
      <c r="H6" s="113">
        <f>'5a-b. Special Circ End Use'!H6-'5a-b. Special Circ End Use'!H20</f>
        <v>0</v>
      </c>
      <c r="I6" s="113">
        <f>'5a-b. Special Circ End Use'!I6-'5a-b. Special Circ End Use'!I20</f>
        <v>0</v>
      </c>
      <c r="J6" s="113">
        <f>'5a-b. Special Circ End Use'!J6-'5a-b. Special Circ End Use'!J20</f>
        <v>0</v>
      </c>
    </row>
    <row r="7" spans="1:10" ht="18" customHeight="1">
      <c r="A7" s="367" t="s">
        <v>91</v>
      </c>
      <c r="B7" s="368"/>
      <c r="C7" s="113">
        <f>'5a-b. Special Circ End Use'!C7-'5a-b. Special Circ End Use'!C21</f>
        <v>0</v>
      </c>
      <c r="D7" s="113">
        <f>'5a-b. Special Circ End Use'!D7-'5a-b. Special Circ End Use'!D21</f>
        <v>0</v>
      </c>
      <c r="E7" s="113">
        <f>'5a-b. Special Circ End Use'!E7-'5a-b. Special Circ End Use'!E21</f>
        <v>0</v>
      </c>
      <c r="F7" s="113">
        <f>'5a-b. Special Circ End Use'!F7-'5a-b. Special Circ End Use'!F21</f>
        <v>0</v>
      </c>
      <c r="G7" s="113">
        <f>'5a-b. Special Circ End Use'!G7-'5a-b. Special Circ End Use'!G21</f>
        <v>0</v>
      </c>
      <c r="H7" s="113">
        <f>'5a-b. Special Circ End Use'!H7-'5a-b. Special Circ End Use'!H21</f>
        <v>0</v>
      </c>
      <c r="I7" s="113">
        <f>'5a-b. Special Circ End Use'!I7-'5a-b. Special Circ End Use'!I21</f>
        <v>0</v>
      </c>
      <c r="J7" s="113">
        <f>'5a-b. Special Circ End Use'!J7-'5a-b. Special Circ End Use'!J21</f>
        <v>0</v>
      </c>
    </row>
    <row r="8" spans="1:10" ht="18" customHeight="1">
      <c r="A8" s="360" t="s">
        <v>92</v>
      </c>
      <c r="B8" s="361"/>
      <c r="C8" s="113">
        <f>'5a-b. Special Circ End Use'!C8-'5a-b. Special Circ End Use'!C22</f>
        <v>0</v>
      </c>
      <c r="D8" s="113">
        <f>'5a-b. Special Circ End Use'!D8-'5a-b. Special Circ End Use'!D22</f>
        <v>0</v>
      </c>
      <c r="E8" s="113">
        <f>'5a-b. Special Circ End Use'!E8-'5a-b. Special Circ End Use'!E22</f>
        <v>0</v>
      </c>
      <c r="F8" s="113">
        <f>'5a-b. Special Circ End Use'!F8-'5a-b. Special Circ End Use'!F22</f>
        <v>0</v>
      </c>
      <c r="G8" s="113">
        <f>'5a-b. Special Circ End Use'!G8-'5a-b. Special Circ End Use'!G22</f>
        <v>0</v>
      </c>
      <c r="H8" s="113">
        <f>'5a-b. Special Circ End Use'!H8-'5a-b. Special Circ End Use'!H22</f>
        <v>0</v>
      </c>
      <c r="I8" s="113">
        <f>'5a-b. Special Circ End Use'!I8-'5a-b. Special Circ End Use'!I22</f>
        <v>0</v>
      </c>
      <c r="J8" s="113">
        <f>'5a-b. Special Circ End Use'!J8-'5a-b. Special Circ End Use'!J22</f>
        <v>0</v>
      </c>
    </row>
    <row r="9" spans="1:10" ht="18" customHeight="1">
      <c r="A9" s="360" t="s">
        <v>93</v>
      </c>
      <c r="B9" s="361"/>
      <c r="C9" s="113">
        <f>'5a-b. Special Circ End Use'!C9-'5a-b. Special Circ End Use'!C23</f>
        <v>0</v>
      </c>
      <c r="D9" s="113">
        <f>'5a-b. Special Circ End Use'!D9-'5a-b. Special Circ End Use'!D23</f>
        <v>0</v>
      </c>
      <c r="E9" s="113">
        <f>'5a-b. Special Circ End Use'!E9-'5a-b. Special Circ End Use'!E23</f>
        <v>0</v>
      </c>
      <c r="F9" s="113">
        <f>'5a-b. Special Circ End Use'!F9-'5a-b. Special Circ End Use'!F23</f>
        <v>0</v>
      </c>
      <c r="G9" s="113">
        <f>'5a-b. Special Circ End Use'!G9-'5a-b. Special Circ End Use'!G23</f>
        <v>0</v>
      </c>
      <c r="H9" s="113">
        <f>'5a-b. Special Circ End Use'!H9-'5a-b. Special Circ End Use'!H23</f>
        <v>0</v>
      </c>
      <c r="I9" s="113">
        <f>'5a-b. Special Circ End Use'!I9-'5a-b. Special Circ End Use'!I23</f>
        <v>0</v>
      </c>
      <c r="J9" s="113">
        <f>'5a-b. Special Circ End Use'!J9-'5a-b. Special Circ End Use'!J23</f>
        <v>0</v>
      </c>
    </row>
    <row r="10" spans="1:10" ht="17.45" customHeight="1">
      <c r="A10" s="360" t="s">
        <v>94</v>
      </c>
      <c r="B10" s="361"/>
      <c r="C10" s="113">
        <f>'5a-b. Special Circ End Use'!C10-'5a-b. Special Circ End Use'!C24</f>
        <v>0</v>
      </c>
      <c r="D10" s="113">
        <f>'5a-b. Special Circ End Use'!D10-'5a-b. Special Circ End Use'!D24</f>
        <v>0</v>
      </c>
      <c r="E10" s="113">
        <f>'5a-b. Special Circ End Use'!E10-'5a-b. Special Circ End Use'!E24</f>
        <v>0</v>
      </c>
      <c r="F10" s="113">
        <f>'5a-b. Special Circ End Use'!F10-'5a-b. Special Circ End Use'!F24</f>
        <v>0</v>
      </c>
      <c r="G10" s="113">
        <f>'5a-b. Special Circ End Use'!G10-'5a-b. Special Circ End Use'!G24</f>
        <v>0</v>
      </c>
      <c r="H10" s="113">
        <f>'5a-b. Special Circ End Use'!H10-'5a-b. Special Circ End Use'!H24</f>
        <v>0</v>
      </c>
      <c r="I10" s="113">
        <f>'5a-b. Special Circ End Use'!I10-'5a-b. Special Circ End Use'!I24</f>
        <v>0</v>
      </c>
      <c r="J10" s="113">
        <f>'5a-b. Special Circ End Use'!J10-'5a-b. Special Circ End Use'!J24</f>
        <v>0</v>
      </c>
    </row>
    <row r="11" spans="1:10" ht="15.95" customHeight="1">
      <c r="A11" s="360" t="s">
        <v>95</v>
      </c>
      <c r="B11" s="361"/>
      <c r="C11" s="113">
        <f>'5a-b. Special Circ End Use'!C11-'5a-b. Special Circ End Use'!C25</f>
        <v>0</v>
      </c>
      <c r="D11" s="113">
        <f>'5a-b. Special Circ End Use'!D11-'5a-b. Special Circ End Use'!D25</f>
        <v>0</v>
      </c>
      <c r="E11" s="113">
        <f>'5a-b. Special Circ End Use'!E11-'5a-b. Special Circ End Use'!E25</f>
        <v>0</v>
      </c>
      <c r="F11" s="113">
        <f>'5a-b. Special Circ End Use'!F11-'5a-b. Special Circ End Use'!F25</f>
        <v>0</v>
      </c>
      <c r="G11" s="113">
        <f>'5a-b. Special Circ End Use'!G11-'5a-b. Special Circ End Use'!G25</f>
        <v>0</v>
      </c>
      <c r="H11" s="113">
        <f>'5a-b. Special Circ End Use'!H11-'5a-b. Special Circ End Use'!H25</f>
        <v>0</v>
      </c>
      <c r="I11" s="113">
        <f>'5a-b. Special Circ End Use'!I11-'5a-b. Special Circ End Use'!I25</f>
        <v>0</v>
      </c>
      <c r="J11" s="113">
        <f>'5a-b. Special Circ End Use'!J11-'5a-b. Special Circ End Use'!J25</f>
        <v>0</v>
      </c>
    </row>
    <row r="12" spans="1:10" ht="17.100000000000001" customHeight="1">
      <c r="A12" s="360" t="s">
        <v>96</v>
      </c>
      <c r="B12" s="361"/>
      <c r="C12" s="113">
        <f>'5a-b. Special Circ End Use'!C12-'5a-b. Special Circ End Use'!C26</f>
        <v>0</v>
      </c>
      <c r="D12" s="113">
        <f>'5a-b. Special Circ End Use'!D12-'5a-b. Special Circ End Use'!D26</f>
        <v>0</v>
      </c>
      <c r="E12" s="113">
        <f>'5a-b. Special Circ End Use'!E12-'5a-b. Special Circ End Use'!E26</f>
        <v>0</v>
      </c>
      <c r="F12" s="113">
        <f>'5a-b. Special Circ End Use'!F12-'5a-b. Special Circ End Use'!F26</f>
        <v>0</v>
      </c>
      <c r="G12" s="113">
        <f>'5a-b. Special Circ End Use'!G12-'5a-b. Special Circ End Use'!G26</f>
        <v>0</v>
      </c>
      <c r="H12" s="113">
        <f>'5a-b. Special Circ End Use'!H12-'5a-b. Special Circ End Use'!H26</f>
        <v>0</v>
      </c>
      <c r="I12" s="113">
        <f>'5a-b. Special Circ End Use'!I12-'5a-b. Special Circ End Use'!I26</f>
        <v>0</v>
      </c>
      <c r="J12" s="113">
        <f>'5a-b. Special Circ End Use'!J12-'5a-b. Special Circ End Use'!J26</f>
        <v>0</v>
      </c>
    </row>
    <row r="13" spans="1:10" ht="15.95" customHeight="1">
      <c r="A13" s="360" t="s">
        <v>97</v>
      </c>
      <c r="B13" s="361"/>
      <c r="C13" s="113">
        <f>'5a-b. Special Circ End Use'!C13-'5a-b. Special Circ End Use'!C27</f>
        <v>0</v>
      </c>
      <c r="D13" s="113">
        <f>'5a-b. Special Circ End Use'!D13-'5a-b. Special Circ End Use'!D27</f>
        <v>0</v>
      </c>
      <c r="E13" s="113">
        <f>'5a-b. Special Circ End Use'!E13-'5a-b. Special Circ End Use'!E27</f>
        <v>0</v>
      </c>
      <c r="F13" s="113">
        <f>'5a-b. Special Circ End Use'!F13-'5a-b. Special Circ End Use'!F27</f>
        <v>0</v>
      </c>
      <c r="G13" s="113">
        <f>'5a-b. Special Circ End Use'!G13-'5a-b. Special Circ End Use'!G27</f>
        <v>0</v>
      </c>
      <c r="H13" s="113">
        <f>'5a-b. Special Circ End Use'!H13-'5a-b. Special Circ End Use'!H27</f>
        <v>0</v>
      </c>
      <c r="I13" s="113">
        <f>'5a-b. Special Circ End Use'!I13-'5a-b. Special Circ End Use'!I27</f>
        <v>0</v>
      </c>
      <c r="J13" s="113">
        <f>'5a-b. Special Circ End Use'!J13-'5a-b. Special Circ End Use'!J27</f>
        <v>0</v>
      </c>
    </row>
    <row r="14" spans="1:10" ht="15.95" customHeight="1">
      <c r="A14" s="360" t="s">
        <v>98</v>
      </c>
      <c r="B14" s="361"/>
      <c r="C14" s="113">
        <f>'5a-b. Special Circ End Use'!C14-'5a-b. Special Circ End Use'!C28</f>
        <v>0</v>
      </c>
      <c r="D14" s="113">
        <f>'5a-b. Special Circ End Use'!D14-'5a-b. Special Circ End Use'!D28</f>
        <v>0</v>
      </c>
      <c r="E14" s="113">
        <f>'5a-b. Special Circ End Use'!E14-'5a-b. Special Circ End Use'!E28</f>
        <v>0</v>
      </c>
      <c r="F14" s="113">
        <f>'5a-b. Special Circ End Use'!F14-'5a-b. Special Circ End Use'!F28</f>
        <v>0</v>
      </c>
      <c r="G14" s="113">
        <f>'5a-b. Special Circ End Use'!G14-'5a-b. Special Circ End Use'!G28</f>
        <v>0</v>
      </c>
      <c r="H14" s="113">
        <f>'5a-b. Special Circ End Use'!H14-'5a-b. Special Circ End Use'!H28</f>
        <v>0</v>
      </c>
      <c r="I14" s="113">
        <f>'5a-b. Special Circ End Use'!I14-'5a-b. Special Circ End Use'!I28</f>
        <v>0</v>
      </c>
      <c r="J14" s="113">
        <f>'5a-b. Special Circ End Use'!J14-'5a-b. Special Circ End Use'!J28</f>
        <v>0</v>
      </c>
    </row>
    <row r="15" spans="1:10" ht="15.95" customHeight="1">
      <c r="A15" s="392" t="s">
        <v>37</v>
      </c>
      <c r="B15" s="393"/>
      <c r="C15" s="113">
        <f>'5a-b. Special Circ End Use'!C15-'5a-b. Special Circ End Use'!C29</f>
        <v>0</v>
      </c>
      <c r="D15" s="113">
        <f>'5a-b. Special Circ End Use'!D15-'5a-b. Special Circ End Use'!D29</f>
        <v>0</v>
      </c>
      <c r="E15" s="113">
        <f>'5a-b. Special Circ End Use'!E15-'5a-b. Special Circ End Use'!E29</f>
        <v>0</v>
      </c>
      <c r="F15" s="113">
        <f>'5a-b. Special Circ End Use'!F15-'5a-b. Special Circ End Use'!F29</f>
        <v>0</v>
      </c>
      <c r="G15" s="113">
        <f>'5a-b. Special Circ End Use'!G15-'5a-b. Special Circ End Use'!G29</f>
        <v>0</v>
      </c>
      <c r="H15" s="113">
        <f>'5a-b. Special Circ End Use'!H15-'5a-b. Special Circ End Use'!H29</f>
        <v>0</v>
      </c>
      <c r="I15" s="113">
        <f>'5a-b. Special Circ End Use'!I15-'5a-b. Special Circ End Use'!I29</f>
        <v>0</v>
      </c>
      <c r="J15" s="113">
        <f>'5a-b. Special Circ End Use'!J15-'5a-b. Special Circ End Use'!J29</f>
        <v>0</v>
      </c>
    </row>
    <row r="16" spans="1:10">
      <c r="A16" s="125"/>
      <c r="B16" s="125"/>
      <c r="C16" s="125"/>
      <c r="D16" s="125"/>
      <c r="E16" s="125"/>
      <c r="F16" s="125"/>
      <c r="G16" s="125"/>
      <c r="H16" s="125"/>
      <c r="I16" s="125"/>
      <c r="J16" s="125"/>
    </row>
    <row r="17" spans="1:10" s="153" customFormat="1" ht="12.75">
      <c r="A17" s="389" t="s">
        <v>946</v>
      </c>
      <c r="B17" s="390"/>
      <c r="C17" s="370" t="s">
        <v>102</v>
      </c>
      <c r="D17" s="371"/>
      <c r="E17" s="371"/>
      <c r="F17" s="371"/>
      <c r="G17" s="371"/>
      <c r="H17" s="371"/>
      <c r="I17" s="371"/>
      <c r="J17" s="371"/>
    </row>
    <row r="18" spans="1:10">
      <c r="A18" s="372" t="s">
        <v>82</v>
      </c>
      <c r="B18" s="373"/>
      <c r="C18" s="247">
        <f>C15*'4e-f. Usage to GHG'!O6</f>
        <v>0</v>
      </c>
      <c r="D18" s="248">
        <f>D15*'4e-f. Usage to GHG'!O7*100</f>
        <v>0</v>
      </c>
      <c r="E18" s="248">
        <f>E15*'4e-f. Usage to GHG'!O8</f>
        <v>0</v>
      </c>
      <c r="F18" s="248">
        <f>F15*'4e-f. Usage to GHG'!O9</f>
        <v>0</v>
      </c>
      <c r="G18" s="248">
        <f>G15*'4e-f. Usage to GHG'!O10</f>
        <v>0</v>
      </c>
      <c r="H18" s="249">
        <f>H15*'4e-f. Usage to GHG'!O11</f>
        <v>0</v>
      </c>
      <c r="I18" s="249">
        <f>I15*'4e-f. Usage to GHG'!O12</f>
        <v>0</v>
      </c>
      <c r="J18" s="249">
        <f>J15*'4e-f. Usage to GHG'!O13</f>
        <v>0</v>
      </c>
    </row>
    <row r="19" spans="1:10" ht="15">
      <c r="A19" s="374" t="s">
        <v>83</v>
      </c>
      <c r="B19" s="375"/>
      <c r="C19" s="375"/>
      <c r="D19" s="375"/>
      <c r="E19" s="375"/>
      <c r="F19" s="375"/>
      <c r="G19" s="376"/>
      <c r="H19" s="377">
        <f>SUM(C18:J18)</f>
        <v>0</v>
      </c>
      <c r="I19" s="378"/>
      <c r="J19" s="379"/>
    </row>
    <row r="20" spans="1:10">
      <c r="A20" s="125"/>
      <c r="B20" s="125"/>
      <c r="C20" s="125"/>
      <c r="D20" s="125"/>
      <c r="E20" s="125"/>
      <c r="F20" s="125"/>
      <c r="G20" s="125"/>
      <c r="H20" s="125"/>
      <c r="I20" s="125"/>
      <c r="J20" s="125"/>
    </row>
    <row r="21" spans="1:10" ht="26.1" customHeight="1">
      <c r="A21" s="391" t="s">
        <v>103</v>
      </c>
      <c r="B21" s="391"/>
      <c r="C21" s="391"/>
      <c r="D21" s="391"/>
      <c r="E21" s="391"/>
      <c r="F21" s="391"/>
      <c r="G21" s="391"/>
      <c r="H21" s="391"/>
      <c r="I21" s="391"/>
      <c r="J21" s="391"/>
    </row>
    <row r="22" spans="1:10">
      <c r="A22" s="380"/>
      <c r="B22" s="381"/>
      <c r="C22" s="381"/>
      <c r="D22" s="381"/>
      <c r="E22" s="381"/>
      <c r="F22" s="381"/>
      <c r="G22" s="381"/>
      <c r="H22" s="381"/>
      <c r="I22" s="381"/>
      <c r="J22" s="382"/>
    </row>
    <row r="23" spans="1:10">
      <c r="A23" s="383"/>
      <c r="B23" s="384"/>
      <c r="C23" s="384"/>
      <c r="D23" s="384"/>
      <c r="E23" s="384"/>
      <c r="F23" s="384"/>
      <c r="G23" s="384"/>
      <c r="H23" s="384"/>
      <c r="I23" s="384"/>
      <c r="J23" s="385"/>
    </row>
    <row r="24" spans="1:10">
      <c r="A24" s="383"/>
      <c r="B24" s="384"/>
      <c r="C24" s="384"/>
      <c r="D24" s="384"/>
      <c r="E24" s="384"/>
      <c r="F24" s="384"/>
      <c r="G24" s="384"/>
      <c r="H24" s="384"/>
      <c r="I24" s="384"/>
      <c r="J24" s="385"/>
    </row>
    <row r="25" spans="1:10">
      <c r="A25" s="383"/>
      <c r="B25" s="384"/>
      <c r="C25" s="384"/>
      <c r="D25" s="384"/>
      <c r="E25" s="384"/>
      <c r="F25" s="384"/>
      <c r="G25" s="384"/>
      <c r="H25" s="384"/>
      <c r="I25" s="384"/>
      <c r="J25" s="385"/>
    </row>
    <row r="26" spans="1:10">
      <c r="A26" s="383"/>
      <c r="B26" s="384"/>
      <c r="C26" s="384"/>
      <c r="D26" s="384"/>
      <c r="E26" s="384"/>
      <c r="F26" s="384"/>
      <c r="G26" s="384"/>
      <c r="H26" s="384"/>
      <c r="I26" s="384"/>
      <c r="J26" s="385"/>
    </row>
    <row r="27" spans="1:10">
      <c r="A27" s="383"/>
      <c r="B27" s="384"/>
      <c r="C27" s="384"/>
      <c r="D27" s="384"/>
      <c r="E27" s="384"/>
      <c r="F27" s="384"/>
      <c r="G27" s="384"/>
      <c r="H27" s="384"/>
      <c r="I27" s="384"/>
      <c r="J27" s="385"/>
    </row>
    <row r="28" spans="1:10">
      <c r="A28" s="383"/>
      <c r="B28" s="384"/>
      <c r="C28" s="384"/>
      <c r="D28" s="384"/>
      <c r="E28" s="384"/>
      <c r="F28" s="384"/>
      <c r="G28" s="384"/>
      <c r="H28" s="384"/>
      <c r="I28" s="384"/>
      <c r="J28" s="385"/>
    </row>
    <row r="29" spans="1:10">
      <c r="A29" s="383"/>
      <c r="B29" s="384"/>
      <c r="C29" s="384"/>
      <c r="D29" s="384"/>
      <c r="E29" s="384"/>
      <c r="F29" s="384"/>
      <c r="G29" s="384"/>
      <c r="H29" s="384"/>
      <c r="I29" s="384"/>
      <c r="J29" s="385"/>
    </row>
    <row r="30" spans="1:10">
      <c r="A30" s="383"/>
      <c r="B30" s="384"/>
      <c r="C30" s="384"/>
      <c r="D30" s="384"/>
      <c r="E30" s="384"/>
      <c r="F30" s="384"/>
      <c r="G30" s="384"/>
      <c r="H30" s="384"/>
      <c r="I30" s="384"/>
      <c r="J30" s="385"/>
    </row>
    <row r="31" spans="1:10">
      <c r="A31" s="383"/>
      <c r="B31" s="384"/>
      <c r="C31" s="384"/>
      <c r="D31" s="384"/>
      <c r="E31" s="384"/>
      <c r="F31" s="384"/>
      <c r="G31" s="384"/>
      <c r="H31" s="384"/>
      <c r="I31" s="384"/>
      <c r="J31" s="385"/>
    </row>
    <row r="32" spans="1:10">
      <c r="A32" s="383"/>
      <c r="B32" s="384"/>
      <c r="C32" s="384"/>
      <c r="D32" s="384"/>
      <c r="E32" s="384"/>
      <c r="F32" s="384"/>
      <c r="G32" s="384"/>
      <c r="H32" s="384"/>
      <c r="I32" s="384"/>
      <c r="J32" s="385"/>
    </row>
    <row r="33" spans="1:10">
      <c r="A33" s="383"/>
      <c r="B33" s="384"/>
      <c r="C33" s="384"/>
      <c r="D33" s="384"/>
      <c r="E33" s="384"/>
      <c r="F33" s="384"/>
      <c r="G33" s="384"/>
      <c r="H33" s="384"/>
      <c r="I33" s="384"/>
      <c r="J33" s="385"/>
    </row>
    <row r="34" spans="1:10">
      <c r="A34" s="383"/>
      <c r="B34" s="384"/>
      <c r="C34" s="384"/>
      <c r="D34" s="384"/>
      <c r="E34" s="384"/>
      <c r="F34" s="384"/>
      <c r="G34" s="384"/>
      <c r="H34" s="384"/>
      <c r="I34" s="384"/>
      <c r="J34" s="385"/>
    </row>
    <row r="35" spans="1:10">
      <c r="A35" s="383"/>
      <c r="B35" s="384"/>
      <c r="C35" s="384"/>
      <c r="D35" s="384"/>
      <c r="E35" s="384"/>
      <c r="F35" s="384"/>
      <c r="G35" s="384"/>
      <c r="H35" s="384"/>
      <c r="I35" s="384"/>
      <c r="J35" s="385"/>
    </row>
    <row r="36" spans="1:10">
      <c r="A36" s="386"/>
      <c r="B36" s="387"/>
      <c r="C36" s="387"/>
      <c r="D36" s="387"/>
      <c r="E36" s="387"/>
      <c r="F36" s="387"/>
      <c r="G36" s="387"/>
      <c r="H36" s="387"/>
      <c r="I36" s="387"/>
      <c r="J36" s="388"/>
    </row>
  </sheetData>
  <sheetProtection algorithmName="SHA-512" hashValue="I/WWXaYBn06X4dStxJANasNTWEd+G3w5FxB56sx8NvXuBkwu/TMmT9aTOTTWFB7E8prL6CTDIyphU7PaONsvkw==" saltValue="T3M+7Tm7drZ0fLb98tPq6A==" spinCount="100000" sheet="1" objects="1" scenarios="1"/>
  <mergeCells count="21">
    <mergeCell ref="C3:J3"/>
    <mergeCell ref="A8:B8"/>
    <mergeCell ref="A7:B7"/>
    <mergeCell ref="A6:B6"/>
    <mergeCell ref="A5:B5"/>
    <mergeCell ref="A4:B4"/>
    <mergeCell ref="A3:B3"/>
    <mergeCell ref="A12:B12"/>
    <mergeCell ref="A11:B11"/>
    <mergeCell ref="A10:B10"/>
    <mergeCell ref="A9:B9"/>
    <mergeCell ref="A15:B15"/>
    <mergeCell ref="A14:B14"/>
    <mergeCell ref="A13:B13"/>
    <mergeCell ref="C17:J17"/>
    <mergeCell ref="A18:B18"/>
    <mergeCell ref="A19:G19"/>
    <mergeCell ref="H19:J19"/>
    <mergeCell ref="A22:J36"/>
    <mergeCell ref="A17:B17"/>
    <mergeCell ref="A21:J21"/>
  </mergeCells>
  <pageMargins left="0.4498611111111111" right="0.57229166666666664" top="0.75" bottom="0.75" header="0.3" footer="0.3"/>
  <pageSetup scale="82" orientation="portrait" verticalDpi="1200" r:id="rId1"/>
  <headerFooter>
    <oddHeader>&amp;L&amp;G&amp;R
&amp;"Liberation Sans,Bold"&amp;14&amp;K00247DEN97A: GHG Adjustments Form</oddHeader>
    <oddFooter>&amp;L&amp;"Libr,Regular"Version 1.3&amp;R&amp;"Liberation Sans,Regular"February  2022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"/>
  <dimension ref="A3:M31"/>
  <sheetViews>
    <sheetView view="pageLayout" zoomScaleNormal="115" zoomScaleSheetLayoutView="52" workbookViewId="0">
      <selection activeCell="D22" sqref="D22:D31"/>
    </sheetView>
  </sheetViews>
  <sheetFormatPr defaultColWidth="8.85546875" defaultRowHeight="14.25"/>
  <cols>
    <col min="1" max="1" width="4" style="94" customWidth="1"/>
    <col min="2" max="2" width="6.42578125" style="94" customWidth="1"/>
    <col min="3" max="3" width="8.7109375" style="94" customWidth="1"/>
    <col min="4" max="4" width="3.140625" style="94" customWidth="1"/>
    <col min="5" max="5" width="18.85546875" style="94" customWidth="1"/>
    <col min="6" max="6" width="13.85546875" style="94" customWidth="1"/>
    <col min="7" max="7" width="15.5703125" style="94" customWidth="1"/>
    <col min="8" max="8" width="18.7109375" style="94" customWidth="1"/>
    <col min="9" max="9" width="11.42578125" style="94" customWidth="1"/>
    <col min="10" max="10" width="12.5703125" style="94" customWidth="1"/>
    <col min="11" max="11" width="13.140625" style="94" customWidth="1"/>
    <col min="12" max="12" width="13.28515625" style="94" customWidth="1"/>
    <col min="13" max="13" width="13.5703125" style="94" customWidth="1"/>
    <col min="14" max="17" width="8.85546875" style="94"/>
    <col min="18" max="18" width="8.85546875" style="94" customWidth="1"/>
    <col min="19" max="16384" width="8.85546875" style="94"/>
  </cols>
  <sheetData>
    <row r="3" spans="1:13" s="153" customFormat="1" ht="15.75" customHeight="1">
      <c r="A3" s="179" t="s">
        <v>947</v>
      </c>
      <c r="B3" s="397" t="s">
        <v>104</v>
      </c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</row>
    <row r="4" spans="1:13" ht="15.75" customHeight="1">
      <c r="A4" s="396" t="str">
        <f>CONCATENATE("Compliance based on ",IF(Path="","",Path))</f>
        <v>Compliance based on 2024 GHG Limit</v>
      </c>
      <c r="B4" s="396"/>
      <c r="C4" s="396"/>
      <c r="D4" s="396"/>
      <c r="E4" s="396"/>
      <c r="F4" s="396"/>
      <c r="G4" s="396"/>
      <c r="H4" s="396"/>
      <c r="I4" s="396"/>
      <c r="J4" s="396"/>
      <c r="K4" s="396"/>
      <c r="L4" s="396"/>
      <c r="M4" s="396"/>
    </row>
    <row r="5" spans="1:13" s="100" customFormat="1" ht="22.5" customHeight="1">
      <c r="A5" s="398"/>
      <c r="B5" s="417"/>
      <c r="C5" s="417"/>
      <c r="D5" s="399"/>
      <c r="E5" s="406" t="s">
        <v>105</v>
      </c>
      <c r="F5" s="406"/>
      <c r="G5" s="406"/>
      <c r="H5" s="398" t="s">
        <v>106</v>
      </c>
      <c r="I5" s="417"/>
      <c r="J5" s="399"/>
      <c r="K5" s="407" t="s">
        <v>107</v>
      </c>
      <c r="L5" s="407" t="s">
        <v>108</v>
      </c>
      <c r="M5" s="406" t="s">
        <v>109</v>
      </c>
    </row>
    <row r="6" spans="1:13" s="100" customFormat="1" ht="22.5" customHeight="1">
      <c r="A6" s="402"/>
      <c r="B6" s="418"/>
      <c r="C6" s="418"/>
      <c r="D6" s="403"/>
      <c r="E6" s="414" t="s">
        <v>110</v>
      </c>
      <c r="F6" s="415"/>
      <c r="G6" s="416"/>
      <c r="H6" s="402"/>
      <c r="I6" s="418"/>
      <c r="J6" s="403"/>
      <c r="K6" s="408"/>
      <c r="L6" s="408"/>
      <c r="M6" s="406"/>
    </row>
    <row r="7" spans="1:13" s="100" customFormat="1" ht="23.25" customHeight="1">
      <c r="A7" s="406" t="s">
        <v>111</v>
      </c>
      <c r="B7" s="406"/>
      <c r="C7" s="406" t="s">
        <v>112</v>
      </c>
      <c r="D7" s="406"/>
      <c r="E7" s="406" t="s">
        <v>973</v>
      </c>
      <c r="F7" s="406" t="s">
        <v>113</v>
      </c>
      <c r="G7" s="406"/>
      <c r="H7" s="406" t="s">
        <v>973</v>
      </c>
      <c r="I7" s="406" t="s">
        <v>113</v>
      </c>
      <c r="J7" s="406"/>
      <c r="K7" s="408"/>
      <c r="L7" s="408"/>
      <c r="M7" s="406"/>
    </row>
    <row r="8" spans="1:13" s="100" customFormat="1" ht="11.25">
      <c r="A8" s="406"/>
      <c r="B8" s="406"/>
      <c r="C8" s="406"/>
      <c r="D8" s="406"/>
      <c r="E8" s="406"/>
      <c r="F8" s="173" t="s">
        <v>974</v>
      </c>
      <c r="G8" s="173" t="s">
        <v>114</v>
      </c>
      <c r="H8" s="406"/>
      <c r="I8" s="173" t="s">
        <v>974</v>
      </c>
      <c r="J8" s="173" t="s">
        <v>114</v>
      </c>
      <c r="K8" s="409"/>
      <c r="L8" s="409"/>
      <c r="M8" s="406"/>
    </row>
    <row r="9" spans="1:13" s="100" customFormat="1" ht="15" customHeight="1">
      <c r="A9" s="406"/>
      <c r="B9" s="406"/>
      <c r="C9" s="406" t="s">
        <v>115</v>
      </c>
      <c r="D9" s="406"/>
      <c r="E9" s="174"/>
      <c r="F9" s="174"/>
      <c r="G9" s="240" t="str">
        <f>IF(AND(E9="",F9=""),"",F9/E9*100)</f>
        <v/>
      </c>
      <c r="H9" s="174"/>
      <c r="I9" s="174"/>
      <c r="J9" s="240" t="str">
        <f>IF(AND(H9="",I9=""),"",I9/H9*100)</f>
        <v/>
      </c>
      <c r="K9" s="155"/>
      <c r="L9" s="174"/>
      <c r="M9" s="174"/>
    </row>
    <row r="10" spans="1:13" s="100" customFormat="1" ht="15" customHeight="1">
      <c r="A10" s="406"/>
      <c r="B10" s="406"/>
      <c r="C10" s="406" t="s">
        <v>116</v>
      </c>
      <c r="D10" s="406"/>
      <c r="E10" s="174"/>
      <c r="F10" s="174"/>
      <c r="G10" s="240" t="str">
        <f>IF(AND(E10="",F10=""),"",F10/E10*100)</f>
        <v/>
      </c>
      <c r="H10" s="174"/>
      <c r="I10" s="174"/>
      <c r="J10" s="240" t="str">
        <f>IF(AND(H10="",I10=""),"",I10/H10*100)</f>
        <v/>
      </c>
      <c r="K10" s="155"/>
      <c r="L10" s="174"/>
      <c r="M10" s="174"/>
    </row>
    <row r="11" spans="1:13" s="100" customFormat="1" ht="15" customHeight="1">
      <c r="A11" s="406"/>
      <c r="B11" s="406"/>
      <c r="C11" s="406" t="s">
        <v>117</v>
      </c>
      <c r="D11" s="406"/>
      <c r="E11" s="174"/>
      <c r="F11" s="174"/>
      <c r="G11" s="240" t="str">
        <f>IF(AND(E11="",F11=""),"",F11/E11*100)</f>
        <v/>
      </c>
      <c r="H11" s="174"/>
      <c r="I11" s="174"/>
      <c r="J11" s="240" t="str">
        <f>IF(AND(H11="",I11=""),"",I11/H11*100)</f>
        <v/>
      </c>
      <c r="K11" s="155"/>
      <c r="L11" s="174"/>
      <c r="M11" s="174"/>
    </row>
    <row r="12" spans="1:13" s="100" customFormat="1" ht="15" customHeight="1">
      <c r="A12" s="406"/>
      <c r="B12" s="406"/>
      <c r="C12" s="406" t="s">
        <v>118</v>
      </c>
      <c r="D12" s="406"/>
      <c r="E12" s="174"/>
      <c r="F12" s="174"/>
      <c r="G12" s="240" t="str">
        <f>IF(AND(E12="",F12=""),"",F12/E12*100)</f>
        <v/>
      </c>
      <c r="H12" s="174"/>
      <c r="I12" s="174"/>
      <c r="J12" s="240" t="str">
        <f>IF(AND(H12="",I12=""),"",I12/H12*100)</f>
        <v/>
      </c>
      <c r="K12" s="155"/>
      <c r="L12" s="174"/>
      <c r="M12" s="174"/>
    </row>
    <row r="13" spans="1:13" ht="15" customHeight="1">
      <c r="A13" s="406"/>
      <c r="B13" s="406"/>
      <c r="C13" s="396" t="s">
        <v>119</v>
      </c>
      <c r="D13" s="396"/>
      <c r="E13" s="241" t="str">
        <f>IF(SUM(E9:E12)=0,"",SUM(E9:E12))</f>
        <v/>
      </c>
      <c r="F13" s="241" t="str">
        <f>IF(SUM(F9:F12)=0,"",SUM(F9:F12))</f>
        <v/>
      </c>
      <c r="G13" s="240" t="str">
        <f>IF(AND(E13="",F13=""),"",F13/E13*100)</f>
        <v/>
      </c>
      <c r="H13" s="241" t="str">
        <f>IF(SUM(H9:H12)=0,"",SUM(H9:H12))</f>
        <v/>
      </c>
      <c r="I13" s="241" t="str">
        <f>IF(SUM(I9:I12)=0,"",SUM(I9:I12))</f>
        <v/>
      </c>
      <c r="J13" s="240" t="str">
        <f>IF(AND(H13="",I13=""),"",I13/H13*100)</f>
        <v/>
      </c>
      <c r="K13" s="240"/>
      <c r="L13" s="174"/>
      <c r="M13" s="174"/>
    </row>
    <row r="14" spans="1:13" ht="22.5" customHeight="1">
      <c r="A14" s="406" t="s">
        <v>120</v>
      </c>
      <c r="B14" s="406"/>
      <c r="C14" s="406" t="s">
        <v>975</v>
      </c>
      <c r="D14" s="406"/>
      <c r="E14" s="406"/>
      <c r="F14" s="406" t="s">
        <v>121</v>
      </c>
      <c r="G14" s="406"/>
      <c r="H14" s="406" t="s">
        <v>975</v>
      </c>
      <c r="I14" s="406" t="s">
        <v>121</v>
      </c>
      <c r="J14" s="406"/>
      <c r="K14" s="173"/>
      <c r="L14" s="406" t="s">
        <v>108</v>
      </c>
      <c r="M14" s="406" t="s">
        <v>109</v>
      </c>
    </row>
    <row r="15" spans="1:13" ht="15" customHeight="1">
      <c r="A15" s="406"/>
      <c r="B15" s="406"/>
      <c r="C15" s="406"/>
      <c r="D15" s="406"/>
      <c r="E15" s="406"/>
      <c r="F15" s="173" t="s">
        <v>974</v>
      </c>
      <c r="G15" s="173" t="s">
        <v>114</v>
      </c>
      <c r="H15" s="406"/>
      <c r="I15" s="173" t="s">
        <v>974</v>
      </c>
      <c r="J15" s="173" t="s">
        <v>114</v>
      </c>
      <c r="K15" s="173"/>
      <c r="L15" s="406"/>
      <c r="M15" s="406"/>
    </row>
    <row r="16" spans="1:13" ht="15" customHeight="1">
      <c r="A16" s="406"/>
      <c r="B16" s="406"/>
      <c r="C16" s="396" t="s">
        <v>119</v>
      </c>
      <c r="D16" s="396"/>
      <c r="E16" s="242"/>
      <c r="F16" s="243"/>
      <c r="G16" s="240" t="str">
        <f>IF(AND(E16="",F16=""),"",F16/E16*100)</f>
        <v/>
      </c>
      <c r="H16" s="174"/>
      <c r="I16" s="174"/>
      <c r="J16" s="240" t="str">
        <f>IF(AND(H16="",I16=""),"",I16/H16*100)</f>
        <v/>
      </c>
      <c r="K16" s="155"/>
      <c r="L16" s="174"/>
      <c r="M16" s="174"/>
    </row>
    <row r="18" spans="1:11">
      <c r="A18" s="188" t="s">
        <v>948</v>
      </c>
      <c r="B18" s="188"/>
      <c r="C18" s="410" t="s">
        <v>122</v>
      </c>
      <c r="D18" s="410"/>
      <c r="E18" s="410"/>
      <c r="F18" s="410"/>
      <c r="G18" s="410"/>
      <c r="H18" s="410"/>
      <c r="I18" s="410"/>
      <c r="J18" s="410"/>
      <c r="K18" s="410"/>
    </row>
    <row r="19" spans="1:11" ht="14.45" customHeight="1">
      <c r="A19" s="396" t="str">
        <f>CONCATENATE("Compliance based on ",IF(Path="","",Path))</f>
        <v>Compliance based on 2024 GHG Limit</v>
      </c>
      <c r="B19" s="396"/>
      <c r="C19" s="396"/>
      <c r="D19" s="396"/>
      <c r="E19" s="396"/>
      <c r="F19" s="396"/>
      <c r="G19" s="396"/>
      <c r="H19" s="396"/>
      <c r="I19" s="396"/>
      <c r="J19" s="396"/>
      <c r="K19" s="396"/>
    </row>
    <row r="20" spans="1:11" ht="14.45" customHeight="1">
      <c r="A20" s="406" t="s">
        <v>123</v>
      </c>
      <c r="B20" s="406"/>
      <c r="C20" s="406" t="s">
        <v>124</v>
      </c>
      <c r="D20" s="412" t="s">
        <v>125</v>
      </c>
      <c r="E20" s="406" t="s">
        <v>105</v>
      </c>
      <c r="F20" s="406"/>
      <c r="G20" s="406" t="s">
        <v>106</v>
      </c>
      <c r="H20" s="406"/>
      <c r="I20" s="406" t="s">
        <v>107</v>
      </c>
      <c r="J20" s="406" t="s">
        <v>126</v>
      </c>
      <c r="K20" s="406" t="s">
        <v>109</v>
      </c>
    </row>
    <row r="21" spans="1:11" ht="22.5">
      <c r="A21" s="406"/>
      <c r="B21" s="406"/>
      <c r="C21" s="406"/>
      <c r="D21" s="412"/>
      <c r="E21" s="244" t="s">
        <v>127</v>
      </c>
      <c r="F21" s="173" t="s">
        <v>128</v>
      </c>
      <c r="G21" s="244" t="s">
        <v>127</v>
      </c>
      <c r="H21" s="173" t="s">
        <v>129</v>
      </c>
      <c r="I21" s="406"/>
      <c r="J21" s="406"/>
      <c r="K21" s="406"/>
    </row>
    <row r="22" spans="1:11">
      <c r="A22" s="398" t="s">
        <v>130</v>
      </c>
      <c r="B22" s="399"/>
      <c r="C22" s="413"/>
      <c r="D22" s="406">
        <v>1</v>
      </c>
      <c r="E22" s="245"/>
      <c r="F22" s="238" t="str">
        <f>IF(C22="","",IF(E22="","",IF(OR(Path="Section 11 ECB",Path="2024 GHG Limit"),INDEX(Lists!$A$35:$D$38,(MATCH($E22,Lists!$A$35:$A$38,0)),(MATCH($C22,Lists!$A$35:$D$35,0))),INDEX(Lists!$F$35:$I$38,(MATCH($E22,Lists!$F$35:$F$38,0)),(MATCH($C22,Lists!$F$35:$I$35,0))))))</f>
        <v/>
      </c>
      <c r="G22" s="155"/>
      <c r="H22" s="155"/>
      <c r="I22" s="155"/>
      <c r="J22" s="411"/>
      <c r="K22" s="411"/>
    </row>
    <row r="23" spans="1:11">
      <c r="A23" s="402"/>
      <c r="B23" s="403"/>
      <c r="C23" s="413"/>
      <c r="D23" s="406"/>
      <c r="E23" s="176" t="s">
        <v>131</v>
      </c>
      <c r="F23" s="155"/>
      <c r="G23" s="155"/>
      <c r="H23" s="155"/>
      <c r="I23" s="155"/>
      <c r="J23" s="411"/>
      <c r="K23" s="411"/>
    </row>
    <row r="24" spans="1:11" ht="14.45" customHeight="1">
      <c r="A24" s="398" t="s">
        <v>132</v>
      </c>
      <c r="B24" s="399"/>
      <c r="C24" s="156"/>
      <c r="D24" s="173">
        <v>1</v>
      </c>
      <c r="E24" s="175"/>
      <c r="F24" s="238" t="str">
        <f>IF(C24="","",IF(E24="","",IF(OR(Path="Section 11 ECB",Path="2024 GHG Limit"),INDEX(Lists!$A$39:$D$43,(MATCH($E24,Lists!$A$39:$A$43,0)),(MATCH($C24,Lists!$A$39:$D$39,0))),INDEX(Lists!$F$39:$I$43,(MATCH($E24,Lists!$F$39:$F$43,0)),(MATCH($C24,Lists!$F$39:$I$39,0))))))</f>
        <v/>
      </c>
      <c r="G24" s="155"/>
      <c r="H24" s="174"/>
      <c r="I24" s="155"/>
      <c r="J24" s="174"/>
      <c r="K24" s="174"/>
    </row>
    <row r="25" spans="1:11" ht="31.5" customHeight="1">
      <c r="A25" s="400"/>
      <c r="B25" s="401"/>
      <c r="C25" s="156"/>
      <c r="D25" s="173">
        <v>2</v>
      </c>
      <c r="E25" s="175"/>
      <c r="F25" s="238" t="str">
        <f>IF(C25="","",IF(E25="","",IF(OR(Path="Section 11 ECB",Path="2024 GHG Limit"),INDEX(Lists!$A$39:$D$43,(MATCH($E25,Lists!$A$39:$A$43,0)),(MATCH($C25,Lists!$A$39:$D$39,0))),INDEX(Lists!$F$39:$I$43,(MATCH($E25,Lists!$F$39:$F$43,0)),(MATCH($C25,Lists!$F$39:$I$39,0))))))</f>
        <v/>
      </c>
      <c r="G25" s="155"/>
      <c r="H25" s="174"/>
      <c r="I25" s="155"/>
      <c r="J25" s="174"/>
      <c r="K25" s="174"/>
    </row>
    <row r="26" spans="1:11">
      <c r="A26" s="400"/>
      <c r="B26" s="401"/>
      <c r="C26" s="156"/>
      <c r="D26" s="173">
        <v>3</v>
      </c>
      <c r="E26" s="175"/>
      <c r="F26" s="238" t="str">
        <f>IF(C26="","",IF(E26="","",IF(OR(Path="Section 11 ECB",Path="2024 GHG Limit"),INDEX(Lists!$A$39:$D$43,(MATCH($E26,Lists!$A$39:$A$43,0)),(MATCH($C26,Lists!$A$39:$D$39,0))),INDEX(Lists!$F$39:$I$43,(MATCH($E26,Lists!$F$39:$F$43,0)),(MATCH($C26,Lists!$F$39:$I$39,0))))))</f>
        <v/>
      </c>
      <c r="G26" s="155"/>
      <c r="H26" s="174"/>
      <c r="I26" s="155"/>
      <c r="J26" s="174"/>
      <c r="K26" s="174"/>
    </row>
    <row r="27" spans="1:11">
      <c r="A27" s="402"/>
      <c r="B27" s="403"/>
      <c r="C27" s="156"/>
      <c r="D27" s="173">
        <v>4</v>
      </c>
      <c r="E27" s="175"/>
      <c r="F27" s="238" t="str">
        <f>IF(C27="","",IF(E27="","",IF(OR(Path="Section 11 ECB",Path="2024 GHG Limit"),INDEX(Lists!$A$39:$D$43,(MATCH($E27,Lists!$A$39:$A$43,0)),(MATCH($C27,Lists!$A$39:$D$39,0))),INDEX(Lists!$F$39:$I$43,(MATCH($E27,Lists!$F$39:$F$43,0)),(MATCH($C27,Lists!$F$39:$I$39,0))))))</f>
        <v/>
      </c>
      <c r="G27" s="155"/>
      <c r="H27" s="174"/>
      <c r="I27" s="155"/>
      <c r="J27" s="174"/>
      <c r="K27" s="174"/>
    </row>
    <row r="28" spans="1:11" ht="19.5" customHeight="1">
      <c r="A28" s="398" t="s">
        <v>133</v>
      </c>
      <c r="B28" s="399"/>
      <c r="C28" s="175"/>
      <c r="D28" s="173">
        <v>1</v>
      </c>
      <c r="E28" s="175"/>
      <c r="F28" s="238" t="str">
        <f>IF(C28="","",IF(E28="","",IF(OR(Path="Section 11 ECB",Path="2024 GHG Limit"),INDEX(Lists!$A$44:$D$45,(MATCH($E28,Lists!$A$44:$A$45,0)),(MATCH($C28,Lists!$A$44:$D$44,0))),INDEX(Lists!$F$44:$I$45,(MATCH($E28,Lists!$F$44:$F$45,0)),(MATCH($C28,Lists!$F$44:$I$44,0))))))</f>
        <v/>
      </c>
      <c r="G28" s="155"/>
      <c r="H28" s="174"/>
      <c r="I28" s="155"/>
      <c r="J28" s="174"/>
      <c r="K28" s="174"/>
    </row>
    <row r="29" spans="1:11">
      <c r="A29" s="402"/>
      <c r="B29" s="403"/>
      <c r="C29" s="156"/>
      <c r="D29" s="173">
        <v>2</v>
      </c>
      <c r="E29" s="175"/>
      <c r="F29" s="238" t="str">
        <f>IF(C29="","",IF(E29="","",IF(OR(Path="Section 11 ECB",Path="2024 GHG Limit"),INDEX(Lists!$A$44:$D$45,(MATCH($E29,Lists!$A$44:$A$45,0)),(MATCH($C29,Lists!$A$44:$D$44,0))),INDEX(Lists!$F$44:$I$45,(MATCH($E29,Lists!$F$44:$F$45,0)),(MATCH($C29,Lists!$F$44:$I$44,0))))))</f>
        <v/>
      </c>
      <c r="G29" s="155"/>
      <c r="H29" s="174"/>
      <c r="I29" s="155"/>
      <c r="J29" s="174"/>
      <c r="K29" s="174"/>
    </row>
    <row r="30" spans="1:11" ht="24.95" customHeight="1">
      <c r="A30" s="404" t="s">
        <v>134</v>
      </c>
      <c r="B30" s="405"/>
      <c r="C30" s="156"/>
      <c r="D30" s="173">
        <v>1</v>
      </c>
      <c r="E30" s="175"/>
      <c r="F30" s="238" t="str">
        <f>IF(C30="","",IF(E30="","",IF(OR(Path="Section 11 ECB",Path="2024 GHG Limit"),INDEX(Lists!$A$46:$D$49,(MATCH($E30,Lists!$A$46:$A$49,0)),(MATCH($C30,Lists!$A$46:$D$46,0))),INDEX(Lists!$F$46:$I$49,(MATCH($E30,Lists!$F$46:$F$49,0)),(MATCH($C30,Lists!$F$46:$I$46,0))))))</f>
        <v/>
      </c>
      <c r="G30" s="155"/>
      <c r="H30" s="174"/>
      <c r="I30" s="155"/>
      <c r="J30" s="174"/>
      <c r="K30" s="174"/>
    </row>
    <row r="31" spans="1:11" ht="26.45" customHeight="1">
      <c r="A31" s="404" t="s">
        <v>135</v>
      </c>
      <c r="B31" s="405"/>
      <c r="C31" s="156"/>
      <c r="D31" s="173">
        <v>1</v>
      </c>
      <c r="E31" s="175"/>
      <c r="F31" s="238" t="str">
        <f>IF(C31="","",IF(E31="","",IF(OR(Path="Section 11 ECB",Path="2024 GHG Limit"),INDEX(Lists!$A$50:$D$52,(MATCH($E31,Lists!$A$50:$A$52,0)),(MATCH($C31,Lists!$A$50:$D$50,0))),INDEX(Lists!$F$50:$I$52,(MATCH($E31,Lists!$F$50:$F$52,0)),(MATCH($C31,Lists!$F$50:$I$50,0))))))</f>
        <v/>
      </c>
      <c r="G31" s="155"/>
      <c r="H31" s="174"/>
      <c r="I31" s="155"/>
      <c r="J31" s="174"/>
      <c r="K31" s="174"/>
    </row>
  </sheetData>
  <sheetProtection algorithmName="SHA-512" hashValue="Jqt+S2NK697TPQw2l/KgNd+Mf+SlPAosg+MnhamQ2s7/3tl5DndXOIroEm7ZwYCoe3Rx6QcJ++cGCO4f2BRenw==" saltValue="WzOqApfdbode8nsex877hg==" spinCount="100000" sheet="1" objects="1" scenarios="1"/>
  <mergeCells count="47">
    <mergeCell ref="H14:H15"/>
    <mergeCell ref="L5:L8"/>
    <mergeCell ref="M5:M8"/>
    <mergeCell ref="E5:G5"/>
    <mergeCell ref="A7:B13"/>
    <mergeCell ref="E6:G6"/>
    <mergeCell ref="H5:J6"/>
    <mergeCell ref="I7:J7"/>
    <mergeCell ref="H7:H8"/>
    <mergeCell ref="C11:D11"/>
    <mergeCell ref="C12:D12"/>
    <mergeCell ref="C13:D13"/>
    <mergeCell ref="C7:D8"/>
    <mergeCell ref="E7:E8"/>
    <mergeCell ref="A5:D6"/>
    <mergeCell ref="A31:B31"/>
    <mergeCell ref="C18:K18"/>
    <mergeCell ref="E20:F20"/>
    <mergeCell ref="K20:K21"/>
    <mergeCell ref="D22:D23"/>
    <mergeCell ref="K22:K23"/>
    <mergeCell ref="D20:D21"/>
    <mergeCell ref="G20:H20"/>
    <mergeCell ref="C22:C23"/>
    <mergeCell ref="J22:J23"/>
    <mergeCell ref="C20:C21"/>
    <mergeCell ref="I20:I21"/>
    <mergeCell ref="J20:J21"/>
    <mergeCell ref="A19:K19"/>
    <mergeCell ref="A20:B21"/>
    <mergeCell ref="A22:B23"/>
    <mergeCell ref="A4:M4"/>
    <mergeCell ref="B3:M3"/>
    <mergeCell ref="A24:B27"/>
    <mergeCell ref="A28:B29"/>
    <mergeCell ref="A30:B30"/>
    <mergeCell ref="F7:G7"/>
    <mergeCell ref="C9:D9"/>
    <mergeCell ref="C10:D10"/>
    <mergeCell ref="L14:L15"/>
    <mergeCell ref="K5:K8"/>
    <mergeCell ref="M14:M15"/>
    <mergeCell ref="A14:B16"/>
    <mergeCell ref="C16:D16"/>
    <mergeCell ref="I14:J14"/>
    <mergeCell ref="C14:E15"/>
    <mergeCell ref="F14:G14"/>
  </mergeCells>
  <conditionalFormatting sqref="E13">
    <cfRule type="cellIs" dxfId="133" priority="55" operator="notEqual">
      <formula>$H$13</formula>
    </cfRule>
  </conditionalFormatting>
  <conditionalFormatting sqref="G13">
    <cfRule type="expression" dxfId="132" priority="46">
      <formula>"&gt;3.0"</formula>
    </cfRule>
    <cfRule type="containsBlanks" dxfId="131" priority="49">
      <formula>LEN(TRIM(G13))=0</formula>
    </cfRule>
  </conditionalFormatting>
  <conditionalFormatting sqref="G16">
    <cfRule type="containsBlanks" dxfId="130" priority="47">
      <formula>LEN(TRIM(G16))=0</formula>
    </cfRule>
    <cfRule type="cellIs" dxfId="129" priority="48" operator="greaterThan">
      <formula>3</formula>
    </cfRule>
  </conditionalFormatting>
  <conditionalFormatting sqref="M16 I22:I31">
    <cfRule type="containsBlanks" dxfId="128" priority="38">
      <formula>LEN(TRIM(I16))=0</formula>
    </cfRule>
  </conditionalFormatting>
  <conditionalFormatting sqref="L9:M13">
    <cfRule type="containsBlanks" dxfId="127" priority="43">
      <formula>LEN(TRIM(L9))=0</formula>
    </cfRule>
  </conditionalFormatting>
  <conditionalFormatting sqref="L16:M16">
    <cfRule type="containsBlanks" dxfId="126" priority="40">
      <formula>LEN(TRIM(L16))=0</formula>
    </cfRule>
  </conditionalFormatting>
  <conditionalFormatting sqref="M9:M13">
    <cfRule type="containsBlanks" dxfId="125" priority="39">
      <formula>LEN(TRIM(M9))=0</formula>
    </cfRule>
  </conditionalFormatting>
  <conditionalFormatting sqref="E16:F16">
    <cfRule type="containsBlanks" dxfId="124" priority="27">
      <formula>LEN(TRIM(E16))=0</formula>
    </cfRule>
  </conditionalFormatting>
  <conditionalFormatting sqref="E16">
    <cfRule type="cellIs" dxfId="123" priority="25" operator="notEqual">
      <formula>$H$16</formula>
    </cfRule>
    <cfRule type="expression" dxfId="122" priority="26">
      <formula>"$H$15&lt;&gt;$E$15"</formula>
    </cfRule>
  </conditionalFormatting>
  <conditionalFormatting sqref="H16:I16">
    <cfRule type="containsBlanks" dxfId="121" priority="24">
      <formula>LEN(TRIM(H16))=0</formula>
    </cfRule>
  </conditionalFormatting>
  <conditionalFormatting sqref="H9:I12">
    <cfRule type="containsBlanks" dxfId="120" priority="21">
      <formula>LEN(TRIM(H9))=0</formula>
    </cfRule>
  </conditionalFormatting>
  <conditionalFormatting sqref="E9:F10 F11:F12">
    <cfRule type="containsBlanks" dxfId="119" priority="20">
      <formula>LEN(TRIM(E9))=0</formula>
    </cfRule>
  </conditionalFormatting>
  <conditionalFormatting sqref="E9">
    <cfRule type="cellIs" dxfId="118" priority="19" operator="notEqual">
      <formula>$H$9</formula>
    </cfRule>
  </conditionalFormatting>
  <conditionalFormatting sqref="E10">
    <cfRule type="cellIs" dxfId="117" priority="18" operator="notEqual">
      <formula>$H$10</formula>
    </cfRule>
  </conditionalFormatting>
  <conditionalFormatting sqref="E11">
    <cfRule type="cellIs" dxfId="116" priority="16" operator="notEqual">
      <formula>$H$11</formula>
    </cfRule>
    <cfRule type="containsBlanks" dxfId="115" priority="17">
      <formula>LEN(TRIM(E11))=0</formula>
    </cfRule>
  </conditionalFormatting>
  <conditionalFormatting sqref="E12">
    <cfRule type="cellIs" dxfId="114" priority="14" operator="notEqual">
      <formula>$H$12</formula>
    </cfRule>
    <cfRule type="containsBlanks" dxfId="113" priority="15">
      <formula>LEN(TRIM(E12))=0</formula>
    </cfRule>
  </conditionalFormatting>
  <conditionalFormatting sqref="F24:F31">
    <cfRule type="expression" dxfId="112" priority="13">
      <formula>"ERROR"</formula>
    </cfRule>
  </conditionalFormatting>
  <conditionalFormatting sqref="J22:K23">
    <cfRule type="containsBlanks" dxfId="111" priority="12">
      <formula>LEN(TRIM(J22))=0</formula>
    </cfRule>
  </conditionalFormatting>
  <conditionalFormatting sqref="J24:K31">
    <cfRule type="containsBlanks" dxfId="110" priority="11">
      <formula>LEN(TRIM(J24))=0</formula>
    </cfRule>
  </conditionalFormatting>
  <conditionalFormatting sqref="G22:H23">
    <cfRule type="containsBlanks" dxfId="109" priority="8">
      <formula>LEN(TRIM(G22))=0</formula>
    </cfRule>
  </conditionalFormatting>
  <conditionalFormatting sqref="G24:H31">
    <cfRule type="containsBlanks" dxfId="108" priority="7">
      <formula>LEN(TRIM(G24))=0</formula>
    </cfRule>
  </conditionalFormatting>
  <conditionalFormatting sqref="K16">
    <cfRule type="containsBlanks" dxfId="107" priority="3">
      <formula>LEN(TRIM(K16))=0</formula>
    </cfRule>
  </conditionalFormatting>
  <conditionalFormatting sqref="K9:K12">
    <cfRule type="containsBlanks" dxfId="106" priority="2">
      <formula>LEN(TRIM(K9))=0</formula>
    </cfRule>
  </conditionalFormatting>
  <conditionalFormatting sqref="F23">
    <cfRule type="containsBlanks" dxfId="105" priority="1">
      <formula>LEN(TRIM(F23))=0</formula>
    </cfRule>
  </conditionalFormatting>
  <dataValidations disablePrompts="1" count="5">
    <dataValidation type="list" allowBlank="1" showInputMessage="1" showErrorMessage="1" sqref="E31" xr:uid="{379B5A45-EEC7-41C7-A703-3B9AC1FEBEFF}">
      <formula1>Slab</formula1>
    </dataValidation>
    <dataValidation type="list" allowBlank="1" showInputMessage="1" showErrorMessage="1" sqref="E30" xr:uid="{A1509B0E-350F-4610-A882-E2E6C1166AD0}">
      <formula1>Floor</formula1>
    </dataValidation>
    <dataValidation type="list" allowBlank="1" showInputMessage="1" showErrorMessage="1" sqref="E24:E27" xr:uid="{9A60CC06-0C93-4E37-8486-D6132BEE7349}">
      <formula1>Wall_Type</formula1>
    </dataValidation>
    <dataValidation type="list" allowBlank="1" showInputMessage="1" showErrorMessage="1" sqref="E22" xr:uid="{B8788CD4-E358-4E0A-9018-D1157E052AC5}">
      <formula1>Roof_Type</formula1>
    </dataValidation>
    <dataValidation type="list" allowBlank="1" showInputMessage="1" showErrorMessage="1" sqref="C22:C31" xr:uid="{DF7A35FF-FB10-4FF5-B506-5F33C02DF7CE}">
      <formula1>Env_Type</formula1>
    </dataValidation>
  </dataValidations>
  <pageMargins left="0.4498611111111111" right="0.62354166666666666" top="0.75" bottom="0.75" header="0.3" footer="0.3"/>
  <pageSetup scale="82" orientation="landscape" r:id="rId1"/>
  <headerFooter>
    <oddHeader>&amp;L&amp;G&amp;R
&amp;"Liberation Sans,Bold"&amp;14&amp;K00247DEN97A: GHG Adjustments Form</oddHeader>
    <oddFooter>&amp;L&amp;"Liberation Sans,Regular"Version 1.3&amp;R&amp;"Liberation Sans,Regular"February  2022</oddFooter>
  </headerFooter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3" id="{F94EB13A-0019-4251-AB0C-18379777F88F}">
            <xm:f>IF(OR('1,2,3 Information'!$B$18="Section 11 ECB",$E$6="Multifamily",$E$6="Other"),G13&gt;40,G13&gt;VLOOKUP($E$6,Lists!$M$39:$N$53,2))</xm:f>
            <x14:dxf>
              <fill>
                <patternFill>
                  <bgColor rgb="FFFF0000"/>
                </patternFill>
              </fill>
            </x14:dxf>
          </x14:cfRule>
          <xm:sqref>G13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00000000-0002-0000-0C00-000000000000}">
          <x14:formula1>
            <xm:f>Lists!$M$39:$M$55</xm:f>
          </x14:formula1>
          <xm:sqref>E6:G6</xm:sqref>
        </x14:dataValidation>
        <x14:dataValidation type="list" allowBlank="1" showInputMessage="1" showErrorMessage="1" xr:uid="{16DD2966-A9A9-4FE8-800B-1FD14788CEAB}">
          <x14:formula1>
            <xm:f>Lists!$A$45</xm:f>
          </x14:formula1>
          <xm:sqref>E28:E29</xm:sqref>
        </x14:dataValidation>
        <x14:dataValidation type="list" allowBlank="1" showInputMessage="1" showErrorMessage="1" xr:uid="{C433EC5B-2528-43F2-A6D6-F1BE865A0354}">
          <x14:formula1>
            <xm:f>Lists!$L$1:$L$5</xm:f>
          </x14:formula1>
          <xm:sqref>I22:I31 K9:K12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4"/>
  <dimension ref="A3:O19"/>
  <sheetViews>
    <sheetView view="pageLayout" zoomScaleNormal="100" zoomScaleSheetLayoutView="100" workbookViewId="0">
      <selection activeCell="I19" sqref="I19:K19"/>
    </sheetView>
  </sheetViews>
  <sheetFormatPr defaultColWidth="8.85546875" defaultRowHeight="14.25"/>
  <cols>
    <col min="1" max="1" width="3.7109375" style="94" customWidth="1"/>
    <col min="2" max="2" width="5.28515625" style="94" customWidth="1"/>
    <col min="3" max="3" width="10.7109375" style="94" customWidth="1"/>
    <col min="4" max="4" width="2.7109375" style="94" customWidth="1"/>
    <col min="5" max="5" width="17.28515625" style="94" customWidth="1"/>
    <col min="6" max="6" width="7.5703125" style="94" customWidth="1"/>
    <col min="7" max="7" width="7.28515625" style="94" customWidth="1"/>
    <col min="8" max="8" width="6.85546875" style="94" customWidth="1"/>
    <col min="9" max="9" width="12.140625" style="94" customWidth="1"/>
    <col min="10" max="10" width="7.85546875" style="94" customWidth="1"/>
    <col min="11" max="11" width="6.42578125" style="94" customWidth="1"/>
    <col min="12" max="12" width="6.5703125" style="94" customWidth="1"/>
    <col min="13" max="13" width="11" style="94" customWidth="1"/>
    <col min="14" max="14" width="14.140625" style="94" customWidth="1"/>
    <col min="15" max="15" width="12.5703125" style="94" customWidth="1"/>
    <col min="16" max="17" width="8.85546875" style="94"/>
    <col min="18" max="18" width="2" style="94" customWidth="1"/>
    <col min="19" max="16384" width="8.85546875" style="94"/>
  </cols>
  <sheetData>
    <row r="3" spans="1:15" s="153" customFormat="1" ht="15.75" customHeight="1">
      <c r="A3" s="179" t="s">
        <v>136</v>
      </c>
      <c r="B3" s="426" t="s">
        <v>137</v>
      </c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8"/>
    </row>
    <row r="4" spans="1:15" ht="21" customHeight="1">
      <c r="A4" s="429" t="str">
        <f>CONCATENATE("Compliance based on ",IF(Path="","",Path))</f>
        <v>Compliance based on 2024 GHG Limit</v>
      </c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0"/>
      <c r="M4" s="430"/>
      <c r="N4" s="430"/>
      <c r="O4" s="431"/>
    </row>
    <row r="5" spans="1:15" s="100" customFormat="1" ht="22.5" customHeight="1">
      <c r="A5" s="406" t="s">
        <v>138</v>
      </c>
      <c r="B5" s="406"/>
      <c r="C5" s="406" t="s">
        <v>139</v>
      </c>
      <c r="D5" s="173"/>
      <c r="E5" s="406" t="s">
        <v>105</v>
      </c>
      <c r="F5" s="406"/>
      <c r="G5" s="406"/>
      <c r="H5" s="406"/>
      <c r="I5" s="406" t="s">
        <v>106</v>
      </c>
      <c r="J5" s="406"/>
      <c r="K5" s="406"/>
      <c r="L5" s="406"/>
      <c r="M5" s="407" t="s">
        <v>107</v>
      </c>
      <c r="N5" s="407" t="s">
        <v>108</v>
      </c>
      <c r="O5" s="407" t="s">
        <v>109</v>
      </c>
    </row>
    <row r="6" spans="1:15" s="100" customFormat="1" ht="32.25" customHeight="1">
      <c r="A6" s="406"/>
      <c r="B6" s="406"/>
      <c r="C6" s="406"/>
      <c r="D6" s="237" t="s">
        <v>125</v>
      </c>
      <c r="E6" s="173" t="s">
        <v>140</v>
      </c>
      <c r="F6" s="173" t="s">
        <v>141</v>
      </c>
      <c r="G6" s="173" t="s">
        <v>142</v>
      </c>
      <c r="H6" s="173" t="s">
        <v>143</v>
      </c>
      <c r="I6" s="215" t="s">
        <v>144</v>
      </c>
      <c r="J6" s="215" t="s">
        <v>141</v>
      </c>
      <c r="K6" s="215" t="s">
        <v>142</v>
      </c>
      <c r="L6" s="215" t="s">
        <v>143</v>
      </c>
      <c r="M6" s="409"/>
      <c r="N6" s="409"/>
      <c r="O6" s="409"/>
    </row>
    <row r="7" spans="1:15" s="100" customFormat="1" ht="24" customHeight="1">
      <c r="A7" s="406" t="s">
        <v>145</v>
      </c>
      <c r="B7" s="406"/>
      <c r="C7" s="156"/>
      <c r="D7" s="173">
        <v>1</v>
      </c>
      <c r="E7" s="156"/>
      <c r="F7" s="238" t="str">
        <f>IF(C7="","",IF(E7="","",IF(OR(Path="Section 11 ECB",Path="2024 GHG Limit"),INDEX(Lists!$A$4:$D$8,(MATCH($E7,Lists!$A$4:$A$8,0)),(MATCH($C7,Lists!$A$4:$D$4,0))),INDEX(Lists!$F$4:$I$8,(MATCH($E7,Lists!$F$4:$F$8,0)),(MATCH($C7,Lists!$F$4:$I$4,0))))))</f>
        <v/>
      </c>
      <c r="G7" s="216" t="str">
        <f>IF(C7="","",IF(E7="","",IF(OR(Path="Section 11 ECB",Path="2024 GHG Limit"),INDEX(Lists!$A$10:$D$14,(MATCH($E7,Lists!$A$10:$A$14,0)),(MATCH($C7,Lists!$A$10:$D$10,0))),INDEX(Lists!$F$10:$I$14,(MATCH($E7,Lists!$F$10:$F$14,0)),(MATCH($C7,Lists!$F$10:$I$10,0))))))</f>
        <v/>
      </c>
      <c r="H7" s="216" t="str">
        <f>IF(L7="","",L7)</f>
        <v/>
      </c>
      <c r="I7" s="239"/>
      <c r="J7" s="239"/>
      <c r="K7" s="239"/>
      <c r="L7" s="239"/>
      <c r="M7" s="155"/>
      <c r="N7" s="239"/>
      <c r="O7" s="239"/>
    </row>
    <row r="8" spans="1:15" s="100" customFormat="1" ht="24" customHeight="1">
      <c r="A8" s="406" t="s">
        <v>145</v>
      </c>
      <c r="B8" s="406"/>
      <c r="C8" s="156"/>
      <c r="D8" s="173">
        <v>2</v>
      </c>
      <c r="E8" s="156"/>
      <c r="F8" s="238" t="str">
        <f>IF(C8="","",IF(E8="","",IF(OR(Path="Section 11 ECB",Path="2024 GHG Limit"),INDEX(Lists!$A$4:$D$8,(MATCH($E8,Lists!$A$4:$A$8,0)),(MATCH($C8,Lists!$A$4:$D$4,0))),INDEX(Lists!$F$4:$I$8,(MATCH($E8,Lists!$F$4:$F$8,0)),(MATCH($C8,Lists!$F$4:$I$4,0))))))</f>
        <v/>
      </c>
      <c r="G8" s="216" t="str">
        <f>IF(C8="","",IF(E8="","",IF(OR(Path="Section 11 ECB",Path="2024 GHG Limit"),INDEX(Lists!$A$10:$D$14,(MATCH($E8,Lists!$A$10:$A$14,0)),(MATCH($C8,Lists!$A$10:$D$10,0))),INDEX(Lists!$F$10:$I$14,(MATCH($E8,Lists!$F$10:$F$14,0)),(MATCH($C8,Lists!$F$10:$I$10,0))))))</f>
        <v/>
      </c>
      <c r="H8" s="216" t="str">
        <f>IF(L8="","",L8)</f>
        <v/>
      </c>
      <c r="I8" s="239"/>
      <c r="J8" s="239"/>
      <c r="K8" s="239"/>
      <c r="L8" s="239"/>
      <c r="M8" s="155"/>
      <c r="N8" s="239"/>
      <c r="O8" s="239"/>
    </row>
    <row r="9" spans="1:15" s="100" customFormat="1" ht="24" customHeight="1">
      <c r="A9" s="406" t="s">
        <v>145</v>
      </c>
      <c r="B9" s="406"/>
      <c r="C9" s="156"/>
      <c r="D9" s="173">
        <v>3</v>
      </c>
      <c r="E9" s="156"/>
      <c r="F9" s="238" t="str">
        <f>IF(C9="","",IF(E9="","",IF(OR(Path="Section 11 ECB",Path="2024 GHG Limit"),INDEX(Lists!$A$4:$D$8,(MATCH($E9,Lists!$A$4:$A$8,0)),(MATCH($C9,Lists!$A$4:$D$4,0))),INDEX(Lists!$F$4:$I$8,(MATCH($E9,Lists!$F$4:$F$8,0)),(MATCH($C9,Lists!$F$4:$I$4,0))))))</f>
        <v/>
      </c>
      <c r="G9" s="216" t="str">
        <f>IF(C9="","",IF(E9="","",IF(OR(Path="Section 11 ECB",Path="2024 GHG Limit"),INDEX(Lists!$A$10:$D$14,(MATCH($E9,Lists!$A$10:$A$14,0)),(MATCH($C9,Lists!$A$10:$D$10,0))),INDEX(Lists!$F$10:$I$14,(MATCH($E9,Lists!$F$10:$F$14,0)),(MATCH($C9,Lists!$F$10:$I$10,0))))))</f>
        <v/>
      </c>
      <c r="H9" s="216" t="str">
        <f>IF(L9="","",L9)</f>
        <v/>
      </c>
      <c r="I9" s="239"/>
      <c r="J9" s="239"/>
      <c r="K9" s="239"/>
      <c r="L9" s="239"/>
      <c r="M9" s="155"/>
      <c r="N9" s="239"/>
      <c r="O9" s="239"/>
    </row>
    <row r="10" spans="1:15" s="100" customFormat="1" ht="24" customHeight="1">
      <c r="A10" s="406" t="s">
        <v>145</v>
      </c>
      <c r="B10" s="406"/>
      <c r="C10" s="156"/>
      <c r="D10" s="173">
        <v>4</v>
      </c>
      <c r="E10" s="156"/>
      <c r="F10" s="238" t="str">
        <f>IF(C10="","",IF(E10="","",IF(OR(Path="Section 11 ECB",Path="2024 GHG Limit"),INDEX(Lists!$A$4:$D$8,(MATCH($E10,Lists!$A$4:$A$8,0)),(MATCH($C10,Lists!$A$4:$D$4,0))),INDEX(Lists!$F$4:$I$8,(MATCH($E10,Lists!$F$4:$F$8,0)),(MATCH($C10,Lists!$F$4:$I$4,0))))))</f>
        <v/>
      </c>
      <c r="G10" s="216" t="str">
        <f>IF(C10="","",IF(E10="","",IF(OR(Path="Section 11 ECB",Path="2024 GHG Limit"),INDEX(Lists!$A$10:$D$14,(MATCH($E10,Lists!$A$10:$A$14,0)),(MATCH($C10,Lists!$A$10:$D$10,0))),INDEX(Lists!$F$10:$I$14,(MATCH($E10,Lists!$F$10:$F$14,0)),(MATCH($C10,Lists!$F$10:$I$10,0))))))</f>
        <v/>
      </c>
      <c r="H10" s="216" t="str">
        <f t="shared" ref="H10:H16" si="0">IF(L10="","",L10)</f>
        <v/>
      </c>
      <c r="I10" s="239"/>
      <c r="J10" s="239"/>
      <c r="K10" s="239"/>
      <c r="L10" s="239"/>
      <c r="M10" s="155"/>
      <c r="N10" s="239"/>
      <c r="O10" s="239"/>
    </row>
    <row r="11" spans="1:15" s="100" customFormat="1" ht="24" customHeight="1">
      <c r="A11" s="406" t="s">
        <v>145</v>
      </c>
      <c r="B11" s="406"/>
      <c r="C11" s="156"/>
      <c r="D11" s="173">
        <v>5</v>
      </c>
      <c r="E11" s="156"/>
      <c r="F11" s="238" t="str">
        <f>IF(C11="","",IF(E11="","",IF(OR(Path="Section 11 ECB",Path="2024 GHG Limit"),INDEX(Lists!$A$4:$D$8,(MATCH($E11,Lists!$A$4:$A$8,0)),(MATCH($C11,Lists!$A$4:$D$4,0))),INDEX(Lists!$F$4:$I$8,(MATCH($E11,Lists!$F$4:$F$8,0)),(MATCH($C11,Lists!$F$4:$I$4,0))))))</f>
        <v/>
      </c>
      <c r="G11" s="216" t="str">
        <f>IF(C11="","",IF(E11="","",IF(OR(Path="Section 11 ECB",Path="2024 GHG Limit"),INDEX(Lists!$A$10:$D$14,(MATCH($E11,Lists!$A$10:$A$14,0)),(MATCH($C11,Lists!$A$10:$D$10,0))),INDEX(Lists!$F$10:$I$14,(MATCH($E11,Lists!$F$10:$F$14,0)),(MATCH($C11,Lists!$F$10:$I$10,0))))))</f>
        <v/>
      </c>
      <c r="H11" s="216" t="str">
        <f t="shared" si="0"/>
        <v/>
      </c>
      <c r="I11" s="239"/>
      <c r="J11" s="239"/>
      <c r="K11" s="239"/>
      <c r="L11" s="239"/>
      <c r="M11" s="155"/>
      <c r="N11" s="239"/>
      <c r="O11" s="239"/>
    </row>
    <row r="12" spans="1:15" s="100" customFormat="1" ht="24" customHeight="1">
      <c r="A12" s="406" t="s">
        <v>145</v>
      </c>
      <c r="B12" s="406"/>
      <c r="C12" s="156"/>
      <c r="D12" s="173">
        <v>6</v>
      </c>
      <c r="E12" s="156"/>
      <c r="F12" s="238" t="str">
        <f>IF(C12="","",IF(E12="","",IF(OR(Path="Section 11 ECB",Path="2024 GHG Limit"),INDEX(Lists!$A$4:$D$8,(MATCH($E12,Lists!$A$4:$A$8,0)),(MATCH($C12,Lists!$A$4:$D$4,0))),INDEX(Lists!$F$4:$I$8,(MATCH($E12,Lists!$F$4:$F$8,0)),(MATCH($C12,Lists!$F$4:$I$4,0))))))</f>
        <v/>
      </c>
      <c r="G12" s="216" t="str">
        <f>IF(C12="","",IF(E12="","",IF(OR(Path="Section 11 ECB",Path="2024 GHG Limit"),INDEX(Lists!$A$10:$D$14,(MATCH($E12,Lists!$A$10:$A$14,0)),(MATCH($C12,Lists!$A$10:$D$10,0))),INDEX(Lists!$F$10:$I$14,(MATCH($E12,Lists!$F$10:$F$14,0)),(MATCH($C12,Lists!$F$10:$I$10,0))))))</f>
        <v/>
      </c>
      <c r="H12" s="216" t="str">
        <f t="shared" si="0"/>
        <v/>
      </c>
      <c r="I12" s="239"/>
      <c r="J12" s="239"/>
      <c r="K12" s="239"/>
      <c r="L12" s="239"/>
      <c r="M12" s="155"/>
      <c r="N12" s="239"/>
      <c r="O12" s="239"/>
    </row>
    <row r="13" spans="1:15" s="100" customFormat="1" ht="24" customHeight="1">
      <c r="A13" s="406" t="s">
        <v>145</v>
      </c>
      <c r="B13" s="406"/>
      <c r="C13" s="156"/>
      <c r="D13" s="173">
        <v>7</v>
      </c>
      <c r="E13" s="156"/>
      <c r="F13" s="238" t="str">
        <f>IF(C13="","",IF(E13="","",IF(OR(Path="Section 11 ECB",Path="2024 GHG Limit"),INDEX(Lists!$A$4:$D$8,(MATCH($E13,Lists!$A$4:$A$8,0)),(MATCH($C13,Lists!$A$4:$D$4,0))),INDEX(Lists!$F$4:$I$8,(MATCH($E13,Lists!$F$4:$F$8,0)),(MATCH($C13,Lists!$F$4:$I$4,0))))))</f>
        <v/>
      </c>
      <c r="G13" s="216" t="str">
        <f>IF(C13="","",IF(E13="","",IF(OR(Path="Section 11 ECB",Path="2024 GHG Limit"),INDEX(Lists!$A$10:$D$14,(MATCH($E13,Lists!$A$10:$A$14,0)),(MATCH($C13,Lists!$A$10:$D$10,0))),INDEX(Lists!$F$10:$I$14,(MATCH($E13,Lists!$F$10:$F$14,0)),(MATCH($C13,Lists!$F$10:$I$10,0))))))</f>
        <v/>
      </c>
      <c r="H13" s="216" t="str">
        <f t="shared" si="0"/>
        <v/>
      </c>
      <c r="I13" s="239"/>
      <c r="J13" s="239"/>
      <c r="K13" s="239"/>
      <c r="L13" s="239"/>
      <c r="M13" s="155"/>
      <c r="N13" s="239"/>
      <c r="O13" s="239"/>
    </row>
    <row r="14" spans="1:15" s="100" customFormat="1" ht="24" customHeight="1">
      <c r="A14" s="406" t="s">
        <v>145</v>
      </c>
      <c r="B14" s="406"/>
      <c r="C14" s="156"/>
      <c r="D14" s="173">
        <v>8</v>
      </c>
      <c r="E14" s="156"/>
      <c r="F14" s="238" t="str">
        <f>IF(C14="","",IF(E14="","",IF(OR(Path="Section 11 ECB",Path="2024 GHG Limit"),INDEX(Lists!$A$4:$D$8,(MATCH($E14,Lists!$A$4:$A$8,0)),(MATCH($C14,Lists!$A$4:$D$4,0))),INDEX(Lists!$F$4:$I$8,(MATCH($E14,Lists!$F$4:$F$8,0)),(MATCH($C14,Lists!$F$4:$I$4,0))))))</f>
        <v/>
      </c>
      <c r="G14" s="216" t="str">
        <f>IF(C14="","",IF(E14="","",IF(OR(Path="Section 11 ECB",Path="2024 GHG Limit"),INDEX(Lists!$A$10:$D$14,(MATCH($E14,Lists!$A$10:$A$14,0)),(MATCH($C14,Lists!$A$10:$D$10,0))),INDEX(Lists!$F$10:$I$14,(MATCH($E14,Lists!$F$10:$F$14,0)),(MATCH($C14,Lists!$F$10:$I$10,0))))))</f>
        <v/>
      </c>
      <c r="H14" s="216" t="str">
        <f t="shared" si="0"/>
        <v/>
      </c>
      <c r="I14" s="239"/>
      <c r="J14" s="239"/>
      <c r="K14" s="239"/>
      <c r="L14" s="239"/>
      <c r="M14" s="155"/>
      <c r="N14" s="239"/>
      <c r="O14" s="239"/>
    </row>
    <row r="15" spans="1:15" s="100" customFormat="1" ht="24" customHeight="1">
      <c r="A15" s="406" t="s">
        <v>145</v>
      </c>
      <c r="B15" s="406"/>
      <c r="C15" s="156"/>
      <c r="D15" s="173">
        <v>9</v>
      </c>
      <c r="E15" s="156"/>
      <c r="F15" s="238" t="str">
        <f>IF(C15="","",IF(E15="","",IF(OR(Path="Section 11 ECB",Path="2024 GHG Limit"),INDEX(Lists!$A$4:$D$8,(MATCH($E15,Lists!$A$4:$A$8,0)),(MATCH($C15,Lists!$A$4:$D$4,0))),INDEX(Lists!$F$4:$I$8,(MATCH($E15,Lists!$F$4:$F$8,0)),(MATCH($C15,Lists!$F$4:$I$4,0))))))</f>
        <v/>
      </c>
      <c r="G15" s="216" t="str">
        <f>IF(C15="","",IF(E15="","",IF(OR(Path="Section 11 ECB",Path="2024 GHG Limit"),INDEX(Lists!$A$10:$D$14,(MATCH($E15,Lists!$A$10:$A$14,0)),(MATCH($C15,Lists!$A$10:$D$10,0))),INDEX(Lists!$F$10:$I$14,(MATCH($E15,Lists!$F$10:$F$14,0)),(MATCH($C15,Lists!$F$10:$I$10,0))))))</f>
        <v/>
      </c>
      <c r="H15" s="216" t="str">
        <f t="shared" si="0"/>
        <v/>
      </c>
      <c r="I15" s="239"/>
      <c r="J15" s="239"/>
      <c r="K15" s="239"/>
      <c r="L15" s="239"/>
      <c r="M15" s="155"/>
      <c r="N15" s="239"/>
      <c r="O15" s="239"/>
    </row>
    <row r="16" spans="1:15" s="100" customFormat="1" ht="24" customHeight="1">
      <c r="A16" s="406" t="s">
        <v>145</v>
      </c>
      <c r="B16" s="406"/>
      <c r="C16" s="156"/>
      <c r="D16" s="173">
        <v>10</v>
      </c>
      <c r="E16" s="156"/>
      <c r="F16" s="238" t="str">
        <f>IF(C16="","",IF(E16="","",IF(OR(Path="Section 11 ECB",Path="2024 GHG Limit"),INDEX(Lists!$A$4:$D$8,(MATCH($E16,Lists!$A$4:$A$8,0)),(MATCH($C16,Lists!$A$4:$D$4,0))),INDEX(Lists!$F$4:$I$8,(MATCH($E16,Lists!$F$4:$F$8,0)),(MATCH($C16,Lists!$F$4:$I$4,0))))))</f>
        <v/>
      </c>
      <c r="G16" s="216" t="str">
        <f>IF(C16="","",IF(E16="","",IF(OR(Path="Section 11 ECB",Path="2024 GHG Limit"),INDEX(Lists!$A$10:$D$14,(MATCH($E16,Lists!$A$10:$A$14,0)),(MATCH($C16,Lists!$A$10:$D$10,0))),INDEX(Lists!$F$10:$I$14,(MATCH($E16,Lists!$F$10:$F$14,0)),(MATCH($C16,Lists!$F$10:$I$10,0))))))</f>
        <v/>
      </c>
      <c r="H16" s="216" t="str">
        <f t="shared" si="0"/>
        <v/>
      </c>
      <c r="I16" s="239"/>
      <c r="J16" s="239"/>
      <c r="K16" s="239"/>
      <c r="L16" s="239"/>
      <c r="M16" s="155"/>
      <c r="N16" s="239"/>
      <c r="O16" s="239"/>
    </row>
    <row r="17" spans="1:15" ht="24" customHeight="1">
      <c r="A17" s="406" t="s">
        <v>146</v>
      </c>
      <c r="B17" s="406"/>
      <c r="C17" s="156"/>
      <c r="D17" s="173">
        <v>1</v>
      </c>
      <c r="E17" s="156"/>
      <c r="F17" s="238" t="str">
        <f>IF(C17="","",IF(E17="","",IF(OR(Path="Section 11 ECB",Path="2024 GHG Limit"),INDEX(Lists!$A$17:$D$23,(MATCH($E17,Lists!$A$17:$A$23,0)),(MATCH($C17,Lists!$A$17:$D$17,0))),INDEX(Lists!$F$17:$I$23,(MATCH($E17,Lists!$F$17:$F$23,0)),(MATCH($C17,Lists!$F$17:$I$23,0))))))</f>
        <v/>
      </c>
      <c r="G17" s="216" t="str">
        <f>IF(C17="","",IF(E17="","",IF(OR(Path="Section 11 ECB",Path="2024 GHG Limit"),INDEX(Lists!$A$26:$D$32,(MATCH($E17,Lists!$A$26:$A$32,0)),(MATCH($C17,Lists!$A$26:$D$26,0))),INDEX(Lists!$F$26:$I$32,(MATCH($E17,Lists!$F$26:$F$32,0)),(MATCH($C17,Lists!$F$26:$I$26,0))))))</f>
        <v/>
      </c>
      <c r="H17" s="216" t="str">
        <f>IF(L17="","",L17)</f>
        <v/>
      </c>
      <c r="I17" s="239"/>
      <c r="J17" s="239"/>
      <c r="K17" s="239"/>
      <c r="L17" s="239"/>
      <c r="M17" s="155"/>
      <c r="N17" s="239"/>
      <c r="O17" s="239"/>
    </row>
    <row r="18" spans="1:15" ht="24" customHeight="1">
      <c r="A18" s="406" t="s">
        <v>146</v>
      </c>
      <c r="B18" s="406"/>
      <c r="C18" s="156"/>
      <c r="D18" s="173">
        <v>2</v>
      </c>
      <c r="E18" s="156"/>
      <c r="F18" s="238" t="str">
        <f>IF(C18="","",IF(E18="","",IF(OR(Path="Section 11 ECB",Path="2024 GHG Limit"),INDEX(Lists!$A$17:$D$23,(MATCH($E18,Lists!$A$17:$A$23,0)),(MATCH($C18,Lists!$A$17:$D$17,0))),INDEX(Lists!$F$17:$I$23,(MATCH($E18,Lists!$F$17:$F$23,0)),(MATCH($C18,Lists!$F$17:$I$23,0))))))</f>
        <v/>
      </c>
      <c r="G18" s="216" t="str">
        <f>IF(C18="","",IF(E18="","",IF(OR(Path="Section 11 ECB",Path="2024 GHG Limit"),INDEX(Lists!$A$26:$D$32,(MATCH($E18,Lists!$A$26:$A$32,0)),(MATCH($C18,Lists!$A$26:$D$26,0))),INDEX(Lists!$F$26:$I$32,(MATCH($E18,Lists!$F$26:$F$32,0)),(MATCH($C18,Lists!$F$26:$I$26,0))))))</f>
        <v/>
      </c>
      <c r="H18" s="216" t="str">
        <f>IF(L18="","",L18)</f>
        <v/>
      </c>
      <c r="I18" s="239"/>
      <c r="J18" s="239"/>
      <c r="K18" s="239"/>
      <c r="L18" s="239"/>
      <c r="M18" s="155"/>
      <c r="N18" s="239"/>
      <c r="O18" s="239"/>
    </row>
    <row r="19" spans="1:15" ht="33" customHeight="1">
      <c r="A19" s="398" t="s">
        <v>147</v>
      </c>
      <c r="B19" s="417"/>
      <c r="C19" s="399"/>
      <c r="D19" s="422" t="s">
        <v>148</v>
      </c>
      <c r="E19" s="423"/>
      <c r="F19" s="423"/>
      <c r="G19" s="424"/>
      <c r="H19" s="425"/>
      <c r="I19" s="422" t="s">
        <v>149</v>
      </c>
      <c r="J19" s="423"/>
      <c r="K19" s="423"/>
      <c r="L19" s="419"/>
      <c r="M19" s="420"/>
      <c r="N19" s="420"/>
      <c r="O19" s="421"/>
    </row>
  </sheetData>
  <sheetProtection algorithmName="SHA-512" hashValue="d6HEhRAm6DnO6gZ9j9ngZ3qythgPzNOta+q3RKes/z5dj+YtKfjbzjEbAm5gC0buHPH2qk9xVvjFWPKS9KR0nQ==" saltValue="CIeXUC24I3r0yGWqf6CM9g==" spinCount="100000" sheet="1" objects="1" scenarios="1"/>
  <mergeCells count="26">
    <mergeCell ref="B3:O3"/>
    <mergeCell ref="A7:B7"/>
    <mergeCell ref="A8:B8"/>
    <mergeCell ref="A9:B9"/>
    <mergeCell ref="A10:B10"/>
    <mergeCell ref="A4:O4"/>
    <mergeCell ref="I5:L5"/>
    <mergeCell ref="M5:M6"/>
    <mergeCell ref="N5:N6"/>
    <mergeCell ref="O5:O6"/>
    <mergeCell ref="A5:B6"/>
    <mergeCell ref="C5:C6"/>
    <mergeCell ref="E5:H5"/>
    <mergeCell ref="L19:O19"/>
    <mergeCell ref="A16:B16"/>
    <mergeCell ref="A11:B11"/>
    <mergeCell ref="A12:B12"/>
    <mergeCell ref="A13:B13"/>
    <mergeCell ref="A14:B14"/>
    <mergeCell ref="A15:B15"/>
    <mergeCell ref="A19:C19"/>
    <mergeCell ref="D19:F19"/>
    <mergeCell ref="G19:H19"/>
    <mergeCell ref="I19:K19"/>
    <mergeCell ref="A17:B17"/>
    <mergeCell ref="A18:B18"/>
  </mergeCells>
  <conditionalFormatting sqref="I7:O18">
    <cfRule type="containsBlanks" dxfId="103" priority="7">
      <formula>LEN(TRIM(I7))=0</formula>
    </cfRule>
  </conditionalFormatting>
  <conditionalFormatting sqref="L19">
    <cfRule type="containsBlanks" dxfId="102" priority="1">
      <formula>LEN(TRIM(L19))=0</formula>
    </cfRule>
  </conditionalFormatting>
  <dataValidations disablePrompts="1" count="2">
    <dataValidation type="list" allowBlank="1" showInputMessage="1" showErrorMessage="1" sqref="E7:E16" xr:uid="{00000000-0002-0000-0D00-000001000000}">
      <formula1>Fenestration</formula1>
    </dataValidation>
    <dataValidation type="list" allowBlank="1" showInputMessage="1" showErrorMessage="1" sqref="C7:C18" xr:uid="{00000000-0002-0000-0D00-000000000000}">
      <formula1>Env_Type</formula1>
    </dataValidation>
  </dataValidations>
  <pageMargins left="0.4498611111111111" right="2.0414583333333334" top="0.75" bottom="0.75" header="0.3" footer="0.3"/>
  <pageSetup scale="82" orientation="landscape" r:id="rId1"/>
  <headerFooter>
    <oddHeader>&amp;L&amp;G&amp;C
&amp;R&amp;"Liberation Sans,Bold"&amp;14&amp;K00247DEN97A: GHG Adjustments Form</oddHeader>
    <oddFooter>&amp;L&amp;"Liberation Sans,Regular"Version 1.3&amp;R&amp;"Liberation Sans,Regular"February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00000000-0002-0000-0D00-000003000000}">
          <x14:formula1>
            <xm:f>Lists!$B$1:$B$3</xm:f>
          </x14:formula1>
          <xm:sqref>G19:H19</xm:sqref>
        </x14:dataValidation>
        <x14:dataValidation type="list" allowBlank="1" showInputMessage="1" showErrorMessage="1" xr:uid="{FB1BC6AC-4250-4DD0-9176-6B54ED7E087A}">
          <x14:formula1>
            <xm:f>Lists!$L$1:$L$5</xm:f>
          </x14:formula1>
          <xm:sqref>M7:M18</xm:sqref>
        </x14:dataValidation>
        <x14:dataValidation type="list" allowBlank="1" showInputMessage="1" showErrorMessage="1" xr:uid="{FBC26ED0-1916-4EC1-B81A-BDC38CCD3423}">
          <x14:formula1>
            <xm:f>Lists!$A$18:$A$23</xm:f>
          </x14:formula1>
          <xm:sqref>E17:E18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4"/>
  <dimension ref="A1:AC158"/>
  <sheetViews>
    <sheetView topLeftCell="H1" zoomScale="103" zoomScaleNormal="93" workbookViewId="0">
      <selection activeCell="G28" sqref="G28"/>
    </sheetView>
  </sheetViews>
  <sheetFormatPr defaultColWidth="8.85546875" defaultRowHeight="15"/>
  <cols>
    <col min="1" max="1" width="35.85546875" bestFit="1" customWidth="1"/>
    <col min="2" max="2" width="30.140625" customWidth="1"/>
    <col min="3" max="3" width="8.7109375" customWidth="1"/>
    <col min="6" max="6" width="16" customWidth="1"/>
    <col min="7" max="7" width="14.85546875" customWidth="1"/>
    <col min="8" max="8" width="12.140625" customWidth="1"/>
    <col min="9" max="9" width="8.28515625" customWidth="1"/>
    <col min="10" max="10" width="22.85546875" customWidth="1"/>
    <col min="11" max="11" width="18.85546875" customWidth="1"/>
    <col min="12" max="12" width="20.7109375" customWidth="1"/>
    <col min="13" max="13" width="24.28515625" customWidth="1"/>
    <col min="14" max="14" width="26.7109375" customWidth="1"/>
    <col min="15" max="15" width="51.7109375" customWidth="1"/>
    <col min="16" max="16" width="35.28515625" customWidth="1"/>
    <col min="19" max="19" width="48.28515625" bestFit="1" customWidth="1"/>
    <col min="20" max="21" width="25.7109375" customWidth="1"/>
    <col min="22" max="22" width="30.28515625" customWidth="1"/>
    <col min="23" max="23" width="31.85546875" bestFit="1" customWidth="1"/>
    <col min="24" max="24" width="14.140625" customWidth="1"/>
    <col min="25" max="25" width="25.85546875" customWidth="1"/>
  </cols>
  <sheetData>
    <row r="1" spans="1:29">
      <c r="A1" t="s">
        <v>150</v>
      </c>
      <c r="B1" t="s">
        <v>151</v>
      </c>
      <c r="F1" t="s">
        <v>152</v>
      </c>
      <c r="J1" t="s">
        <v>153</v>
      </c>
      <c r="K1" t="s">
        <v>154</v>
      </c>
      <c r="L1" t="s">
        <v>155</v>
      </c>
      <c r="M1">
        <v>40</v>
      </c>
      <c r="N1" t="s">
        <v>156</v>
      </c>
      <c r="Q1" t="s">
        <v>157</v>
      </c>
      <c r="R1" t="s">
        <v>158</v>
      </c>
      <c r="S1" t="s">
        <v>157</v>
      </c>
      <c r="U1" t="s">
        <v>159</v>
      </c>
      <c r="V1" t="s">
        <v>160</v>
      </c>
      <c r="W1" t="s">
        <v>161</v>
      </c>
      <c r="X1" t="s">
        <v>162</v>
      </c>
      <c r="Y1" t="s">
        <v>163</v>
      </c>
      <c r="Z1" t="s">
        <v>164</v>
      </c>
      <c r="AA1" t="s">
        <v>165</v>
      </c>
      <c r="AC1" t="s">
        <v>160</v>
      </c>
    </row>
    <row r="2" spans="1:29">
      <c r="A2" t="s">
        <v>166</v>
      </c>
      <c r="B2" t="s">
        <v>167</v>
      </c>
      <c r="F2" t="s">
        <v>168</v>
      </c>
      <c r="J2" t="s">
        <v>169</v>
      </c>
      <c r="K2" t="s">
        <v>170</v>
      </c>
      <c r="L2" t="s">
        <v>171</v>
      </c>
      <c r="N2" t="s">
        <v>172</v>
      </c>
      <c r="Q2" t="s">
        <v>173</v>
      </c>
      <c r="R2" t="s">
        <v>174</v>
      </c>
      <c r="S2" t="s">
        <v>175</v>
      </c>
      <c r="U2" t="s">
        <v>176</v>
      </c>
      <c r="V2" t="s">
        <v>177</v>
      </c>
      <c r="W2" t="s">
        <v>178</v>
      </c>
      <c r="X2" t="s">
        <v>179</v>
      </c>
      <c r="Y2" t="s">
        <v>180</v>
      </c>
      <c r="Z2" t="s">
        <v>181</v>
      </c>
      <c r="AA2" t="s">
        <v>182</v>
      </c>
      <c r="AC2" t="s">
        <v>177</v>
      </c>
    </row>
    <row r="3" spans="1:29">
      <c r="A3" t="s">
        <v>183</v>
      </c>
      <c r="B3" t="s">
        <v>184</v>
      </c>
      <c r="J3" t="s">
        <v>185</v>
      </c>
      <c r="K3" t="s">
        <v>186</v>
      </c>
      <c r="L3" t="s">
        <v>187</v>
      </c>
      <c r="U3" t="s">
        <v>188</v>
      </c>
      <c r="V3" t="s">
        <v>189</v>
      </c>
      <c r="X3" t="s">
        <v>190</v>
      </c>
      <c r="Y3" t="s">
        <v>191</v>
      </c>
      <c r="Z3" t="s">
        <v>192</v>
      </c>
      <c r="AA3" t="s">
        <v>189</v>
      </c>
      <c r="AC3" t="s">
        <v>193</v>
      </c>
    </row>
    <row r="4" spans="1:29">
      <c r="A4" t="s">
        <v>194</v>
      </c>
      <c r="B4" t="s">
        <v>150</v>
      </c>
      <c r="C4" t="s">
        <v>166</v>
      </c>
      <c r="D4" t="s">
        <v>183</v>
      </c>
      <c r="F4" t="s">
        <v>194</v>
      </c>
      <c r="G4" t="s">
        <v>150</v>
      </c>
      <c r="H4" t="s">
        <v>166</v>
      </c>
      <c r="I4" t="s">
        <v>183</v>
      </c>
      <c r="J4" t="s">
        <v>195</v>
      </c>
      <c r="L4" t="s">
        <v>196</v>
      </c>
      <c r="N4" t="s">
        <v>27</v>
      </c>
      <c r="Q4" t="s">
        <v>197</v>
      </c>
      <c r="R4" t="s">
        <v>198</v>
      </c>
      <c r="S4" t="s">
        <v>199</v>
      </c>
      <c r="T4" t="s">
        <v>200</v>
      </c>
      <c r="U4" t="s">
        <v>201</v>
      </c>
      <c r="X4" t="s">
        <v>202</v>
      </c>
      <c r="Y4" t="s">
        <v>203</v>
      </c>
      <c r="Z4" t="s">
        <v>204</v>
      </c>
      <c r="AC4" t="s">
        <v>189</v>
      </c>
    </row>
    <row r="5" spans="1:29">
      <c r="A5" s="67" t="s">
        <v>205</v>
      </c>
      <c r="B5" s="67" t="s">
        <v>206</v>
      </c>
      <c r="C5" s="67" t="s">
        <v>206</v>
      </c>
      <c r="D5" s="67" t="s">
        <v>207</v>
      </c>
      <c r="F5" s="67" t="s">
        <v>205</v>
      </c>
      <c r="G5" s="67" t="s">
        <v>208</v>
      </c>
      <c r="H5" s="67" t="s">
        <v>208</v>
      </c>
      <c r="I5" s="67" t="s">
        <v>209</v>
      </c>
      <c r="J5" t="s">
        <v>210</v>
      </c>
      <c r="L5" t="s">
        <v>204</v>
      </c>
      <c r="N5" t="s">
        <v>211</v>
      </c>
      <c r="Q5" t="s">
        <v>212</v>
      </c>
      <c r="R5" t="s">
        <v>213</v>
      </c>
      <c r="S5" t="s">
        <v>214</v>
      </c>
      <c r="T5" t="s">
        <v>215</v>
      </c>
      <c r="U5" t="s">
        <v>216</v>
      </c>
      <c r="X5" t="s">
        <v>217</v>
      </c>
      <c r="Y5" t="s">
        <v>218</v>
      </c>
    </row>
    <row r="6" spans="1:29" ht="18">
      <c r="A6" s="67" t="s">
        <v>219</v>
      </c>
      <c r="B6" s="68" t="s">
        <v>220</v>
      </c>
      <c r="C6" s="68" t="s">
        <v>220</v>
      </c>
      <c r="D6" s="68" t="s">
        <v>207</v>
      </c>
      <c r="F6" s="67" t="s">
        <v>219</v>
      </c>
      <c r="G6" s="67" t="s">
        <v>208</v>
      </c>
      <c r="H6" s="67" t="s">
        <v>208</v>
      </c>
      <c r="I6" s="67" t="s">
        <v>209</v>
      </c>
      <c r="N6" t="s">
        <v>221</v>
      </c>
      <c r="Q6" t="s">
        <v>222</v>
      </c>
      <c r="R6" t="s">
        <v>223</v>
      </c>
      <c r="T6" t="s">
        <v>224</v>
      </c>
      <c r="U6" t="s">
        <v>225</v>
      </c>
      <c r="X6" t="s">
        <v>226</v>
      </c>
      <c r="Y6" t="s">
        <v>227</v>
      </c>
    </row>
    <row r="7" spans="1:29">
      <c r="A7" s="67" t="s">
        <v>228</v>
      </c>
      <c r="B7" s="68" t="s">
        <v>229</v>
      </c>
      <c r="C7" s="68" t="s">
        <v>229</v>
      </c>
      <c r="D7" s="68" t="s">
        <v>207</v>
      </c>
      <c r="F7" s="67" t="s">
        <v>228</v>
      </c>
      <c r="G7" s="67" t="s">
        <v>208</v>
      </c>
      <c r="H7" s="67" t="s">
        <v>208</v>
      </c>
      <c r="I7" s="67" t="s">
        <v>209</v>
      </c>
      <c r="Q7" t="s">
        <v>230</v>
      </c>
      <c r="R7" t="s">
        <v>157</v>
      </c>
      <c r="T7" t="s">
        <v>230</v>
      </c>
      <c r="U7" t="s">
        <v>231</v>
      </c>
      <c r="X7" t="s">
        <v>232</v>
      </c>
      <c r="Y7" t="s">
        <v>233</v>
      </c>
    </row>
    <row r="8" spans="1:29">
      <c r="A8" s="67" t="s">
        <v>234</v>
      </c>
      <c r="B8" s="68" t="s">
        <v>235</v>
      </c>
      <c r="C8" s="68" t="s">
        <v>235</v>
      </c>
      <c r="D8" s="68" t="s">
        <v>207</v>
      </c>
      <c r="F8" s="67" t="s">
        <v>234</v>
      </c>
      <c r="G8" s="67" t="s">
        <v>208</v>
      </c>
      <c r="H8" s="67" t="s">
        <v>208</v>
      </c>
      <c r="I8" s="67" t="s">
        <v>209</v>
      </c>
      <c r="T8" t="s">
        <v>236</v>
      </c>
      <c r="U8" t="s">
        <v>237</v>
      </c>
      <c r="X8" t="s">
        <v>238</v>
      </c>
      <c r="Y8" t="s">
        <v>188</v>
      </c>
    </row>
    <row r="9" spans="1:29">
      <c r="U9" t="s">
        <v>239</v>
      </c>
      <c r="X9" t="s">
        <v>240</v>
      </c>
      <c r="Y9" t="s">
        <v>189</v>
      </c>
    </row>
    <row r="10" spans="1:29">
      <c r="A10" s="67" t="s">
        <v>142</v>
      </c>
      <c r="B10" t="s">
        <v>150</v>
      </c>
      <c r="C10" t="s">
        <v>166</v>
      </c>
      <c r="D10" t="s">
        <v>183</v>
      </c>
      <c r="F10" s="67" t="s">
        <v>142</v>
      </c>
      <c r="G10" t="s">
        <v>150</v>
      </c>
      <c r="H10" t="s">
        <v>166</v>
      </c>
      <c r="I10" t="s">
        <v>183</v>
      </c>
      <c r="U10" t="s">
        <v>241</v>
      </c>
      <c r="X10" t="s">
        <v>189</v>
      </c>
    </row>
    <row r="11" spans="1:29">
      <c r="A11" s="67" t="s">
        <v>205</v>
      </c>
      <c r="B11" s="69">
        <v>0.4</v>
      </c>
      <c r="C11" s="69">
        <v>0.4</v>
      </c>
      <c r="D11" s="67" t="s">
        <v>242</v>
      </c>
      <c r="F11" s="67" t="s">
        <v>205</v>
      </c>
      <c r="G11" s="67">
        <v>0.39</v>
      </c>
      <c r="H11" s="67">
        <v>0.39</v>
      </c>
      <c r="I11" s="67" t="s">
        <v>242</v>
      </c>
      <c r="U11" t="s">
        <v>243</v>
      </c>
    </row>
    <row r="12" spans="1:29">
      <c r="A12" s="67" t="s">
        <v>219</v>
      </c>
      <c r="B12" s="69">
        <v>0.4</v>
      </c>
      <c r="C12" s="69">
        <v>0.4</v>
      </c>
      <c r="D12" s="67" t="s">
        <v>242</v>
      </c>
      <c r="F12" s="67" t="s">
        <v>219</v>
      </c>
      <c r="G12" s="67">
        <v>0.39</v>
      </c>
      <c r="H12" s="67">
        <v>0.39</v>
      </c>
      <c r="I12" s="67" t="s">
        <v>242</v>
      </c>
      <c r="N12" t="s">
        <v>244</v>
      </c>
      <c r="O12" t="s">
        <v>245</v>
      </c>
    </row>
    <row r="13" spans="1:29">
      <c r="A13" s="67" t="s">
        <v>228</v>
      </c>
      <c r="B13" s="69">
        <v>0.4</v>
      </c>
      <c r="C13" s="69">
        <v>0.4</v>
      </c>
      <c r="D13" s="67" t="s">
        <v>242</v>
      </c>
      <c r="F13" s="67" t="s">
        <v>228</v>
      </c>
      <c r="G13" s="67">
        <v>0.39</v>
      </c>
      <c r="H13" s="67">
        <v>0.39</v>
      </c>
      <c r="I13" s="67" t="s">
        <v>242</v>
      </c>
      <c r="M13" t="s">
        <v>246</v>
      </c>
      <c r="N13" s="34">
        <v>0.71</v>
      </c>
      <c r="O13" s="34">
        <v>0.72</v>
      </c>
    </row>
    <row r="14" spans="1:29">
      <c r="A14" s="67" t="s">
        <v>234</v>
      </c>
      <c r="B14" s="69">
        <v>0.4</v>
      </c>
      <c r="C14" s="69">
        <v>0.4</v>
      </c>
      <c r="D14" s="67" t="s">
        <v>242</v>
      </c>
      <c r="F14" s="67" t="s">
        <v>234</v>
      </c>
      <c r="G14" s="67">
        <v>0.39</v>
      </c>
      <c r="H14" s="67">
        <v>0.39</v>
      </c>
      <c r="I14" s="67" t="s">
        <v>242</v>
      </c>
      <c r="M14" t="s">
        <v>247</v>
      </c>
      <c r="N14" s="34">
        <v>0.71</v>
      </c>
      <c r="O14" s="34">
        <v>0.72</v>
      </c>
    </row>
    <row r="15" spans="1:29">
      <c r="M15" t="s">
        <v>248</v>
      </c>
      <c r="N15" s="34">
        <v>0.69</v>
      </c>
      <c r="O15" s="34">
        <v>0.7</v>
      </c>
    </row>
    <row r="16" spans="1:29">
      <c r="A16" s="67" t="s">
        <v>249</v>
      </c>
      <c r="M16" t="s">
        <v>250</v>
      </c>
      <c r="N16" s="34">
        <v>0.73</v>
      </c>
      <c r="O16" s="34">
        <v>0.74</v>
      </c>
    </row>
    <row r="17" spans="1:15">
      <c r="A17" s="68" t="s">
        <v>251</v>
      </c>
      <c r="B17" s="67" t="s">
        <v>150</v>
      </c>
      <c r="C17" s="67" t="s">
        <v>166</v>
      </c>
      <c r="D17" s="67" t="s">
        <v>183</v>
      </c>
      <c r="E17" s="67"/>
      <c r="F17" s="67" t="s">
        <v>251</v>
      </c>
      <c r="G17" s="67" t="s">
        <v>150</v>
      </c>
      <c r="H17" s="67" t="s">
        <v>166</v>
      </c>
      <c r="I17" s="67" t="s">
        <v>183</v>
      </c>
      <c r="M17" t="s">
        <v>252</v>
      </c>
      <c r="N17" s="34">
        <v>0.84</v>
      </c>
      <c r="O17" s="34">
        <v>0.86</v>
      </c>
    </row>
    <row r="18" spans="1:15">
      <c r="A18" s="68" t="s">
        <v>253</v>
      </c>
      <c r="B18" s="68" t="s">
        <v>254</v>
      </c>
      <c r="C18" s="68" t="s">
        <v>255</v>
      </c>
      <c r="D18" s="68" t="s">
        <v>256</v>
      </c>
      <c r="E18" s="67"/>
      <c r="F18" s="68" t="s">
        <v>253</v>
      </c>
      <c r="G18" s="67" t="s">
        <v>257</v>
      </c>
      <c r="H18" s="67" t="s">
        <v>258</v>
      </c>
      <c r="I18" s="67" t="s">
        <v>259</v>
      </c>
      <c r="M18" t="s">
        <v>260</v>
      </c>
      <c r="N18" s="34">
        <v>0.68</v>
      </c>
      <c r="O18" s="34">
        <v>0.69</v>
      </c>
    </row>
    <row r="19" spans="1:15">
      <c r="A19" s="68" t="s">
        <v>261</v>
      </c>
      <c r="B19" s="68" t="s">
        <v>254</v>
      </c>
      <c r="C19" s="68" t="s">
        <v>255</v>
      </c>
      <c r="D19" s="68" t="s">
        <v>256</v>
      </c>
      <c r="E19" s="67"/>
      <c r="F19" s="68" t="s">
        <v>261</v>
      </c>
      <c r="G19" s="67" t="s">
        <v>257</v>
      </c>
      <c r="H19" s="67" t="s">
        <v>258</v>
      </c>
      <c r="I19" s="67" t="s">
        <v>259</v>
      </c>
      <c r="M19" t="s">
        <v>262</v>
      </c>
      <c r="N19" s="34">
        <v>0.72</v>
      </c>
      <c r="O19" s="34">
        <v>0.69</v>
      </c>
    </row>
    <row r="20" spans="1:15">
      <c r="A20" s="68" t="s">
        <v>263</v>
      </c>
      <c r="B20" s="68" t="s">
        <v>264</v>
      </c>
      <c r="C20" s="68" t="s">
        <v>264</v>
      </c>
      <c r="D20" s="68" t="s">
        <v>265</v>
      </c>
      <c r="E20" s="67"/>
      <c r="F20" s="68" t="s">
        <v>263</v>
      </c>
      <c r="G20" s="67" t="s">
        <v>257</v>
      </c>
      <c r="H20" s="67" t="s">
        <v>258</v>
      </c>
      <c r="I20" s="67" t="s">
        <v>259</v>
      </c>
      <c r="M20" t="s">
        <v>266</v>
      </c>
      <c r="N20" s="34">
        <v>0.68</v>
      </c>
      <c r="O20" s="34">
        <v>0.69</v>
      </c>
    </row>
    <row r="21" spans="1:15">
      <c r="A21" s="68" t="s">
        <v>267</v>
      </c>
      <c r="B21" s="68" t="s">
        <v>264</v>
      </c>
      <c r="C21" s="68" t="s">
        <v>264</v>
      </c>
      <c r="D21" s="68" t="s">
        <v>265</v>
      </c>
      <c r="E21" s="67"/>
      <c r="F21" s="68" t="s">
        <v>267</v>
      </c>
      <c r="G21" s="67" t="s">
        <v>257</v>
      </c>
      <c r="H21" s="67" t="s">
        <v>258</v>
      </c>
      <c r="I21" s="67" t="s">
        <v>259</v>
      </c>
      <c r="M21" t="s">
        <v>268</v>
      </c>
      <c r="N21" s="34">
        <v>0.56000000000000005</v>
      </c>
      <c r="O21" s="34">
        <v>0.59</v>
      </c>
    </row>
    <row r="22" spans="1:15">
      <c r="A22" s="68" t="s">
        <v>269</v>
      </c>
      <c r="B22" s="68" t="s">
        <v>257</v>
      </c>
      <c r="C22" s="68" t="s">
        <v>258</v>
      </c>
      <c r="D22" s="68" t="s">
        <v>259</v>
      </c>
      <c r="E22" s="67"/>
      <c r="F22" s="68" t="s">
        <v>269</v>
      </c>
      <c r="G22" s="67" t="s">
        <v>257</v>
      </c>
      <c r="H22" s="67" t="s">
        <v>258</v>
      </c>
      <c r="I22" s="67" t="s">
        <v>259</v>
      </c>
      <c r="M22" t="s">
        <v>270</v>
      </c>
      <c r="N22" s="34">
        <v>0.68</v>
      </c>
      <c r="O22" s="34">
        <v>0.68</v>
      </c>
    </row>
    <row r="23" spans="1:15">
      <c r="A23" s="68" t="s">
        <v>271</v>
      </c>
      <c r="B23" s="68" t="s">
        <v>257</v>
      </c>
      <c r="C23" s="68" t="s">
        <v>258</v>
      </c>
      <c r="D23" s="68" t="s">
        <v>259</v>
      </c>
      <c r="E23" s="67"/>
      <c r="F23" s="68" t="s">
        <v>271</v>
      </c>
      <c r="G23" s="67" t="s">
        <v>257</v>
      </c>
      <c r="H23" s="67" t="s">
        <v>258</v>
      </c>
      <c r="I23" s="67" t="s">
        <v>259</v>
      </c>
      <c r="M23" t="s">
        <v>272</v>
      </c>
      <c r="N23" s="34"/>
      <c r="O23" s="34"/>
    </row>
    <row r="24" spans="1:15">
      <c r="N24" s="34"/>
      <c r="O24" s="34"/>
    </row>
    <row r="25" spans="1:15">
      <c r="A25" s="70" t="s">
        <v>142</v>
      </c>
      <c r="B25" s="67"/>
      <c r="C25" s="67"/>
      <c r="D25" s="67"/>
      <c r="E25" s="67"/>
      <c r="F25" s="67"/>
      <c r="G25" s="67"/>
      <c r="H25" s="67"/>
      <c r="I25" s="67"/>
    </row>
    <row r="26" spans="1:15">
      <c r="A26" s="67" t="s">
        <v>251</v>
      </c>
      <c r="B26" s="67" t="s">
        <v>150</v>
      </c>
      <c r="C26" s="67" t="s">
        <v>166</v>
      </c>
      <c r="D26" s="67" t="s">
        <v>183</v>
      </c>
      <c r="E26" s="67"/>
      <c r="F26" s="67" t="s">
        <v>251</v>
      </c>
      <c r="G26" s="67" t="s">
        <v>150</v>
      </c>
      <c r="H26" s="67" t="s">
        <v>166</v>
      </c>
      <c r="I26" s="67" t="s">
        <v>183</v>
      </c>
    </row>
    <row r="27" spans="1:15">
      <c r="A27" s="68" t="s">
        <v>253</v>
      </c>
      <c r="B27" s="67">
        <v>0.49</v>
      </c>
      <c r="C27" s="67">
        <v>0.36</v>
      </c>
      <c r="D27" s="67" t="s">
        <v>242</v>
      </c>
      <c r="E27" s="67"/>
      <c r="F27" s="68" t="s">
        <v>253</v>
      </c>
      <c r="G27" s="67">
        <v>0.49</v>
      </c>
      <c r="H27" s="67">
        <v>0.36</v>
      </c>
      <c r="I27" s="67" t="s">
        <v>242</v>
      </c>
    </row>
    <row r="28" spans="1:15">
      <c r="A28" s="68" t="s">
        <v>261</v>
      </c>
      <c r="B28" s="67">
        <v>0.39</v>
      </c>
      <c r="C28" s="67">
        <v>0.19</v>
      </c>
      <c r="D28" s="67" t="s">
        <v>242</v>
      </c>
      <c r="E28" s="67"/>
      <c r="F28" s="68" t="s">
        <v>261</v>
      </c>
      <c r="G28" s="67">
        <v>0.39</v>
      </c>
      <c r="H28" s="67">
        <v>0.19</v>
      </c>
      <c r="I28" s="67" t="s">
        <v>242</v>
      </c>
    </row>
    <row r="29" spans="1:15">
      <c r="A29" s="68" t="s">
        <v>263</v>
      </c>
      <c r="B29" s="67">
        <v>0.65</v>
      </c>
      <c r="C29" s="67">
        <v>0.62</v>
      </c>
      <c r="D29" s="67" t="s">
        <v>242</v>
      </c>
      <c r="E29" s="67"/>
      <c r="F29" s="68" t="s">
        <v>263</v>
      </c>
      <c r="G29" s="67">
        <v>0.49</v>
      </c>
      <c r="H29" s="67">
        <v>0.36</v>
      </c>
      <c r="I29" s="67" t="s">
        <v>242</v>
      </c>
      <c r="N29" s="34"/>
      <c r="O29" s="34"/>
    </row>
    <row r="30" spans="1:15">
      <c r="A30" s="68" t="s">
        <v>267</v>
      </c>
      <c r="B30" s="67">
        <v>0.34</v>
      </c>
      <c r="C30" s="67">
        <v>0.27</v>
      </c>
      <c r="D30" s="67" t="s">
        <v>242</v>
      </c>
      <c r="E30" s="67"/>
      <c r="F30" s="68" t="s">
        <v>267</v>
      </c>
      <c r="G30" s="67">
        <v>0.39</v>
      </c>
      <c r="H30" s="67">
        <v>0.19</v>
      </c>
      <c r="I30" s="67" t="s">
        <v>242</v>
      </c>
      <c r="N30" s="34"/>
      <c r="O30" s="34"/>
    </row>
    <row r="31" spans="1:15">
      <c r="A31" s="68" t="s">
        <v>269</v>
      </c>
      <c r="B31" s="67">
        <v>0.49</v>
      </c>
      <c r="C31" s="67">
        <v>0.36</v>
      </c>
      <c r="D31" s="67" t="s">
        <v>242</v>
      </c>
      <c r="E31" s="67"/>
      <c r="F31" s="68" t="s">
        <v>269</v>
      </c>
      <c r="G31" s="67">
        <v>0.49</v>
      </c>
      <c r="H31" s="67">
        <v>0.36</v>
      </c>
      <c r="I31" s="67" t="s">
        <v>242</v>
      </c>
      <c r="N31" s="34"/>
      <c r="O31" s="34"/>
    </row>
    <row r="32" spans="1:15">
      <c r="A32" s="68" t="s">
        <v>271</v>
      </c>
      <c r="B32" s="67">
        <v>0.39</v>
      </c>
      <c r="C32" s="67">
        <v>0.19</v>
      </c>
      <c r="D32" s="67" t="s">
        <v>242</v>
      </c>
      <c r="E32" s="67"/>
      <c r="F32" s="68" t="s">
        <v>271</v>
      </c>
      <c r="G32" s="67">
        <v>0.39</v>
      </c>
      <c r="H32" s="67">
        <v>0.19</v>
      </c>
      <c r="I32" s="67" t="s">
        <v>242</v>
      </c>
      <c r="N32" s="34"/>
      <c r="O32" s="34"/>
    </row>
    <row r="33" spans="1:15">
      <c r="N33" s="34"/>
      <c r="O33" s="34"/>
    </row>
    <row r="35" spans="1:15">
      <c r="A35" s="71"/>
      <c r="B35" s="71" t="s">
        <v>150</v>
      </c>
      <c r="C35" s="71" t="s">
        <v>166</v>
      </c>
      <c r="D35" s="71" t="s">
        <v>183</v>
      </c>
      <c r="E35" s="71"/>
      <c r="F35" s="71"/>
      <c r="G35" s="71" t="s">
        <v>150</v>
      </c>
      <c r="H35" s="71" t="s">
        <v>166</v>
      </c>
      <c r="I35" s="71" t="s">
        <v>183</v>
      </c>
    </row>
    <row r="36" spans="1:15">
      <c r="A36" s="71" t="s">
        <v>273</v>
      </c>
      <c r="B36" s="71" t="s">
        <v>274</v>
      </c>
      <c r="C36" s="71" t="s">
        <v>274</v>
      </c>
      <c r="D36" s="71" t="s">
        <v>275</v>
      </c>
      <c r="E36" s="71"/>
      <c r="F36" s="71" t="s">
        <v>273</v>
      </c>
      <c r="G36" s="71" t="s">
        <v>276</v>
      </c>
      <c r="H36" s="71" t="s">
        <v>276</v>
      </c>
      <c r="I36" s="71" t="s">
        <v>277</v>
      </c>
    </row>
    <row r="37" spans="1:15">
      <c r="A37" s="71" t="s">
        <v>278</v>
      </c>
      <c r="B37" s="71" t="s">
        <v>279</v>
      </c>
      <c r="C37" s="71" t="s">
        <v>279</v>
      </c>
      <c r="D37" s="71" t="s">
        <v>280</v>
      </c>
      <c r="E37" s="71"/>
      <c r="F37" s="71" t="s">
        <v>278</v>
      </c>
      <c r="G37" s="72" t="s">
        <v>281</v>
      </c>
      <c r="H37" s="72" t="s">
        <v>281</v>
      </c>
      <c r="I37" s="72" t="s">
        <v>281</v>
      </c>
    </row>
    <row r="38" spans="1:15">
      <c r="A38" s="71" t="s">
        <v>282</v>
      </c>
      <c r="B38" s="71" t="s">
        <v>283</v>
      </c>
      <c r="C38" s="71" t="s">
        <v>283</v>
      </c>
      <c r="D38" s="71" t="s">
        <v>284</v>
      </c>
      <c r="E38" s="71"/>
      <c r="F38" s="71" t="s">
        <v>282</v>
      </c>
      <c r="G38" s="72" t="s">
        <v>281</v>
      </c>
      <c r="H38" s="72" t="s">
        <v>281</v>
      </c>
      <c r="I38" s="72" t="s">
        <v>281</v>
      </c>
    </row>
    <row r="39" spans="1:15">
      <c r="A39" s="71"/>
      <c r="B39" s="71" t="s">
        <v>150</v>
      </c>
      <c r="C39" s="71" t="s">
        <v>166</v>
      </c>
      <c r="D39" s="71" t="s">
        <v>183</v>
      </c>
      <c r="E39" s="71"/>
      <c r="F39" s="71"/>
      <c r="G39" s="71" t="s">
        <v>150</v>
      </c>
      <c r="H39" s="71" t="s">
        <v>166</v>
      </c>
      <c r="I39" s="71" t="s">
        <v>183</v>
      </c>
      <c r="M39" t="s">
        <v>110</v>
      </c>
      <c r="N39" s="11">
        <v>7</v>
      </c>
    </row>
    <row r="40" spans="1:15">
      <c r="A40" s="71" t="s">
        <v>285</v>
      </c>
      <c r="B40" s="71" t="s">
        <v>286</v>
      </c>
      <c r="C40" s="71" t="s">
        <v>287</v>
      </c>
      <c r="D40" s="71" t="s">
        <v>288</v>
      </c>
      <c r="E40" s="71"/>
      <c r="F40" s="71" t="s">
        <v>285</v>
      </c>
      <c r="G40" s="72" t="s">
        <v>281</v>
      </c>
      <c r="H40" s="72" t="s">
        <v>281</v>
      </c>
      <c r="I40" s="72" t="s">
        <v>281</v>
      </c>
      <c r="M40" t="s">
        <v>289</v>
      </c>
      <c r="N40" s="11">
        <v>21</v>
      </c>
    </row>
    <row r="41" spans="1:15">
      <c r="A41" s="71" t="s">
        <v>278</v>
      </c>
      <c r="B41" s="71" t="s">
        <v>290</v>
      </c>
      <c r="C41" s="71" t="s">
        <v>290</v>
      </c>
      <c r="D41" s="71" t="s">
        <v>291</v>
      </c>
      <c r="E41" s="71"/>
      <c r="F41" s="71" t="s">
        <v>278</v>
      </c>
      <c r="G41" s="72" t="s">
        <v>281</v>
      </c>
      <c r="H41" s="72" t="s">
        <v>281</v>
      </c>
      <c r="I41" s="72" t="s">
        <v>281</v>
      </c>
      <c r="M41" t="s">
        <v>292</v>
      </c>
      <c r="N41" s="11">
        <v>27</v>
      </c>
    </row>
    <row r="42" spans="1:15">
      <c r="A42" s="71" t="s">
        <v>293</v>
      </c>
      <c r="B42" s="71" t="s">
        <v>294</v>
      </c>
      <c r="C42" s="71" t="s">
        <v>294</v>
      </c>
      <c r="D42" s="71" t="s">
        <v>295</v>
      </c>
      <c r="E42" s="71"/>
      <c r="F42" s="71" t="s">
        <v>293</v>
      </c>
      <c r="G42" s="71" t="s">
        <v>295</v>
      </c>
      <c r="H42" s="71" t="s">
        <v>294</v>
      </c>
      <c r="I42" s="71" t="s">
        <v>295</v>
      </c>
      <c r="M42" t="s">
        <v>296</v>
      </c>
      <c r="N42" s="11">
        <v>24</v>
      </c>
    </row>
    <row r="43" spans="1:15">
      <c r="A43" s="71" t="s">
        <v>297</v>
      </c>
      <c r="B43" s="71" t="s">
        <v>298</v>
      </c>
      <c r="C43" s="71" t="s">
        <v>294</v>
      </c>
      <c r="D43" s="71" t="s">
        <v>298</v>
      </c>
      <c r="E43" s="71"/>
      <c r="F43" s="71" t="s">
        <v>297</v>
      </c>
      <c r="G43" s="72" t="s">
        <v>281</v>
      </c>
      <c r="H43" s="72" t="s">
        <v>281</v>
      </c>
      <c r="I43" s="72" t="s">
        <v>281</v>
      </c>
      <c r="M43" t="s">
        <v>299</v>
      </c>
      <c r="N43" s="11">
        <v>34</v>
      </c>
    </row>
    <row r="44" spans="1:15">
      <c r="A44" s="71"/>
      <c r="B44" s="71" t="s">
        <v>150</v>
      </c>
      <c r="C44" s="71" t="s">
        <v>166</v>
      </c>
      <c r="D44" s="71" t="s">
        <v>183</v>
      </c>
      <c r="E44" s="71"/>
      <c r="F44" s="71"/>
      <c r="G44" s="71" t="s">
        <v>150</v>
      </c>
      <c r="H44" s="71" t="s">
        <v>166</v>
      </c>
      <c r="I44" s="71" t="s">
        <v>183</v>
      </c>
      <c r="M44" t="s">
        <v>252</v>
      </c>
      <c r="N44" s="11"/>
    </row>
    <row r="45" spans="1:15" ht="17.25">
      <c r="A45" s="71" t="s">
        <v>300</v>
      </c>
      <c r="B45" s="71" t="s">
        <v>301</v>
      </c>
      <c r="C45" s="71" t="s">
        <v>302</v>
      </c>
      <c r="D45" s="71" t="s">
        <v>301</v>
      </c>
      <c r="E45" s="71"/>
      <c r="F45" s="71" t="s">
        <v>300</v>
      </c>
      <c r="G45" s="71" t="s">
        <v>301</v>
      </c>
      <c r="H45" s="71" t="s">
        <v>301</v>
      </c>
      <c r="I45" s="71" t="s">
        <v>301</v>
      </c>
      <c r="M45" t="s">
        <v>303</v>
      </c>
      <c r="N45" s="11">
        <v>19</v>
      </c>
    </row>
    <row r="46" spans="1:15" ht="17.25">
      <c r="A46" s="71"/>
      <c r="B46" s="71" t="s">
        <v>150</v>
      </c>
      <c r="C46" s="71" t="s">
        <v>166</v>
      </c>
      <c r="D46" s="71" t="s">
        <v>183</v>
      </c>
      <c r="E46" s="71"/>
      <c r="F46" s="71"/>
      <c r="G46" s="71" t="s">
        <v>150</v>
      </c>
      <c r="H46" s="71" t="s">
        <v>166</v>
      </c>
      <c r="I46" s="71" t="s">
        <v>183</v>
      </c>
      <c r="M46" t="s">
        <v>304</v>
      </c>
      <c r="N46" s="11">
        <v>40</v>
      </c>
    </row>
    <row r="47" spans="1:15" ht="17.25">
      <c r="A47" s="71" t="s">
        <v>285</v>
      </c>
      <c r="B47" s="71" t="s">
        <v>305</v>
      </c>
      <c r="C47" s="71" t="s">
        <v>306</v>
      </c>
      <c r="D47" s="71" t="s">
        <v>307</v>
      </c>
      <c r="E47" s="71"/>
      <c r="F47" s="71" t="s">
        <v>285</v>
      </c>
      <c r="G47" s="72" t="s">
        <v>281</v>
      </c>
      <c r="H47" s="72" t="s">
        <v>281</v>
      </c>
      <c r="I47" s="72" t="s">
        <v>281</v>
      </c>
      <c r="M47" t="s">
        <v>308</v>
      </c>
      <c r="N47" s="11">
        <v>31</v>
      </c>
    </row>
    <row r="48" spans="1:15">
      <c r="A48" s="71" t="s">
        <v>309</v>
      </c>
      <c r="B48" s="71" t="s">
        <v>310</v>
      </c>
      <c r="C48" s="71" t="s">
        <v>310</v>
      </c>
      <c r="D48" s="71" t="s">
        <v>311</v>
      </c>
      <c r="E48" s="71"/>
      <c r="F48" s="71" t="s">
        <v>309</v>
      </c>
      <c r="G48" s="71" t="s">
        <v>312</v>
      </c>
      <c r="H48" s="71" t="s">
        <v>310</v>
      </c>
      <c r="I48" s="71" t="s">
        <v>311</v>
      </c>
      <c r="M48" t="s">
        <v>189</v>
      </c>
      <c r="N48" s="11"/>
    </row>
    <row r="49" spans="1:14">
      <c r="A49" s="71" t="s">
        <v>297</v>
      </c>
      <c r="B49" s="71" t="s">
        <v>313</v>
      </c>
      <c r="C49" s="71" t="s">
        <v>313</v>
      </c>
      <c r="D49" s="71" t="s">
        <v>314</v>
      </c>
      <c r="E49" s="71"/>
      <c r="F49" s="71" t="s">
        <v>297</v>
      </c>
      <c r="G49" s="72" t="s">
        <v>281</v>
      </c>
      <c r="H49" s="72" t="s">
        <v>281</v>
      </c>
      <c r="I49" s="72" t="s">
        <v>281</v>
      </c>
      <c r="M49" t="s">
        <v>315</v>
      </c>
      <c r="N49" s="11">
        <v>24</v>
      </c>
    </row>
    <row r="50" spans="1:14">
      <c r="A50" s="71"/>
      <c r="B50" s="71" t="s">
        <v>150</v>
      </c>
      <c r="C50" s="71" t="s">
        <v>166</v>
      </c>
      <c r="D50" s="71" t="s">
        <v>183</v>
      </c>
      <c r="E50" s="71"/>
      <c r="F50" s="71"/>
      <c r="G50" s="71" t="s">
        <v>150</v>
      </c>
      <c r="H50" s="71" t="s">
        <v>166</v>
      </c>
      <c r="I50" s="71" t="s">
        <v>183</v>
      </c>
      <c r="M50" t="s">
        <v>316</v>
      </c>
      <c r="N50" s="11">
        <v>34</v>
      </c>
    </row>
    <row r="51" spans="1:14">
      <c r="A51" s="71" t="s">
        <v>317</v>
      </c>
      <c r="B51" s="71" t="s">
        <v>318</v>
      </c>
      <c r="C51" s="71" t="s">
        <v>319</v>
      </c>
      <c r="D51" s="71" t="s">
        <v>318</v>
      </c>
      <c r="E51" s="71"/>
      <c r="F51" s="71" t="s">
        <v>317</v>
      </c>
      <c r="G51" s="71" t="s">
        <v>320</v>
      </c>
      <c r="H51" s="71" t="s">
        <v>318</v>
      </c>
      <c r="I51" s="71" t="s">
        <v>321</v>
      </c>
      <c r="M51" t="s">
        <v>322</v>
      </c>
      <c r="N51" s="11">
        <v>20</v>
      </c>
    </row>
    <row r="52" spans="1:14">
      <c r="A52" s="71" t="s">
        <v>323</v>
      </c>
      <c r="B52" s="71" t="s">
        <v>324</v>
      </c>
      <c r="C52" s="71" t="s">
        <v>324</v>
      </c>
      <c r="D52" s="71" t="s">
        <v>325</v>
      </c>
      <c r="E52" s="71"/>
      <c r="F52" s="71" t="s">
        <v>323</v>
      </c>
      <c r="G52" s="72" t="s">
        <v>281</v>
      </c>
      <c r="H52" s="72" t="s">
        <v>281</v>
      </c>
      <c r="I52" s="72" t="s">
        <v>281</v>
      </c>
      <c r="M52" t="s">
        <v>326</v>
      </c>
      <c r="N52" s="11">
        <v>11</v>
      </c>
    </row>
    <row r="53" spans="1:14">
      <c r="A53" s="71"/>
      <c r="B53" s="71" t="s">
        <v>150</v>
      </c>
      <c r="C53" s="71" t="s">
        <v>166</v>
      </c>
      <c r="D53" s="71" t="s">
        <v>183</v>
      </c>
      <c r="E53" s="71"/>
      <c r="F53" s="71"/>
      <c r="G53" s="71" t="s">
        <v>150</v>
      </c>
      <c r="H53" s="71" t="s">
        <v>166</v>
      </c>
      <c r="I53" s="71" t="s">
        <v>183</v>
      </c>
      <c r="M53" t="s">
        <v>327</v>
      </c>
      <c r="N53" s="11">
        <v>22</v>
      </c>
    </row>
    <row r="54" spans="1:14">
      <c r="A54" s="71" t="s">
        <v>328</v>
      </c>
      <c r="B54" s="71" t="s">
        <v>329</v>
      </c>
      <c r="C54" s="71" t="s">
        <v>329</v>
      </c>
      <c r="D54" s="71" t="s">
        <v>329</v>
      </c>
      <c r="E54" s="71"/>
      <c r="F54" s="71" t="s">
        <v>328</v>
      </c>
      <c r="G54" s="71" t="s">
        <v>329</v>
      </c>
      <c r="H54" s="71" t="s">
        <v>329</v>
      </c>
      <c r="I54" s="71" t="s">
        <v>329</v>
      </c>
      <c r="M54" t="s">
        <v>330</v>
      </c>
      <c r="N54" s="11">
        <v>22</v>
      </c>
    </row>
    <row r="55" spans="1:14">
      <c r="A55" s="71" t="s">
        <v>331</v>
      </c>
      <c r="B55" s="71" t="s">
        <v>332</v>
      </c>
      <c r="C55" s="71" t="s">
        <v>332</v>
      </c>
      <c r="D55" s="71" t="s">
        <v>333</v>
      </c>
      <c r="E55" s="71"/>
      <c r="F55" s="71" t="s">
        <v>331</v>
      </c>
      <c r="G55" s="71" t="s">
        <v>333</v>
      </c>
      <c r="H55" s="71" t="s">
        <v>332</v>
      </c>
      <c r="I55" s="71" t="s">
        <v>333</v>
      </c>
      <c r="M55" t="s">
        <v>334</v>
      </c>
      <c r="N55" s="11">
        <v>6</v>
      </c>
    </row>
    <row r="56" spans="1:14">
      <c r="N56" s="11"/>
    </row>
    <row r="57" spans="1:14">
      <c r="N57" s="11"/>
    </row>
    <row r="58" spans="1:14">
      <c r="G58" t="s">
        <v>335</v>
      </c>
      <c r="N58" s="11"/>
    </row>
    <row r="59" spans="1:14">
      <c r="A59" t="s">
        <v>336</v>
      </c>
      <c r="B59" t="s">
        <v>337</v>
      </c>
      <c r="N59" s="11"/>
    </row>
    <row r="60" spans="1:14">
      <c r="A60" t="s">
        <v>338</v>
      </c>
      <c r="B60" t="s">
        <v>339</v>
      </c>
      <c r="G60" t="s">
        <v>340</v>
      </c>
      <c r="N60" s="11"/>
    </row>
    <row r="61" spans="1:14">
      <c r="A61" t="s">
        <v>341</v>
      </c>
      <c r="B61" t="s">
        <v>342</v>
      </c>
      <c r="G61" t="s">
        <v>343</v>
      </c>
      <c r="H61" t="s">
        <v>344</v>
      </c>
      <c r="I61" t="s">
        <v>345</v>
      </c>
      <c r="N61" s="11"/>
    </row>
    <row r="62" spans="1:14">
      <c r="A62" t="s">
        <v>346</v>
      </c>
      <c r="B62" t="s">
        <v>337</v>
      </c>
      <c r="G62" t="s">
        <v>347</v>
      </c>
      <c r="H62" t="s">
        <v>348</v>
      </c>
      <c r="I62" t="s">
        <v>349</v>
      </c>
    </row>
    <row r="63" spans="1:14">
      <c r="A63" t="s">
        <v>350</v>
      </c>
      <c r="B63" t="s">
        <v>337</v>
      </c>
      <c r="H63" t="s">
        <v>351</v>
      </c>
      <c r="I63" t="s">
        <v>189</v>
      </c>
    </row>
    <row r="64" spans="1:14">
      <c r="A64" t="s">
        <v>352</v>
      </c>
      <c r="B64" t="s">
        <v>337</v>
      </c>
    </row>
    <row r="65" spans="1:18">
      <c r="A65" t="s">
        <v>353</v>
      </c>
      <c r="B65" t="s">
        <v>342</v>
      </c>
    </row>
    <row r="66" spans="1:18">
      <c r="A66" t="s">
        <v>354</v>
      </c>
      <c r="B66" t="s">
        <v>342</v>
      </c>
      <c r="G66" t="s">
        <v>355</v>
      </c>
    </row>
    <row r="67" spans="1:18">
      <c r="A67" t="s">
        <v>356</v>
      </c>
      <c r="B67" t="s">
        <v>342</v>
      </c>
      <c r="G67" t="s">
        <v>357</v>
      </c>
      <c r="H67" t="s">
        <v>358</v>
      </c>
    </row>
    <row r="68" spans="1:18">
      <c r="A68" t="s">
        <v>359</v>
      </c>
      <c r="B68" t="s">
        <v>339</v>
      </c>
      <c r="G68" t="s">
        <v>360</v>
      </c>
      <c r="H68" t="s">
        <v>361</v>
      </c>
    </row>
    <row r="69" spans="1:18">
      <c r="A69" t="s">
        <v>362</v>
      </c>
      <c r="B69" t="s">
        <v>342</v>
      </c>
      <c r="G69" t="s">
        <v>363</v>
      </c>
      <c r="H69" t="s">
        <v>364</v>
      </c>
    </row>
    <row r="70" spans="1:18">
      <c r="G70" t="s">
        <v>365</v>
      </c>
      <c r="H70" t="s">
        <v>364</v>
      </c>
      <c r="O70" s="31"/>
    </row>
    <row r="71" spans="1:18">
      <c r="G71" t="s">
        <v>366</v>
      </c>
      <c r="H71" t="s">
        <v>367</v>
      </c>
      <c r="J71" t="s">
        <v>368</v>
      </c>
      <c r="R71" t="s">
        <v>369</v>
      </c>
    </row>
    <row r="72" spans="1:18">
      <c r="G72" t="s">
        <v>370</v>
      </c>
      <c r="H72" t="s">
        <v>371</v>
      </c>
      <c r="J72" s="29" t="s">
        <v>372</v>
      </c>
      <c r="K72" s="29" t="s">
        <v>373</v>
      </c>
      <c r="L72" s="29" t="s">
        <v>374</v>
      </c>
      <c r="M72" s="29" t="s">
        <v>375</v>
      </c>
      <c r="N72" s="29" t="s">
        <v>376</v>
      </c>
      <c r="O72" s="29" t="s">
        <v>377</v>
      </c>
      <c r="P72" s="29" t="s">
        <v>378</v>
      </c>
      <c r="R72" t="s">
        <v>379</v>
      </c>
    </row>
    <row r="73" spans="1:18">
      <c r="G73" t="s">
        <v>380</v>
      </c>
      <c r="H73" t="s">
        <v>371</v>
      </c>
      <c r="J73" s="22" t="s">
        <v>381</v>
      </c>
      <c r="K73" s="22" t="s">
        <v>382</v>
      </c>
      <c r="L73" s="22" t="s">
        <v>383</v>
      </c>
      <c r="M73" s="22" t="s">
        <v>384</v>
      </c>
      <c r="N73" s="22" t="s">
        <v>385</v>
      </c>
      <c r="O73" t="s">
        <v>386</v>
      </c>
      <c r="P73" s="22" t="s">
        <v>387</v>
      </c>
      <c r="R73" t="s">
        <v>388</v>
      </c>
    </row>
    <row r="74" spans="1:18">
      <c r="G74" t="s">
        <v>389</v>
      </c>
      <c r="H74" t="s">
        <v>390</v>
      </c>
      <c r="J74" s="22" t="s">
        <v>391</v>
      </c>
      <c r="K74" s="22" t="s">
        <v>392</v>
      </c>
      <c r="L74" s="22" t="s">
        <v>383</v>
      </c>
      <c r="M74" s="22" t="s">
        <v>393</v>
      </c>
      <c r="N74" s="22" t="s">
        <v>385</v>
      </c>
      <c r="O74" t="s">
        <v>394</v>
      </c>
      <c r="P74" t="s">
        <v>395</v>
      </c>
      <c r="R74" t="s">
        <v>396</v>
      </c>
    </row>
    <row r="75" spans="1:18">
      <c r="G75" t="s">
        <v>397</v>
      </c>
      <c r="H75" t="s">
        <v>398</v>
      </c>
      <c r="J75" s="22" t="s">
        <v>399</v>
      </c>
      <c r="K75" s="22" t="s">
        <v>400</v>
      </c>
      <c r="L75" s="22" t="s">
        <v>383</v>
      </c>
      <c r="M75" s="22" t="s">
        <v>384</v>
      </c>
      <c r="N75" s="22" t="s">
        <v>401</v>
      </c>
      <c r="O75" t="s">
        <v>402</v>
      </c>
      <c r="P75" t="s">
        <v>395</v>
      </c>
      <c r="R75" t="s">
        <v>403</v>
      </c>
    </row>
    <row r="76" spans="1:18">
      <c r="G76" t="s">
        <v>404</v>
      </c>
      <c r="H76" t="s">
        <v>398</v>
      </c>
      <c r="J76" s="22" t="s">
        <v>405</v>
      </c>
      <c r="K76" s="22" t="s">
        <v>406</v>
      </c>
      <c r="L76" s="22" t="s">
        <v>337</v>
      </c>
      <c r="M76" s="22" t="s">
        <v>384</v>
      </c>
      <c r="N76" s="22" t="s">
        <v>385</v>
      </c>
      <c r="O76" t="s">
        <v>407</v>
      </c>
      <c r="P76" t="s">
        <v>395</v>
      </c>
      <c r="R76" t="s">
        <v>408</v>
      </c>
    </row>
    <row r="77" spans="1:18">
      <c r="A77" t="s">
        <v>409</v>
      </c>
      <c r="G77" t="s">
        <v>410</v>
      </c>
      <c r="H77" t="s">
        <v>411</v>
      </c>
      <c r="J77" s="22" t="s">
        <v>412</v>
      </c>
      <c r="K77" s="22" t="s">
        <v>413</v>
      </c>
      <c r="L77" s="22" t="s">
        <v>337</v>
      </c>
      <c r="M77" s="22" t="s">
        <v>393</v>
      </c>
      <c r="N77" s="22" t="s">
        <v>385</v>
      </c>
      <c r="O77" t="s">
        <v>394</v>
      </c>
      <c r="P77" t="s">
        <v>395</v>
      </c>
      <c r="R77" t="s">
        <v>414</v>
      </c>
    </row>
    <row r="78" spans="1:18">
      <c r="A78" t="s">
        <v>415</v>
      </c>
      <c r="B78" t="s">
        <v>416</v>
      </c>
      <c r="C78" t="s">
        <v>161</v>
      </c>
      <c r="D78" t="s">
        <v>401</v>
      </c>
      <c r="G78" t="s">
        <v>417</v>
      </c>
      <c r="H78" t="s">
        <v>418</v>
      </c>
      <c r="J78" s="22" t="s">
        <v>416</v>
      </c>
      <c r="K78" s="22" t="s">
        <v>419</v>
      </c>
      <c r="L78" s="22" t="s">
        <v>383</v>
      </c>
      <c r="M78" s="22" t="s">
        <v>420</v>
      </c>
      <c r="N78" s="22" t="s">
        <v>401</v>
      </c>
      <c r="O78" t="s">
        <v>421</v>
      </c>
      <c r="P78" s="22" t="s">
        <v>422</v>
      </c>
    </row>
    <row r="79" spans="1:18">
      <c r="A79" t="s">
        <v>423</v>
      </c>
      <c r="B79" t="s">
        <v>399</v>
      </c>
      <c r="C79" t="s">
        <v>161</v>
      </c>
      <c r="D79" t="s">
        <v>401</v>
      </c>
      <c r="G79" t="s">
        <v>424</v>
      </c>
      <c r="H79" t="s">
        <v>425</v>
      </c>
    </row>
    <row r="80" spans="1:18">
      <c r="A80" t="s">
        <v>426</v>
      </c>
      <c r="B80" t="s">
        <v>405</v>
      </c>
      <c r="C80" t="s">
        <v>337</v>
      </c>
      <c r="D80" t="s">
        <v>385</v>
      </c>
      <c r="G80" t="s">
        <v>427</v>
      </c>
      <c r="H80" t="s">
        <v>428</v>
      </c>
    </row>
    <row r="81" spans="1:27">
      <c r="A81" t="s">
        <v>429</v>
      </c>
      <c r="B81" t="s">
        <v>412</v>
      </c>
      <c r="C81" t="s">
        <v>337</v>
      </c>
      <c r="D81" t="s">
        <v>385</v>
      </c>
      <c r="G81" t="s">
        <v>430</v>
      </c>
      <c r="H81" t="s">
        <v>418</v>
      </c>
    </row>
    <row r="82" spans="1:27">
      <c r="A82" t="s">
        <v>431</v>
      </c>
      <c r="B82" t="s">
        <v>405</v>
      </c>
      <c r="C82" t="s">
        <v>337</v>
      </c>
      <c r="D82" t="s">
        <v>385</v>
      </c>
      <c r="G82" t="s">
        <v>432</v>
      </c>
      <c r="H82" t="s">
        <v>433</v>
      </c>
    </row>
    <row r="83" spans="1:27">
      <c r="A83" t="s">
        <v>434</v>
      </c>
      <c r="B83" t="s">
        <v>399</v>
      </c>
      <c r="C83" t="s">
        <v>161</v>
      </c>
      <c r="D83" t="s">
        <v>401</v>
      </c>
      <c r="G83" t="s">
        <v>435</v>
      </c>
      <c r="H83" t="s">
        <v>411</v>
      </c>
    </row>
    <row r="84" spans="1:27">
      <c r="A84" t="s">
        <v>436</v>
      </c>
      <c r="B84" t="s">
        <v>391</v>
      </c>
      <c r="C84" t="s">
        <v>161</v>
      </c>
      <c r="D84" t="s">
        <v>385</v>
      </c>
      <c r="G84" t="s">
        <v>437</v>
      </c>
      <c r="H84" t="s">
        <v>418</v>
      </c>
      <c r="J84" t="s">
        <v>438</v>
      </c>
    </row>
    <row r="85" spans="1:27">
      <c r="A85" t="s">
        <v>166</v>
      </c>
      <c r="B85" t="s">
        <v>381</v>
      </c>
      <c r="C85" t="s">
        <v>161</v>
      </c>
      <c r="D85" t="s">
        <v>385</v>
      </c>
      <c r="G85" t="s">
        <v>439</v>
      </c>
      <c r="H85" t="s">
        <v>425</v>
      </c>
      <c r="J85" s="17" t="s">
        <v>440</v>
      </c>
      <c r="K85" s="18" t="s">
        <v>441</v>
      </c>
      <c r="L85" s="18" t="s">
        <v>442</v>
      </c>
      <c r="M85" s="19" t="s">
        <v>443</v>
      </c>
      <c r="N85" s="19" t="s">
        <v>444</v>
      </c>
      <c r="O85" s="19" t="s">
        <v>445</v>
      </c>
      <c r="P85" s="20" t="s">
        <v>446</v>
      </c>
      <c r="S85" s="33" t="s">
        <v>447</v>
      </c>
    </row>
    <row r="86" spans="1:27" ht="15.75" thickBot="1">
      <c r="A86" t="s">
        <v>448</v>
      </c>
      <c r="B86" t="s">
        <v>399</v>
      </c>
      <c r="C86" t="s">
        <v>161</v>
      </c>
      <c r="D86" t="s">
        <v>401</v>
      </c>
      <c r="J86" s="21" t="s">
        <v>449</v>
      </c>
      <c r="K86" t="s">
        <v>353</v>
      </c>
      <c r="L86" s="22" t="s">
        <v>450</v>
      </c>
      <c r="M86" s="22" t="s">
        <v>451</v>
      </c>
      <c r="N86" s="22" t="s">
        <v>452</v>
      </c>
      <c r="O86" s="22" t="s">
        <v>453</v>
      </c>
      <c r="P86" s="24" t="s">
        <v>454</v>
      </c>
    </row>
    <row r="87" spans="1:27">
      <c r="J87" s="21" t="s">
        <v>455</v>
      </c>
      <c r="K87" t="s">
        <v>336</v>
      </c>
      <c r="L87" s="22" t="s">
        <v>450</v>
      </c>
      <c r="M87" s="22" t="s">
        <v>451</v>
      </c>
      <c r="N87" s="22" t="s">
        <v>189</v>
      </c>
      <c r="O87" s="22" t="s">
        <v>453</v>
      </c>
      <c r="P87" s="24" t="s">
        <v>454</v>
      </c>
      <c r="S87" s="37" t="s">
        <v>456</v>
      </c>
      <c r="T87" s="38" t="s">
        <v>457</v>
      </c>
      <c r="U87" s="38" t="s">
        <v>458</v>
      </c>
      <c r="V87" s="38" t="s">
        <v>459</v>
      </c>
      <c r="W87" s="39" t="s">
        <v>373</v>
      </c>
      <c r="X87" s="45" t="s">
        <v>460</v>
      </c>
      <c r="Y87" s="45" t="s">
        <v>446</v>
      </c>
      <c r="Z87" s="45" t="s">
        <v>461</v>
      </c>
      <c r="AA87" s="45" t="s">
        <v>376</v>
      </c>
    </row>
    <row r="88" spans="1:27">
      <c r="J88" s="21" t="s">
        <v>462</v>
      </c>
      <c r="K88" t="s">
        <v>354</v>
      </c>
      <c r="L88" s="22" t="s">
        <v>450</v>
      </c>
      <c r="M88" s="22" t="s">
        <v>451</v>
      </c>
      <c r="N88" s="22" t="s">
        <v>452</v>
      </c>
      <c r="O88" s="22" t="s">
        <v>463</v>
      </c>
      <c r="P88" s="24" t="s">
        <v>464</v>
      </c>
      <c r="S88" s="40" t="str">
        <f t="shared" ref="S88:S109" si="0">CONCATENATE(T:T,U:U,V:V)</f>
        <v xml:space="preserve">Water/GroundElectric Resistance Single-Zone Residential </v>
      </c>
      <c r="T88" s="22" t="s">
        <v>451</v>
      </c>
      <c r="U88" s="22" t="s">
        <v>453</v>
      </c>
      <c r="V88" s="22" t="s">
        <v>452</v>
      </c>
      <c r="W88" s="41"/>
    </row>
    <row r="89" spans="1:27">
      <c r="B89" t="s">
        <v>381</v>
      </c>
      <c r="C89" t="s">
        <v>161</v>
      </c>
      <c r="J89" s="21" t="s">
        <v>465</v>
      </c>
      <c r="K89" t="s">
        <v>356</v>
      </c>
      <c r="L89" s="22" t="s">
        <v>450</v>
      </c>
      <c r="M89" s="22" t="s">
        <v>451</v>
      </c>
      <c r="N89" s="22" t="s">
        <v>466</v>
      </c>
      <c r="O89" s="22" t="s">
        <v>351</v>
      </c>
      <c r="P89" s="24" t="s">
        <v>394</v>
      </c>
      <c r="S89" s="40" t="str">
        <f t="shared" si="0"/>
        <v xml:space="preserve">Air/NoneHeat PumpSingle-Zone Non-Residential </v>
      </c>
      <c r="T89" s="22" t="s">
        <v>467</v>
      </c>
      <c r="U89" s="22" t="s">
        <v>463</v>
      </c>
      <c r="V89" s="22" t="s">
        <v>466</v>
      </c>
      <c r="W89" s="41"/>
    </row>
    <row r="90" spans="1:27">
      <c r="B90" t="s">
        <v>391</v>
      </c>
      <c r="C90" t="s">
        <v>161</v>
      </c>
      <c r="J90" s="21" t="s">
        <v>413</v>
      </c>
      <c r="K90" t="s">
        <v>346</v>
      </c>
      <c r="L90" s="22" t="s">
        <v>450</v>
      </c>
      <c r="M90" s="22" t="s">
        <v>451</v>
      </c>
      <c r="N90" s="22" t="s">
        <v>189</v>
      </c>
      <c r="O90" s="22" t="s">
        <v>351</v>
      </c>
      <c r="P90" s="24" t="s">
        <v>394</v>
      </c>
      <c r="S90" s="40" t="str">
        <f t="shared" si="0"/>
        <v>Fossil Fuel Other</v>
      </c>
      <c r="T90" s="22"/>
      <c r="U90" s="22" t="s">
        <v>351</v>
      </c>
      <c r="V90" s="22" t="s">
        <v>189</v>
      </c>
      <c r="W90" s="41"/>
    </row>
    <row r="91" spans="1:27" ht="30">
      <c r="B91" t="s">
        <v>399</v>
      </c>
      <c r="C91" t="s">
        <v>161</v>
      </c>
      <c r="J91" s="32" t="s">
        <v>468</v>
      </c>
      <c r="K91" t="s">
        <v>359</v>
      </c>
      <c r="L91" s="22" t="s">
        <v>450</v>
      </c>
      <c r="M91" s="22" t="s">
        <v>467</v>
      </c>
      <c r="N91" s="22" t="s">
        <v>452</v>
      </c>
      <c r="O91" s="22" t="s">
        <v>463</v>
      </c>
      <c r="P91" s="25" t="s">
        <v>469</v>
      </c>
      <c r="S91" s="40" t="str">
        <f t="shared" si="0"/>
        <v/>
      </c>
      <c r="T91" s="22"/>
      <c r="U91" s="22"/>
      <c r="V91" s="22"/>
      <c r="W91" s="41"/>
    </row>
    <row r="92" spans="1:27" ht="36.75" customHeight="1">
      <c r="B92" t="s">
        <v>399</v>
      </c>
      <c r="C92" t="s">
        <v>161</v>
      </c>
      <c r="J92" s="21" t="s">
        <v>470</v>
      </c>
      <c r="K92" t="s">
        <v>362</v>
      </c>
      <c r="L92" s="22" t="s">
        <v>450</v>
      </c>
      <c r="M92" s="22" t="s">
        <v>467</v>
      </c>
      <c r="N92" s="22" t="s">
        <v>466</v>
      </c>
      <c r="O92" s="22" t="s">
        <v>463</v>
      </c>
      <c r="P92" t="s">
        <v>471</v>
      </c>
      <c r="S92" s="40" t="str">
        <f t="shared" si="0"/>
        <v xml:space="preserve">Water/GroundElectric Resistance Single-Zone Residential </v>
      </c>
      <c r="T92" s="22" t="s">
        <v>451</v>
      </c>
      <c r="U92" s="22" t="s">
        <v>453</v>
      </c>
      <c r="V92" s="22" t="s">
        <v>452</v>
      </c>
      <c r="W92" t="s">
        <v>353</v>
      </c>
      <c r="X92" s="22" t="s">
        <v>450</v>
      </c>
      <c r="Y92" s="24" t="s">
        <v>454</v>
      </c>
      <c r="Z92" s="46" t="s">
        <v>342</v>
      </c>
      <c r="AA92" s="22" t="s">
        <v>453</v>
      </c>
    </row>
    <row r="93" spans="1:27">
      <c r="B93" t="s">
        <v>399</v>
      </c>
      <c r="C93" t="s">
        <v>161</v>
      </c>
      <c r="J93" s="21" t="s">
        <v>472</v>
      </c>
      <c r="K93" t="s">
        <v>350</v>
      </c>
      <c r="L93" s="22" t="s">
        <v>450</v>
      </c>
      <c r="M93" s="22" t="s">
        <v>467</v>
      </c>
      <c r="N93" s="22" t="s">
        <v>189</v>
      </c>
      <c r="O93" t="s">
        <v>351</v>
      </c>
      <c r="P93" s="24" t="s">
        <v>473</v>
      </c>
      <c r="S93" s="40" t="str">
        <f t="shared" si="0"/>
        <v xml:space="preserve">Water/GroundElectric Resistance Single-Zone Non-Residential </v>
      </c>
      <c r="T93" s="22" t="s">
        <v>451</v>
      </c>
      <c r="U93" s="22" t="s">
        <v>453</v>
      </c>
      <c r="V93" s="22" t="s">
        <v>466</v>
      </c>
      <c r="W93" t="s">
        <v>353</v>
      </c>
      <c r="X93" s="22" t="s">
        <v>450</v>
      </c>
      <c r="Y93" s="24" t="s">
        <v>454</v>
      </c>
      <c r="Z93" s="46" t="s">
        <v>342</v>
      </c>
      <c r="AA93" s="22" t="s">
        <v>453</v>
      </c>
    </row>
    <row r="94" spans="1:27" ht="45">
      <c r="B94" t="s">
        <v>405</v>
      </c>
      <c r="C94" t="s">
        <v>337</v>
      </c>
      <c r="J94" s="32" t="s">
        <v>474</v>
      </c>
      <c r="K94" t="s">
        <v>338</v>
      </c>
      <c r="L94" s="22" t="s">
        <v>450</v>
      </c>
      <c r="M94" s="22" t="s">
        <v>467</v>
      </c>
      <c r="N94" s="22" t="s">
        <v>452</v>
      </c>
      <c r="O94" s="22" t="s">
        <v>351</v>
      </c>
      <c r="P94" s="23" t="s">
        <v>469</v>
      </c>
      <c r="S94" s="40" t="str">
        <f t="shared" si="0"/>
        <v>Water/GroundElectric Resistance Other</v>
      </c>
      <c r="T94" s="22" t="s">
        <v>451</v>
      </c>
      <c r="U94" s="22" t="s">
        <v>453</v>
      </c>
      <c r="V94" s="22" t="s">
        <v>189</v>
      </c>
      <c r="W94" t="s">
        <v>336</v>
      </c>
      <c r="X94" s="22" t="s">
        <v>450</v>
      </c>
      <c r="Y94" s="24" t="s">
        <v>454</v>
      </c>
      <c r="Z94" s="46" t="s">
        <v>337</v>
      </c>
      <c r="AA94" s="22" t="s">
        <v>453</v>
      </c>
    </row>
    <row r="95" spans="1:27" ht="31.5" customHeight="1">
      <c r="B95" t="s">
        <v>405</v>
      </c>
      <c r="C95" t="s">
        <v>337</v>
      </c>
      <c r="J95" s="21" t="s">
        <v>475</v>
      </c>
      <c r="K95" t="s">
        <v>341</v>
      </c>
      <c r="L95" s="22" t="s">
        <v>450</v>
      </c>
      <c r="M95" s="22" t="s">
        <v>467</v>
      </c>
      <c r="N95" s="22" t="s">
        <v>466</v>
      </c>
      <c r="O95" s="22" t="s">
        <v>351</v>
      </c>
      <c r="P95" s="24" t="s">
        <v>476</v>
      </c>
      <c r="S95" s="40" t="str">
        <f t="shared" si="0"/>
        <v xml:space="preserve">Water/GroundHeat PumpSingle-Zone Residential </v>
      </c>
      <c r="T95" s="22" t="s">
        <v>451</v>
      </c>
      <c r="U95" s="22" t="s">
        <v>463</v>
      </c>
      <c r="V95" s="22" t="s">
        <v>452</v>
      </c>
      <c r="W95" t="s">
        <v>354</v>
      </c>
      <c r="X95" s="22" t="s">
        <v>450</v>
      </c>
      <c r="Y95" s="24" t="s">
        <v>464</v>
      </c>
      <c r="Z95" s="46" t="s">
        <v>342</v>
      </c>
      <c r="AA95" s="22" t="s">
        <v>477</v>
      </c>
    </row>
    <row r="96" spans="1:27">
      <c r="B96" t="s">
        <v>412</v>
      </c>
      <c r="C96" t="s">
        <v>337</v>
      </c>
      <c r="J96" s="21" t="s">
        <v>478</v>
      </c>
      <c r="K96" t="s">
        <v>352</v>
      </c>
      <c r="L96" s="22" t="s">
        <v>450</v>
      </c>
      <c r="M96" s="22" t="s">
        <v>467</v>
      </c>
      <c r="N96" s="22" t="s">
        <v>189</v>
      </c>
      <c r="O96" s="22" t="s">
        <v>351</v>
      </c>
      <c r="P96" s="24" t="s">
        <v>479</v>
      </c>
      <c r="S96" s="40" t="str">
        <f t="shared" si="0"/>
        <v xml:space="preserve">Water/GroundHeat PumpSingle-Zone Non-Residential </v>
      </c>
      <c r="T96" s="22" t="s">
        <v>451</v>
      </c>
      <c r="U96" s="22" t="s">
        <v>463</v>
      </c>
      <c r="V96" s="22" t="s">
        <v>466</v>
      </c>
      <c r="W96" t="s">
        <v>354</v>
      </c>
      <c r="X96" s="22" t="s">
        <v>450</v>
      </c>
      <c r="Y96" s="24" t="s">
        <v>464</v>
      </c>
      <c r="Z96" s="46" t="s">
        <v>342</v>
      </c>
      <c r="AA96" s="22" t="s">
        <v>477</v>
      </c>
    </row>
    <row r="97" spans="1:27">
      <c r="B97" t="s">
        <v>416</v>
      </c>
      <c r="C97" t="s">
        <v>161</v>
      </c>
      <c r="J97" s="21" t="s">
        <v>480</v>
      </c>
      <c r="K97" t="s">
        <v>362</v>
      </c>
      <c r="L97" s="22" t="s">
        <v>450</v>
      </c>
      <c r="M97" s="22" t="s">
        <v>467</v>
      </c>
      <c r="N97" s="22" t="s">
        <v>452</v>
      </c>
      <c r="O97" s="22" t="s">
        <v>463</v>
      </c>
      <c r="P97" s="24" t="s">
        <v>471</v>
      </c>
      <c r="S97" s="40" t="str">
        <f t="shared" si="0"/>
        <v>Water/GroundHeat PumpOther</v>
      </c>
      <c r="T97" s="22" t="s">
        <v>451</v>
      </c>
      <c r="U97" s="22" t="s">
        <v>463</v>
      </c>
      <c r="V97" s="22" t="s">
        <v>189</v>
      </c>
      <c r="W97" t="s">
        <v>354</v>
      </c>
      <c r="X97" s="22" t="s">
        <v>450</v>
      </c>
      <c r="Y97" s="24" t="s">
        <v>464</v>
      </c>
      <c r="Z97" s="46" t="s">
        <v>342</v>
      </c>
      <c r="AA97" s="22" t="s">
        <v>477</v>
      </c>
    </row>
    <row r="98" spans="1:27">
      <c r="J98" s="26" t="s">
        <v>481</v>
      </c>
      <c r="K98" t="s">
        <v>341</v>
      </c>
      <c r="L98" s="27" t="s">
        <v>450</v>
      </c>
      <c r="M98" s="27" t="s">
        <v>467</v>
      </c>
      <c r="N98" s="27" t="s">
        <v>466</v>
      </c>
      <c r="O98" s="27" t="s">
        <v>351</v>
      </c>
      <c r="P98" s="28" t="s">
        <v>476</v>
      </c>
      <c r="S98" s="40" t="str">
        <f t="shared" si="0"/>
        <v xml:space="preserve">Water/GroundFossil Fuel Single-Zone Residential </v>
      </c>
      <c r="T98" s="22" t="s">
        <v>451</v>
      </c>
      <c r="U98" s="22" t="s">
        <v>351</v>
      </c>
      <c r="V98" s="22" t="s">
        <v>452</v>
      </c>
      <c r="W98" t="s">
        <v>356</v>
      </c>
      <c r="X98" s="22" t="s">
        <v>450</v>
      </c>
      <c r="Y98" s="24" t="s">
        <v>394</v>
      </c>
      <c r="Z98" s="46" t="s">
        <v>342</v>
      </c>
      <c r="AA98" s="22" t="s">
        <v>385</v>
      </c>
    </row>
    <row r="99" spans="1:27">
      <c r="S99" s="40" t="str">
        <f t="shared" si="0"/>
        <v xml:space="preserve">Water/GroundFossil Fuel Single-Zone Non-Residential </v>
      </c>
      <c r="T99" s="22" t="s">
        <v>451</v>
      </c>
      <c r="U99" s="22" t="s">
        <v>351</v>
      </c>
      <c r="V99" s="22" t="s">
        <v>466</v>
      </c>
      <c r="W99" t="s">
        <v>356</v>
      </c>
      <c r="X99" s="22" t="s">
        <v>450</v>
      </c>
      <c r="Y99" s="24" t="s">
        <v>394</v>
      </c>
      <c r="Z99" s="46" t="s">
        <v>337</v>
      </c>
      <c r="AA99" s="22" t="s">
        <v>385</v>
      </c>
    </row>
    <row r="100" spans="1:27">
      <c r="A100" s="12" t="s">
        <v>482</v>
      </c>
      <c r="B100" t="s">
        <v>483</v>
      </c>
      <c r="S100" s="40" t="str">
        <f t="shared" si="0"/>
        <v>Water/GroundFossil Fuel Other</v>
      </c>
      <c r="T100" s="22" t="s">
        <v>451</v>
      </c>
      <c r="U100" s="22" t="s">
        <v>351</v>
      </c>
      <c r="V100" s="22" t="s">
        <v>189</v>
      </c>
      <c r="W100" t="s">
        <v>346</v>
      </c>
      <c r="X100" s="22" t="s">
        <v>450</v>
      </c>
      <c r="Y100" s="24" t="s">
        <v>394</v>
      </c>
      <c r="Z100" s="46" t="s">
        <v>337</v>
      </c>
      <c r="AA100" s="22" t="s">
        <v>385</v>
      </c>
    </row>
    <row r="101" spans="1:27" ht="30">
      <c r="A101" s="4" t="s">
        <v>484</v>
      </c>
      <c r="B101" t="s">
        <v>483</v>
      </c>
      <c r="S101" s="40" t="str">
        <f t="shared" si="0"/>
        <v xml:space="preserve">Air/NoneElectric Resistance Single-Zone Residential </v>
      </c>
      <c r="T101" s="22" t="s">
        <v>467</v>
      </c>
      <c r="U101" s="22" t="s">
        <v>453</v>
      </c>
      <c r="V101" s="22" t="s">
        <v>452</v>
      </c>
      <c r="W101" t="s">
        <v>359</v>
      </c>
      <c r="X101" s="22" t="s">
        <v>450</v>
      </c>
      <c r="Y101" s="25" t="s">
        <v>469</v>
      </c>
      <c r="Z101" s="46" t="s">
        <v>339</v>
      </c>
      <c r="AA101" s="22" t="s">
        <v>485</v>
      </c>
    </row>
    <row r="102" spans="1:27">
      <c r="A102" s="4" t="s">
        <v>486</v>
      </c>
      <c r="B102" t="s">
        <v>487</v>
      </c>
      <c r="S102" s="40" t="str">
        <f t="shared" si="0"/>
        <v xml:space="preserve">Air/NoneElectric Resistance Single-Zone Non-Residential </v>
      </c>
      <c r="T102" s="22" t="s">
        <v>467</v>
      </c>
      <c r="U102" s="22" t="s">
        <v>453</v>
      </c>
      <c r="V102" s="22" t="s">
        <v>466</v>
      </c>
      <c r="W102" t="s">
        <v>362</v>
      </c>
      <c r="X102" s="22" t="s">
        <v>450</v>
      </c>
      <c r="Y102" t="s">
        <v>471</v>
      </c>
      <c r="Z102" s="46" t="s">
        <v>342</v>
      </c>
      <c r="AA102" s="22" t="s">
        <v>488</v>
      </c>
    </row>
    <row r="103" spans="1:27">
      <c r="A103" s="4" t="s">
        <v>489</v>
      </c>
      <c r="B103" t="s">
        <v>487</v>
      </c>
      <c r="S103" s="40" t="str">
        <f t="shared" si="0"/>
        <v>Air/NoneElectric Resistance Other</v>
      </c>
      <c r="T103" s="22" t="s">
        <v>467</v>
      </c>
      <c r="U103" s="22" t="s">
        <v>453</v>
      </c>
      <c r="V103" s="22" t="s">
        <v>189</v>
      </c>
      <c r="W103" t="s">
        <v>350</v>
      </c>
      <c r="X103" s="22" t="s">
        <v>450</v>
      </c>
      <c r="Y103" s="24" t="s">
        <v>473</v>
      </c>
      <c r="Z103" s="46" t="s">
        <v>337</v>
      </c>
      <c r="AA103" s="22" t="s">
        <v>453</v>
      </c>
    </row>
    <row r="104" spans="1:27" ht="30">
      <c r="A104" s="4" t="s">
        <v>490</v>
      </c>
      <c r="B104" t="s">
        <v>487</v>
      </c>
      <c r="S104" s="40" t="str">
        <f t="shared" si="0"/>
        <v xml:space="preserve">Air/NoneHeat PumpSingle-Zone Residential </v>
      </c>
      <c r="T104" s="22" t="s">
        <v>467</v>
      </c>
      <c r="U104" s="22" t="s">
        <v>463</v>
      </c>
      <c r="V104" s="22" t="s">
        <v>452</v>
      </c>
      <c r="W104" t="s">
        <v>359</v>
      </c>
      <c r="X104" s="22" t="s">
        <v>450</v>
      </c>
      <c r="Y104" s="25" t="s">
        <v>469</v>
      </c>
      <c r="Z104" s="46" t="s">
        <v>339</v>
      </c>
      <c r="AA104" s="22" t="s">
        <v>488</v>
      </c>
    </row>
    <row r="105" spans="1:27">
      <c r="A105" s="4" t="s">
        <v>491</v>
      </c>
      <c r="B105" t="s">
        <v>483</v>
      </c>
      <c r="S105" s="40" t="str">
        <f t="shared" si="0"/>
        <v xml:space="preserve">Air/NoneHeat PumpSingle-Zone Non-Residential </v>
      </c>
      <c r="T105" s="22" t="s">
        <v>467</v>
      </c>
      <c r="U105" s="22" t="s">
        <v>463</v>
      </c>
      <c r="V105" s="22" t="s">
        <v>466</v>
      </c>
      <c r="W105" t="s">
        <v>362</v>
      </c>
      <c r="X105" s="22" t="s">
        <v>450</v>
      </c>
      <c r="Y105" t="s">
        <v>471</v>
      </c>
      <c r="Z105" s="46" t="s">
        <v>342</v>
      </c>
      <c r="AA105" s="22" t="s">
        <v>488</v>
      </c>
    </row>
    <row r="106" spans="1:27">
      <c r="A106" s="4" t="s">
        <v>492</v>
      </c>
      <c r="B106" t="s">
        <v>483</v>
      </c>
      <c r="M106" s="22"/>
      <c r="N106" s="22"/>
      <c r="O106" s="22"/>
      <c r="P106" s="22"/>
      <c r="S106" s="40" t="str">
        <f t="shared" si="0"/>
        <v>Air/NoneHeat PumpOther</v>
      </c>
      <c r="T106" s="22" t="s">
        <v>467</v>
      </c>
      <c r="U106" s="22" t="s">
        <v>463</v>
      </c>
      <c r="V106" s="22" t="s">
        <v>189</v>
      </c>
      <c r="W106" t="s">
        <v>350</v>
      </c>
      <c r="X106" s="22" t="s">
        <v>450</v>
      </c>
      <c r="Y106" s="24" t="s">
        <v>473</v>
      </c>
      <c r="Z106" s="46" t="s">
        <v>337</v>
      </c>
      <c r="AA106" s="22" t="s">
        <v>453</v>
      </c>
    </row>
    <row r="107" spans="1:27">
      <c r="A107" s="4" t="s">
        <v>493</v>
      </c>
      <c r="B107" t="s">
        <v>483</v>
      </c>
      <c r="S107" s="40" t="str">
        <f t="shared" si="0"/>
        <v xml:space="preserve">Air/NoneFossil Fuel Single-Zone Residential </v>
      </c>
      <c r="T107" s="22" t="s">
        <v>467</v>
      </c>
      <c r="U107" s="22" t="s">
        <v>351</v>
      </c>
      <c r="V107" s="22" t="s">
        <v>452</v>
      </c>
      <c r="W107" t="s">
        <v>338</v>
      </c>
      <c r="X107" s="22" t="s">
        <v>450</v>
      </c>
      <c r="Y107" s="23" t="s">
        <v>469</v>
      </c>
      <c r="Z107" s="46" t="s">
        <v>339</v>
      </c>
      <c r="AA107" s="22" t="s">
        <v>385</v>
      </c>
    </row>
    <row r="108" spans="1:27">
      <c r="A108" s="4" t="s">
        <v>247</v>
      </c>
      <c r="B108" t="s">
        <v>483</v>
      </c>
      <c r="J108" t="str">
        <f t="shared" ref="J108:J119" si="1">CONCATENATE(K:K,L:L,M:M)</f>
        <v/>
      </c>
      <c r="S108" s="40" t="str">
        <f t="shared" si="0"/>
        <v xml:space="preserve">Air/NoneFossil Fuel Single-Zone Non-Residential </v>
      </c>
      <c r="T108" s="22" t="s">
        <v>467</v>
      </c>
      <c r="U108" s="22" t="s">
        <v>351</v>
      </c>
      <c r="V108" s="22" t="s">
        <v>466</v>
      </c>
      <c r="W108" t="s">
        <v>341</v>
      </c>
      <c r="X108" s="22" t="s">
        <v>450</v>
      </c>
      <c r="Y108" s="28" t="s">
        <v>476</v>
      </c>
      <c r="Z108" s="46" t="s">
        <v>342</v>
      </c>
      <c r="AA108" s="22" t="s">
        <v>494</v>
      </c>
    </row>
    <row r="109" spans="1:27">
      <c r="A109" s="4" t="s">
        <v>495</v>
      </c>
      <c r="B109" t="s">
        <v>483</v>
      </c>
      <c r="J109" t="str">
        <f t="shared" si="1"/>
        <v/>
      </c>
      <c r="S109" s="40" t="str">
        <f t="shared" si="0"/>
        <v>Air/NoneFossil Fuel Other</v>
      </c>
      <c r="T109" s="22" t="s">
        <v>467</v>
      </c>
      <c r="U109" s="22" t="s">
        <v>351</v>
      </c>
      <c r="V109" s="22" t="s">
        <v>189</v>
      </c>
      <c r="W109" t="s">
        <v>352</v>
      </c>
      <c r="X109" s="22" t="s">
        <v>450</v>
      </c>
      <c r="Y109" s="24" t="s">
        <v>479</v>
      </c>
      <c r="Z109" s="46" t="s">
        <v>337</v>
      </c>
      <c r="AA109" s="22" t="s">
        <v>385</v>
      </c>
    </row>
    <row r="110" spans="1:27">
      <c r="A110" s="4" t="s">
        <v>496</v>
      </c>
      <c r="B110" t="s">
        <v>483</v>
      </c>
      <c r="J110" t="str">
        <f t="shared" si="1"/>
        <v/>
      </c>
      <c r="S110" s="40"/>
      <c r="T110" s="22"/>
      <c r="U110" s="22"/>
      <c r="V110" s="22"/>
      <c r="W110" s="41"/>
    </row>
    <row r="111" spans="1:27" ht="15.75" thickBot="1">
      <c r="A111" s="4" t="s">
        <v>497</v>
      </c>
      <c r="B111" t="s">
        <v>483</v>
      </c>
      <c r="J111" t="str">
        <f t="shared" si="1"/>
        <v/>
      </c>
      <c r="S111" s="42"/>
      <c r="T111" s="43"/>
      <c r="U111" s="43"/>
      <c r="V111" s="43"/>
      <c r="W111" s="44"/>
    </row>
    <row r="112" spans="1:27">
      <c r="A112" s="4" t="s">
        <v>498</v>
      </c>
      <c r="B112" t="s">
        <v>487</v>
      </c>
      <c r="J112" t="str">
        <f t="shared" si="1"/>
        <v/>
      </c>
    </row>
    <row r="113" spans="1:10">
      <c r="A113" s="4" t="s">
        <v>499</v>
      </c>
      <c r="B113" t="s">
        <v>483</v>
      </c>
      <c r="J113" t="str">
        <f t="shared" si="1"/>
        <v/>
      </c>
    </row>
    <row r="114" spans="1:10">
      <c r="A114" s="4" t="s">
        <v>500</v>
      </c>
      <c r="B114" t="s">
        <v>483</v>
      </c>
      <c r="J114" t="str">
        <f t="shared" si="1"/>
        <v/>
      </c>
    </row>
    <row r="115" spans="1:10">
      <c r="A115" s="4" t="s">
        <v>501</v>
      </c>
      <c r="B115" t="s">
        <v>487</v>
      </c>
      <c r="J115" t="str">
        <f t="shared" si="1"/>
        <v/>
      </c>
    </row>
    <row r="116" spans="1:10">
      <c r="A116" s="4" t="s">
        <v>502</v>
      </c>
      <c r="B116" t="s">
        <v>483</v>
      </c>
      <c r="J116" t="str">
        <f t="shared" si="1"/>
        <v/>
      </c>
    </row>
    <row r="117" spans="1:10">
      <c r="A117" s="4" t="s">
        <v>503</v>
      </c>
      <c r="B117" t="s">
        <v>487</v>
      </c>
      <c r="J117" t="str">
        <f t="shared" si="1"/>
        <v/>
      </c>
    </row>
    <row r="118" spans="1:10">
      <c r="A118" s="4" t="s">
        <v>252</v>
      </c>
      <c r="B118" t="s">
        <v>483</v>
      </c>
      <c r="J118" t="str">
        <f t="shared" si="1"/>
        <v/>
      </c>
    </row>
    <row r="119" spans="1:10">
      <c r="A119" s="4" t="s">
        <v>504</v>
      </c>
      <c r="B119" t="s">
        <v>487</v>
      </c>
      <c r="J119" t="str">
        <f t="shared" si="1"/>
        <v/>
      </c>
    </row>
    <row r="120" spans="1:10">
      <c r="A120" s="4" t="s">
        <v>260</v>
      </c>
      <c r="B120" t="s">
        <v>487</v>
      </c>
    </row>
    <row r="121" spans="1:10">
      <c r="A121" s="4" t="s">
        <v>505</v>
      </c>
      <c r="B121" t="s">
        <v>487</v>
      </c>
      <c r="J121" t="str">
        <f>CONCATENATE(K:K,L:L,M:M)</f>
        <v/>
      </c>
    </row>
    <row r="122" spans="1:10">
      <c r="A122" s="4" t="s">
        <v>506</v>
      </c>
      <c r="B122" t="s">
        <v>483</v>
      </c>
      <c r="J122" t="str">
        <f>CONCATENATE(K:K,L:L,M:M)</f>
        <v/>
      </c>
    </row>
    <row r="123" spans="1:10">
      <c r="A123" s="4" t="s">
        <v>507</v>
      </c>
      <c r="B123" t="s">
        <v>483</v>
      </c>
      <c r="J123" t="str">
        <f>CONCATENATE(K:K,L:L,M:M)</f>
        <v/>
      </c>
    </row>
    <row r="124" spans="1:10">
      <c r="A124" s="4" t="s">
        <v>508</v>
      </c>
      <c r="B124" t="s">
        <v>487</v>
      </c>
      <c r="J124" t="str">
        <f>CONCATENATE(K:K,L:L,M:M)</f>
        <v/>
      </c>
    </row>
    <row r="125" spans="1:10">
      <c r="A125" s="4" t="s">
        <v>509</v>
      </c>
      <c r="B125" t="s">
        <v>487</v>
      </c>
    </row>
    <row r="126" spans="1:10">
      <c r="A126" s="4" t="s">
        <v>510</v>
      </c>
      <c r="B126" t="s">
        <v>487</v>
      </c>
    </row>
    <row r="127" spans="1:10">
      <c r="A127" s="4" t="s">
        <v>266</v>
      </c>
      <c r="B127" t="s">
        <v>487</v>
      </c>
    </row>
    <row r="128" spans="1:10">
      <c r="A128" s="4" t="s">
        <v>511</v>
      </c>
      <c r="B128" t="s">
        <v>483</v>
      </c>
    </row>
    <row r="129" spans="1:9">
      <c r="A129" s="4" t="s">
        <v>512</v>
      </c>
      <c r="B129" t="s">
        <v>483</v>
      </c>
    </row>
    <row r="130" spans="1:9">
      <c r="A130" s="4" t="s">
        <v>513</v>
      </c>
      <c r="B130" t="s">
        <v>487</v>
      </c>
    </row>
    <row r="131" spans="1:9">
      <c r="A131" s="4" t="s">
        <v>514</v>
      </c>
      <c r="B131" t="s">
        <v>487</v>
      </c>
    </row>
    <row r="132" spans="1:9">
      <c r="A132" s="4" t="s">
        <v>270</v>
      </c>
      <c r="B132" t="s">
        <v>487</v>
      </c>
    </row>
    <row r="133" spans="1:9">
      <c r="A133" s="4" t="s">
        <v>515</v>
      </c>
      <c r="B133" t="s">
        <v>487</v>
      </c>
    </row>
    <row r="136" spans="1:9">
      <c r="A136" s="36" t="s">
        <v>516</v>
      </c>
      <c r="B136" s="36"/>
      <c r="C136" s="36"/>
    </row>
    <row r="137" spans="1:9">
      <c r="B137" s="33">
        <v>2024</v>
      </c>
      <c r="C137" s="33">
        <v>2030</v>
      </c>
      <c r="D137" s="36"/>
      <c r="E137" s="36"/>
      <c r="F137" s="36"/>
    </row>
    <row r="138" spans="1:9">
      <c r="A138" s="33" t="s">
        <v>517</v>
      </c>
      <c r="B138" s="33" t="s">
        <v>518</v>
      </c>
      <c r="C138" s="33"/>
    </row>
    <row r="139" spans="1:9">
      <c r="A139" t="s">
        <v>519</v>
      </c>
      <c r="B139">
        <v>1.074E-2</v>
      </c>
      <c r="C139">
        <v>4.1999999999999997E-3</v>
      </c>
      <c r="E139" s="78" t="s">
        <v>520</v>
      </c>
      <c r="F139" s="78" t="s">
        <v>521</v>
      </c>
      <c r="G139" s="87" t="s">
        <v>520</v>
      </c>
      <c r="H139" s="78" t="s">
        <v>521</v>
      </c>
      <c r="I139" s="78" t="s">
        <v>522</v>
      </c>
    </row>
    <row r="140" spans="1:9">
      <c r="A140" t="s">
        <v>523</v>
      </c>
      <c r="B140">
        <v>8.4600000000000005E-3</v>
      </c>
      <c r="C140">
        <v>4.5300000000000002E-3</v>
      </c>
      <c r="E140" s="30" t="s">
        <v>524</v>
      </c>
      <c r="F140" s="30">
        <v>2.8896199999999998E-4</v>
      </c>
      <c r="G140" s="88" t="s">
        <v>65</v>
      </c>
      <c r="H140" s="86">
        <v>7.4209999999999996E-5</v>
      </c>
      <c r="I140" s="30">
        <v>138</v>
      </c>
    </row>
    <row r="141" spans="1:9">
      <c r="A141" t="s">
        <v>525</v>
      </c>
      <c r="B141">
        <v>7.5799999999999999E-3</v>
      </c>
      <c r="C141">
        <v>3.4399999999999999E-3</v>
      </c>
      <c r="E141" s="30" t="s">
        <v>61</v>
      </c>
      <c r="F141" s="86">
        <v>5.3109999999999998E-5</v>
      </c>
      <c r="G141" s="88" t="s">
        <v>526</v>
      </c>
      <c r="H141" s="86">
        <v>7.5290000000000006E-5</v>
      </c>
      <c r="I141" s="30">
        <v>146</v>
      </c>
    </row>
    <row r="142" spans="1:9">
      <c r="A142" t="s">
        <v>527</v>
      </c>
      <c r="B142">
        <v>1.1379999999999999E-2</v>
      </c>
      <c r="C142">
        <v>5.9800000000000001E-3</v>
      </c>
      <c r="E142" s="30" t="s">
        <v>65</v>
      </c>
      <c r="F142" s="86">
        <v>7.4209999999999996E-5</v>
      </c>
      <c r="G142" s="88" t="s">
        <v>528</v>
      </c>
      <c r="H142" s="86">
        <v>7.4209999999999996E-5</v>
      </c>
      <c r="I142" s="30">
        <v>138</v>
      </c>
    </row>
    <row r="143" spans="1:9">
      <c r="A143" t="s">
        <v>529</v>
      </c>
      <c r="B143">
        <v>5.7400000000000003E-3</v>
      </c>
      <c r="C143">
        <v>1.67E-3</v>
      </c>
      <c r="E143" s="30" t="s">
        <v>526</v>
      </c>
      <c r="F143" s="86">
        <v>7.5290000000000006E-5</v>
      </c>
      <c r="G143" s="88" t="s">
        <v>69</v>
      </c>
      <c r="H143" s="86">
        <v>7.3499999999999998E-5</v>
      </c>
      <c r="I143" s="30">
        <v>139</v>
      </c>
    </row>
    <row r="144" spans="1:9">
      <c r="A144" t="s">
        <v>530</v>
      </c>
      <c r="B144">
        <v>2.3810000000000001E-2</v>
      </c>
      <c r="C144">
        <v>1.3299999999999999E-2</v>
      </c>
      <c r="E144" s="30" t="s">
        <v>63</v>
      </c>
      <c r="F144" s="86">
        <v>4.4929999999999998E-5</v>
      </c>
      <c r="G144" s="88" t="s">
        <v>67</v>
      </c>
      <c r="H144" s="86">
        <v>7.5350000000000002E-5</v>
      </c>
      <c r="I144" s="30">
        <v>150</v>
      </c>
    </row>
    <row r="145" spans="1:9">
      <c r="A145" t="s">
        <v>531</v>
      </c>
      <c r="B145">
        <v>1.1809999999999999E-2</v>
      </c>
      <c r="C145">
        <v>4.0299999999999997E-3</v>
      </c>
      <c r="E145" s="30" t="str">
        <f>'4e-f. Usage to GHG'!N11</f>
        <v>Fuel Oil #1</v>
      </c>
      <c r="F145" s="30">
        <f>IF('4e-f. Usage to GHG'!O11="Input coefficient",0,'4e-f. Usage to GHG'!O11)</f>
        <v>7.3499999999999998E-5</v>
      </c>
      <c r="G145" s="88" t="s">
        <v>532</v>
      </c>
      <c r="H145" s="86">
        <v>7.7689999999999996E-5</v>
      </c>
      <c r="I145" s="30">
        <v>135</v>
      </c>
    </row>
    <row r="146" spans="1:9">
      <c r="A146" t="s">
        <v>533</v>
      </c>
      <c r="B146">
        <v>9.8700000000000003E-3</v>
      </c>
      <c r="C146">
        <v>5.2599999999999999E-3</v>
      </c>
      <c r="E146" s="30">
        <f>'4e-f. Usage to GHG'!N12</f>
        <v>0</v>
      </c>
      <c r="F146" s="30">
        <f>IF('4e-f. Usage to GHG'!O12="Input coefficient",0,'4e-f. Usage to GHG'!O12)</f>
        <v>0</v>
      </c>
      <c r="G146" s="88" t="s">
        <v>534</v>
      </c>
      <c r="H146" s="86">
        <v>6.4250000000000003E-5</v>
      </c>
      <c r="I146" s="30">
        <v>92</v>
      </c>
    </row>
    <row r="147" spans="1:9">
      <c r="A147" t="s">
        <v>535</v>
      </c>
      <c r="B147">
        <v>6.7499999999999999E-3</v>
      </c>
      <c r="C147">
        <v>4.0699999999999998E-3</v>
      </c>
      <c r="E147" s="30">
        <f>'4e-f. Usage to GHG'!N13</f>
        <v>0</v>
      </c>
      <c r="F147" s="30">
        <f>IF('4e-f. Usage to GHG'!O13="Input coefficient",0,'4e-f. Usage to GHG'!O13)</f>
        <v>0</v>
      </c>
    </row>
    <row r="148" spans="1:9">
      <c r="A148" t="s">
        <v>536</v>
      </c>
      <c r="B148">
        <v>4.2599999999999999E-3</v>
      </c>
      <c r="C148">
        <v>1.1000000000000001E-3</v>
      </c>
    </row>
    <row r="155" spans="1:9" ht="165">
      <c r="A155" t="s">
        <v>27</v>
      </c>
      <c r="B155" s="73" t="s">
        <v>537</v>
      </c>
    </row>
    <row r="156" spans="1:9" ht="45">
      <c r="A156" t="s">
        <v>538</v>
      </c>
      <c r="B156" s="73" t="s">
        <v>539</v>
      </c>
    </row>
    <row r="157" spans="1:9" ht="135">
      <c r="A157" t="s">
        <v>221</v>
      </c>
      <c r="B157" s="73" t="s">
        <v>540</v>
      </c>
    </row>
    <row r="158" spans="1:9" ht="135">
      <c r="A158" t="s">
        <v>211</v>
      </c>
      <c r="B158" s="73" t="s">
        <v>540</v>
      </c>
    </row>
  </sheetData>
  <sortState xmlns:xlrd2="http://schemas.microsoft.com/office/spreadsheetml/2017/richdata2" ref="G140:H146">
    <sortCondition ref="G140:G146"/>
  </sortState>
  <phoneticPr fontId="9" type="noConversion"/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"/>
  <dimension ref="A1:J55"/>
  <sheetViews>
    <sheetView view="pageLayout" zoomScaleNormal="100" zoomScaleSheetLayoutView="115" workbookViewId="0">
      <selection activeCell="A3" sqref="A3:J3"/>
    </sheetView>
  </sheetViews>
  <sheetFormatPr defaultColWidth="8.85546875" defaultRowHeight="14.25"/>
  <cols>
    <col min="1" max="1" width="28.28515625" style="211" customWidth="1"/>
    <col min="2" max="2" width="10.28515625" style="186" customWidth="1"/>
    <col min="3" max="3" width="7.85546875" style="186" customWidth="1"/>
    <col min="4" max="4" width="8.5703125" style="187" customWidth="1"/>
    <col min="5" max="5" width="7.28515625" style="186" customWidth="1"/>
    <col min="6" max="6" width="7.7109375" style="186" customWidth="1"/>
    <col min="7" max="7" width="9" style="186" customWidth="1"/>
    <col min="8" max="8" width="12.28515625" style="186" customWidth="1"/>
    <col min="9" max="10" width="11.7109375" style="186" customWidth="1"/>
    <col min="11" max="16384" width="8.85546875" style="94"/>
  </cols>
  <sheetData>
    <row r="1" spans="1:10" ht="7.5" customHeight="1"/>
    <row r="2" spans="1:10" s="153" customFormat="1" ht="15" customHeight="1">
      <c r="A2" s="236" t="s">
        <v>949</v>
      </c>
      <c r="B2" s="433" t="s">
        <v>541</v>
      </c>
      <c r="C2" s="434"/>
      <c r="D2" s="434"/>
      <c r="E2" s="434"/>
      <c r="F2" s="434"/>
      <c r="G2" s="434"/>
      <c r="H2" s="434"/>
      <c r="I2" s="434"/>
      <c r="J2" s="435"/>
    </row>
    <row r="3" spans="1:10" ht="15" customHeight="1">
      <c r="A3" s="436" t="str">
        <f>CONCATENATE("Compliance based on ",IF(Path="","",Path))</f>
        <v>Compliance based on 2024 GHG Limit</v>
      </c>
      <c r="B3" s="437"/>
      <c r="C3" s="437"/>
      <c r="D3" s="437"/>
      <c r="E3" s="437"/>
      <c r="F3" s="437"/>
      <c r="G3" s="437"/>
      <c r="H3" s="437"/>
      <c r="I3" s="437"/>
      <c r="J3" s="438"/>
    </row>
    <row r="4" spans="1:10" ht="22.5" customHeight="1">
      <c r="A4" s="407" t="s">
        <v>542</v>
      </c>
      <c r="B4" s="432" t="s">
        <v>972</v>
      </c>
      <c r="C4" s="406" t="s">
        <v>105</v>
      </c>
      <c r="D4" s="406"/>
      <c r="E4" s="406" t="s">
        <v>106</v>
      </c>
      <c r="F4" s="406"/>
      <c r="G4" s="406"/>
      <c r="H4" s="406"/>
      <c r="I4" s="406"/>
      <c r="J4" s="406"/>
    </row>
    <row r="5" spans="1:10" ht="22.5" customHeight="1">
      <c r="A5" s="408"/>
      <c r="B5" s="406"/>
      <c r="C5" s="407" t="s">
        <v>543</v>
      </c>
      <c r="D5" s="212" t="s">
        <v>544</v>
      </c>
      <c r="E5" s="405" t="s">
        <v>543</v>
      </c>
      <c r="F5" s="406" t="s">
        <v>545</v>
      </c>
      <c r="G5" s="213" t="s">
        <v>546</v>
      </c>
      <c r="H5" s="407" t="s">
        <v>107</v>
      </c>
      <c r="I5" s="406" t="s">
        <v>108</v>
      </c>
      <c r="J5" s="406" t="s">
        <v>109</v>
      </c>
    </row>
    <row r="6" spans="1:10">
      <c r="A6" s="409"/>
      <c r="B6" s="406"/>
      <c r="C6" s="409"/>
      <c r="D6" s="214" t="s">
        <v>547</v>
      </c>
      <c r="E6" s="405"/>
      <c r="F6" s="406"/>
      <c r="G6" s="215" t="s">
        <v>547</v>
      </c>
      <c r="H6" s="409"/>
      <c r="I6" s="406"/>
      <c r="J6" s="406"/>
    </row>
    <row r="7" spans="1:10" ht="21" customHeight="1">
      <c r="A7" s="175"/>
      <c r="B7" s="175"/>
      <c r="C7" s="175"/>
      <c r="D7" s="216" t="str">
        <f>IF($A7="","",IF($B7="","",IF(OR(Path="Section 11 ECB",Path="2024 GHG Limit"),VLOOKUP($A7,'Lighting Lookup'!$E$2:$G$115,2),VLOOKUP($A7,'Lighting Lookup'!$E$2:$G$115,3))))</f>
        <v/>
      </c>
      <c r="E7" s="175"/>
      <c r="F7" s="156"/>
      <c r="G7" s="217"/>
      <c r="H7" s="155"/>
      <c r="I7" s="155"/>
      <c r="J7" s="155"/>
    </row>
    <row r="8" spans="1:10" ht="21" customHeight="1">
      <c r="A8" s="175"/>
      <c r="B8" s="175"/>
      <c r="C8" s="175"/>
      <c r="D8" s="216" t="str">
        <f>IF($A8="","",IF($B8="","",IF(OR(Path="Section 11 ECB",Path="2024 GHG Limit"),VLOOKUP($A8,'Lighting Lookup'!$E$2:$G$115,2),VLOOKUP($A8,'Lighting Lookup'!$E$2:$G$115,3))))</f>
        <v/>
      </c>
      <c r="E8" s="175"/>
      <c r="F8" s="156"/>
      <c r="G8" s="217"/>
      <c r="H8" s="155"/>
      <c r="I8" s="155"/>
      <c r="J8" s="155"/>
    </row>
    <row r="9" spans="1:10" ht="21" customHeight="1">
      <c r="A9" s="175"/>
      <c r="B9" s="175"/>
      <c r="C9" s="175"/>
      <c r="D9" s="216" t="str">
        <f>IF($A9="","",IF($B9="","",IF(OR(Path="Section 11 ECB",Path="2024 GHG Limit"),VLOOKUP($A9,'Lighting Lookup'!$E$2:$G$115,2),VLOOKUP($A9,'Lighting Lookup'!$E$2:$G$115,3))))</f>
        <v/>
      </c>
      <c r="E9" s="175"/>
      <c r="F9" s="156"/>
      <c r="G9" s="217"/>
      <c r="H9" s="155"/>
      <c r="I9" s="155"/>
      <c r="J9" s="155"/>
    </row>
    <row r="10" spans="1:10" ht="21" customHeight="1">
      <c r="A10" s="175"/>
      <c r="B10" s="175"/>
      <c r="C10" s="175"/>
      <c r="D10" s="216" t="str">
        <f>IF($A10="","",IF($B10="","",IF(OR(Path="Section 11 ECB",Path="2024 GHG Limit"),VLOOKUP($A10,'Lighting Lookup'!$E$2:$G$115,2),VLOOKUP($A10,'Lighting Lookup'!$E$2:$G$115,3))))</f>
        <v/>
      </c>
      <c r="E10" s="175"/>
      <c r="F10" s="156"/>
      <c r="G10" s="217"/>
      <c r="H10" s="155"/>
      <c r="I10" s="155"/>
      <c r="J10" s="155"/>
    </row>
    <row r="11" spans="1:10" ht="21" customHeight="1">
      <c r="A11" s="175"/>
      <c r="B11" s="175"/>
      <c r="C11" s="175"/>
      <c r="D11" s="216" t="str">
        <f>IF($A11="","",IF($B11="","",IF(OR(Path="Section 11 ECB",Path="2024 GHG Limit"),VLOOKUP($A11,'Lighting Lookup'!$E$2:$G$115,2),VLOOKUP($A11,'Lighting Lookup'!$E$2:$G$115,3))))</f>
        <v/>
      </c>
      <c r="E11" s="175"/>
      <c r="F11" s="156"/>
      <c r="G11" s="217"/>
      <c r="H11" s="155"/>
      <c r="I11" s="155"/>
      <c r="J11" s="155"/>
    </row>
    <row r="12" spans="1:10" ht="21" customHeight="1">
      <c r="A12" s="175"/>
      <c r="B12" s="175"/>
      <c r="C12" s="175"/>
      <c r="D12" s="216" t="str">
        <f>IF($A12="","",IF($B12="","",IF(OR(Path="Section 11 ECB",Path="2024 GHG Limit"),VLOOKUP($A12,'Lighting Lookup'!$E$2:$G$115,2),VLOOKUP($A12,'Lighting Lookup'!$E$2:$G$115,3))))</f>
        <v/>
      </c>
      <c r="E12" s="175"/>
      <c r="F12" s="156"/>
      <c r="G12" s="217"/>
      <c r="H12" s="155"/>
      <c r="I12" s="155"/>
      <c r="J12" s="155"/>
    </row>
    <row r="13" spans="1:10" ht="21" customHeight="1">
      <c r="A13" s="175"/>
      <c r="B13" s="175"/>
      <c r="C13" s="175"/>
      <c r="D13" s="216" t="str">
        <f>IF($A13="","",IF($B13="","",IF(OR(Path="Section 11 ECB",Path="2024 GHG Limit"),VLOOKUP($A13,'Lighting Lookup'!$E$2:$G$115,2),VLOOKUP($A13,'Lighting Lookup'!$E$2:$G$115,3))))</f>
        <v/>
      </c>
      <c r="E13" s="175"/>
      <c r="F13" s="156"/>
      <c r="G13" s="217"/>
      <c r="H13" s="155"/>
      <c r="I13" s="155"/>
      <c r="J13" s="155"/>
    </row>
    <row r="14" spans="1:10" ht="21" customHeight="1">
      <c r="A14" s="175"/>
      <c r="B14" s="175"/>
      <c r="C14" s="175"/>
      <c r="D14" s="216" t="str">
        <f>IF($A14="","",IF($B14="","",IF(OR(Path="Section 11 ECB",Path="2024 GHG Limit"),VLOOKUP($A14,'Lighting Lookup'!$E$2:$G$115,2),VLOOKUP($A14,'Lighting Lookup'!$E$2:$G$115,3))))</f>
        <v/>
      </c>
      <c r="E14" s="175"/>
      <c r="F14" s="156"/>
      <c r="G14" s="217"/>
      <c r="H14" s="155"/>
      <c r="I14" s="155"/>
      <c r="J14" s="155"/>
    </row>
    <row r="15" spans="1:10" ht="21" customHeight="1">
      <c r="A15" s="175"/>
      <c r="B15" s="175"/>
      <c r="C15" s="175"/>
      <c r="D15" s="216" t="str">
        <f>IF($A15="","",IF($B15="","",IF(OR(Path="Section 11 ECB",Path="2024 GHG Limit"),VLOOKUP($A15,'Lighting Lookup'!$E$2:$G$115,2),VLOOKUP($A15,'Lighting Lookup'!$E$2:$G$115,3))))</f>
        <v/>
      </c>
      <c r="E15" s="175"/>
      <c r="F15" s="156"/>
      <c r="G15" s="217"/>
      <c r="H15" s="155"/>
      <c r="I15" s="155"/>
      <c r="J15" s="155"/>
    </row>
    <row r="16" spans="1:10" ht="21" customHeight="1">
      <c r="A16" s="175"/>
      <c r="B16" s="175"/>
      <c r="C16" s="175"/>
      <c r="D16" s="216" t="str">
        <f>IF($A16="","",IF($B16="","",IF(OR(Path="Section 11 ECB",Path="2024 GHG Limit"),VLOOKUP($A16,'Lighting Lookup'!$E$2:$G$115,2),VLOOKUP($A16,'Lighting Lookup'!$E$2:$G$115,3))))</f>
        <v/>
      </c>
      <c r="E16" s="175"/>
      <c r="F16" s="156"/>
      <c r="G16" s="217"/>
      <c r="H16" s="155"/>
      <c r="I16" s="155"/>
      <c r="J16" s="155"/>
    </row>
    <row r="17" spans="1:10" ht="21" customHeight="1">
      <c r="A17" s="175"/>
      <c r="B17" s="175"/>
      <c r="C17" s="175"/>
      <c r="D17" s="216" t="str">
        <f>IF($A17="","",IF($B17="","",IF(OR(Path="Section 11 ECB",Path="2024 GHG Limit"),VLOOKUP($A17,'Lighting Lookup'!$E$2:$G$115,2),VLOOKUP($A17,'Lighting Lookup'!$E$2:$G$115,3))))</f>
        <v/>
      </c>
      <c r="E17" s="175"/>
      <c r="F17" s="156"/>
      <c r="G17" s="217"/>
      <c r="H17" s="155"/>
      <c r="I17" s="155"/>
      <c r="J17" s="155"/>
    </row>
    <row r="18" spans="1:10" ht="21" customHeight="1">
      <c r="A18" s="175"/>
      <c r="B18" s="175"/>
      <c r="C18" s="175"/>
      <c r="D18" s="216" t="str">
        <f>IF($A18="","",IF($B18="","",IF(OR(Path="Section 11 ECB",Path="2024 GHG Limit"),VLOOKUP($A18,'Lighting Lookup'!$E$2:$G$115,2),VLOOKUP($A18,'Lighting Lookup'!$E$2:$G$115,3))))</f>
        <v/>
      </c>
      <c r="E18" s="175"/>
      <c r="F18" s="156"/>
      <c r="G18" s="217"/>
      <c r="H18" s="155"/>
      <c r="I18" s="155"/>
      <c r="J18" s="155"/>
    </row>
    <row r="19" spans="1:10" ht="21" customHeight="1">
      <c r="A19" s="175"/>
      <c r="B19" s="175"/>
      <c r="C19" s="175"/>
      <c r="D19" s="216" t="str">
        <f>IF($A19="","",IF($B19="","",IF(OR(Path="Section 11 ECB",Path="2024 GHG Limit"),VLOOKUP($A19,'Lighting Lookup'!$E$2:$G$115,2),VLOOKUP($A19,'Lighting Lookup'!$E$2:$G$115,3))))</f>
        <v/>
      </c>
      <c r="E19" s="175"/>
      <c r="F19" s="156"/>
      <c r="G19" s="217"/>
      <c r="H19" s="155"/>
      <c r="I19" s="155"/>
      <c r="J19" s="155"/>
    </row>
    <row r="20" spans="1:10" ht="21" customHeight="1">
      <c r="A20" s="175"/>
      <c r="B20" s="175"/>
      <c r="C20" s="175"/>
      <c r="D20" s="216" t="str">
        <f>IF($A20="","",IF($B20="","",IF(OR(Path="Section 11 ECB",Path="2024 GHG Limit"),VLOOKUP($A20,'Lighting Lookup'!$E$2:$G$115,2),VLOOKUP($A20,'Lighting Lookup'!$E$2:$G$115,3))))</f>
        <v/>
      </c>
      <c r="E20" s="175"/>
      <c r="F20" s="156"/>
      <c r="G20" s="217"/>
      <c r="H20" s="155"/>
      <c r="I20" s="155"/>
      <c r="J20" s="155"/>
    </row>
    <row r="21" spans="1:10" ht="21" customHeight="1">
      <c r="A21" s="175"/>
      <c r="B21" s="175"/>
      <c r="C21" s="175"/>
      <c r="D21" s="216" t="str">
        <f>IF($A21="","",IF($B21="","",IF(OR(Path="Section 11 ECB",Path="2024 GHG Limit"),VLOOKUP($A21,'Lighting Lookup'!$E$2:$G$115,2),VLOOKUP($A21,'Lighting Lookup'!$E$2:$G$115,3))))</f>
        <v/>
      </c>
      <c r="E21" s="175"/>
      <c r="F21" s="156"/>
      <c r="G21" s="217"/>
      <c r="H21" s="155"/>
      <c r="I21" s="155"/>
      <c r="J21" s="155"/>
    </row>
    <row r="22" spans="1:10" ht="21" customHeight="1">
      <c r="A22" s="175"/>
      <c r="B22" s="175"/>
      <c r="C22" s="175"/>
      <c r="D22" s="216" t="str">
        <f>IF($A22="","",IF($B22="","",IF(OR(Path="Section 11 ECB",Path="2024 GHG Limit"),VLOOKUP($A22,'Lighting Lookup'!$E$2:$G$115,2),VLOOKUP($A22,'Lighting Lookup'!$E$2:$G$115,3))))</f>
        <v/>
      </c>
      <c r="E22" s="175"/>
      <c r="F22" s="156"/>
      <c r="G22" s="217"/>
      <c r="H22" s="155"/>
      <c r="I22" s="155"/>
      <c r="J22" s="155"/>
    </row>
    <row r="23" spans="1:10" ht="21" customHeight="1">
      <c r="A23" s="175"/>
      <c r="B23" s="175"/>
      <c r="C23" s="175"/>
      <c r="D23" s="216" t="str">
        <f>IF($A23="","",IF($B23="","",IF(OR(Path="Section 11 ECB",Path="2024 GHG Limit"),VLOOKUP($A23,'Lighting Lookup'!$E$2:$G$115,2),VLOOKUP($A23,'Lighting Lookup'!$E$2:$G$115,3))))</f>
        <v/>
      </c>
      <c r="E23" s="175"/>
      <c r="F23" s="156"/>
      <c r="G23" s="217"/>
      <c r="H23" s="155"/>
      <c r="I23" s="155"/>
      <c r="J23" s="155"/>
    </row>
    <row r="24" spans="1:10" ht="21" customHeight="1">
      <c r="A24" s="175"/>
      <c r="B24" s="175"/>
      <c r="C24" s="175"/>
      <c r="D24" s="216"/>
      <c r="E24" s="175"/>
      <c r="F24" s="156"/>
      <c r="G24" s="217"/>
      <c r="H24" s="155"/>
      <c r="I24" s="155"/>
      <c r="J24" s="155"/>
    </row>
    <row r="25" spans="1:10" ht="21" customHeight="1">
      <c r="A25" s="175"/>
      <c r="B25" s="175"/>
      <c r="C25" s="175"/>
      <c r="D25" s="216"/>
      <c r="E25" s="175"/>
      <c r="F25" s="156"/>
      <c r="G25" s="217"/>
      <c r="H25" s="155"/>
      <c r="I25" s="155"/>
      <c r="J25" s="155"/>
    </row>
    <row r="26" spans="1:10" ht="21" customHeight="1">
      <c r="A26" s="175"/>
      <c r="B26" s="175"/>
      <c r="C26" s="175"/>
      <c r="D26" s="216"/>
      <c r="E26" s="175"/>
      <c r="F26" s="156"/>
      <c r="G26" s="217"/>
      <c r="H26" s="155"/>
      <c r="I26" s="155"/>
      <c r="J26" s="155"/>
    </row>
    <row r="27" spans="1:10" ht="21" customHeight="1">
      <c r="A27" s="175"/>
      <c r="B27" s="175"/>
      <c r="C27" s="175"/>
      <c r="D27" s="216"/>
      <c r="E27" s="175"/>
      <c r="F27" s="156"/>
      <c r="G27" s="217"/>
      <c r="H27" s="155"/>
      <c r="I27" s="155"/>
      <c r="J27" s="155"/>
    </row>
    <row r="28" spans="1:10" ht="21" customHeight="1">
      <c r="A28" s="175"/>
      <c r="B28" s="175"/>
      <c r="C28" s="175"/>
      <c r="D28" s="216"/>
      <c r="E28" s="175"/>
      <c r="F28" s="156"/>
      <c r="G28" s="217"/>
      <c r="H28" s="155"/>
      <c r="I28" s="155"/>
      <c r="J28" s="155"/>
    </row>
    <row r="29" spans="1:10" ht="21" customHeight="1">
      <c r="A29" s="175"/>
      <c r="B29" s="175"/>
      <c r="C29" s="175"/>
      <c r="D29" s="216"/>
      <c r="E29" s="175"/>
      <c r="F29" s="156"/>
      <c r="G29" s="217"/>
      <c r="H29" s="155"/>
      <c r="I29" s="155"/>
      <c r="J29" s="155"/>
    </row>
    <row r="30" spans="1:10" ht="21" customHeight="1">
      <c r="A30" s="175"/>
      <c r="B30" s="175"/>
      <c r="C30" s="175"/>
      <c r="D30" s="216" t="str">
        <f>IF($A30="","",IF($B30="","",IF(OR(Path="Section 11 ECB",Path="2024 GHG Limit"),VLOOKUP($A30,'Lighting Lookup'!$E$2:$G$115,2),VLOOKUP($A30,'Lighting Lookup'!$E$2:$G$115,3))))</f>
        <v/>
      </c>
      <c r="E30" s="175"/>
      <c r="F30" s="156"/>
      <c r="G30" s="217"/>
      <c r="H30" s="155"/>
      <c r="I30" s="155"/>
      <c r="J30" s="155"/>
    </row>
    <row r="31" spans="1:10" ht="21" customHeight="1">
      <c r="A31" s="175"/>
      <c r="B31" s="175"/>
      <c r="C31" s="175"/>
      <c r="D31" s="216" t="str">
        <f>IF($A31="","",IF($B31="","",IF(OR(Path="Section 11 ECB",Path="2024 GHG Limit"),VLOOKUP($A31,'Lighting Lookup'!$E$2:$G$115,2),VLOOKUP($A31,'Lighting Lookup'!$E$2:$G$115,3))))</f>
        <v/>
      </c>
      <c r="E31" s="175"/>
      <c r="F31" s="156"/>
      <c r="G31" s="217"/>
      <c r="H31" s="155"/>
      <c r="I31" s="155"/>
      <c r="J31" s="155"/>
    </row>
    <row r="32" spans="1:10" ht="21" customHeight="1">
      <c r="A32" s="175"/>
      <c r="B32" s="175"/>
      <c r="C32" s="175"/>
      <c r="D32" s="216" t="str">
        <f>IF($A32="","",IF($B32="","",IF(OR(Path="Section 11 ECB",Path="2024 GHG Limit"),VLOOKUP($A32,'Lighting Lookup'!$E$2:$G$115,2),VLOOKUP($A32,'Lighting Lookup'!$E$2:$G$115,3))))</f>
        <v/>
      </c>
      <c r="E32" s="175"/>
      <c r="F32" s="156"/>
      <c r="G32" s="217"/>
      <c r="H32" s="155"/>
      <c r="I32" s="155"/>
      <c r="J32" s="155"/>
    </row>
    <row r="33" spans="1:10" ht="21" customHeight="1">
      <c r="A33" s="175"/>
      <c r="B33" s="175"/>
      <c r="C33" s="175"/>
      <c r="D33" s="216"/>
      <c r="E33" s="175"/>
      <c r="F33" s="156"/>
      <c r="G33" s="217"/>
      <c r="H33" s="155"/>
      <c r="I33" s="155"/>
      <c r="J33" s="155"/>
    </row>
    <row r="34" spans="1:10" ht="21" customHeight="1">
      <c r="A34" s="175"/>
      <c r="B34" s="175"/>
      <c r="C34" s="175"/>
      <c r="D34" s="216"/>
      <c r="E34" s="175"/>
      <c r="F34" s="156"/>
      <c r="G34" s="217"/>
      <c r="H34" s="155"/>
      <c r="I34" s="155"/>
      <c r="J34" s="155"/>
    </row>
    <row r="35" spans="1:10" ht="21" customHeight="1">
      <c r="A35" s="175"/>
      <c r="B35" s="175"/>
      <c r="C35" s="175"/>
      <c r="D35" s="216"/>
      <c r="E35" s="175"/>
      <c r="F35" s="156"/>
      <c r="G35" s="217"/>
      <c r="H35" s="155"/>
      <c r="I35" s="155"/>
      <c r="J35" s="155"/>
    </row>
    <row r="36" spans="1:10" ht="21" customHeight="1">
      <c r="A36" s="175"/>
      <c r="B36" s="175"/>
      <c r="C36" s="175"/>
      <c r="D36" s="216" t="str">
        <f>IF($A36="","",IF($B36="","",IF(OR(Path="Section 11 ECB",Path="2024 GHG Limit"),VLOOKUP($A36,'Lighting Lookup'!$E$2:$G$115,2),VLOOKUP($A36,'Lighting Lookup'!$E$2:$G$115,3))))</f>
        <v/>
      </c>
      <c r="E36" s="175"/>
      <c r="F36" s="156"/>
      <c r="G36" s="217"/>
      <c r="H36" s="155"/>
      <c r="I36" s="155"/>
      <c r="J36" s="155"/>
    </row>
    <row r="37" spans="1:10" ht="21" customHeight="1">
      <c r="A37" s="175"/>
      <c r="B37" s="175"/>
      <c r="C37" s="175"/>
      <c r="D37" s="216" t="str">
        <f>IF($A37="","",IF($B37="","",IF(OR(Path="Section 11 ECB",Path="2024 GHG Limit"),VLOOKUP($A37,'Lighting Lookup'!$E$2:$G$115,2),VLOOKUP($A37,'Lighting Lookup'!$E$2:$G$115,3))))</f>
        <v/>
      </c>
      <c r="E37" s="175"/>
      <c r="F37" s="156"/>
      <c r="G37" s="217"/>
      <c r="H37" s="155"/>
      <c r="I37" s="155"/>
      <c r="J37" s="155"/>
    </row>
    <row r="38" spans="1:10" ht="21" customHeight="1">
      <c r="A38" s="175"/>
      <c r="B38" s="175"/>
      <c r="C38" s="175"/>
      <c r="D38" s="216" t="str">
        <f>IF($A38="","",IF($B38="","",IF(OR(Path="Section 11 ECB",Path="2024 GHG Limit"),VLOOKUP($A38,'Lighting Lookup'!$E$2:$G$115,2),VLOOKUP($A38,'Lighting Lookup'!$E$2:$G$115,3))))</f>
        <v/>
      </c>
      <c r="E38" s="175"/>
      <c r="F38" s="156"/>
      <c r="G38" s="217"/>
      <c r="H38" s="155"/>
      <c r="I38" s="155"/>
      <c r="J38" s="155"/>
    </row>
    <row r="39" spans="1:10" ht="21" customHeight="1">
      <c r="A39" s="175"/>
      <c r="B39" s="175"/>
      <c r="C39" s="175"/>
      <c r="D39" s="216" t="str">
        <f>IF($A39="","",IF($B39="","",IF(OR(Path="Section 11 ECB",Path="2024 GHG Limit"),VLOOKUP($A39,'Lighting Lookup'!$E$2:$G$115,2),VLOOKUP($A39,'Lighting Lookup'!$E$2:$G$115,3))))</f>
        <v/>
      </c>
      <c r="E39" s="175"/>
      <c r="F39" s="156"/>
      <c r="G39" s="217"/>
      <c r="H39" s="155"/>
      <c r="I39" s="155"/>
      <c r="J39" s="155"/>
    </row>
    <row r="40" spans="1:10" ht="21.75" customHeight="1">
      <c r="A40" s="218" t="s">
        <v>119</v>
      </c>
      <c r="B40" s="219" t="str" cm="1">
        <f t="array" ref="B40">IF(B7="","",IF(AND(Modeled_Square_Feet&lt;SUM(B7:B39)+SUM(B7:B39)*0.01,Modeled_Square_Feet&gt;SUM(B7:B39)-SUM(B7:B39)),SUM(B7:B39),"NOT EQUAL TO MODELED AREA"))</f>
        <v/>
      </c>
      <c r="C40" s="220"/>
      <c r="D40" s="221" t="str">
        <f>IF(B40="","",SUMPRODUCT(B7:B39,D7:D39)/B40)</f>
        <v/>
      </c>
      <c r="E40" s="220"/>
      <c r="F40" s="218"/>
      <c r="G40" s="221" t="str">
        <f>IF(G7="","",SUMPRODUCT(B7:B39,G7:G39)/B40)</f>
        <v/>
      </c>
      <c r="H40" s="221"/>
      <c r="I40" s="222"/>
      <c r="J40" s="222"/>
    </row>
    <row r="41" spans="1:10">
      <c r="A41" s="223"/>
      <c r="B41" s="224"/>
      <c r="C41" s="224"/>
      <c r="D41" s="225"/>
      <c r="E41" s="224"/>
      <c r="F41" s="224"/>
      <c r="G41" s="224"/>
      <c r="H41" s="224"/>
      <c r="I41" s="224"/>
      <c r="J41" s="226"/>
    </row>
    <row r="42" spans="1:10">
      <c r="A42" s="227"/>
      <c r="B42" s="228"/>
      <c r="C42" s="228"/>
      <c r="D42" s="229"/>
      <c r="E42" s="228"/>
      <c r="F42" s="228"/>
      <c r="G42" s="228"/>
      <c r="H42" s="228"/>
      <c r="I42" s="228"/>
      <c r="J42" s="230"/>
    </row>
    <row r="43" spans="1:10">
      <c r="A43" s="227"/>
      <c r="B43" s="228"/>
      <c r="C43" s="228"/>
      <c r="D43" s="229"/>
      <c r="E43" s="228"/>
      <c r="F43" s="228"/>
      <c r="G43" s="228"/>
      <c r="H43" s="228"/>
      <c r="I43" s="228"/>
      <c r="J43" s="230"/>
    </row>
    <row r="44" spans="1:10">
      <c r="A44" s="227"/>
      <c r="B44" s="228"/>
      <c r="C44" s="228"/>
      <c r="D44" s="229"/>
      <c r="E44" s="228"/>
      <c r="F44" s="228"/>
      <c r="G44" s="228"/>
      <c r="H44" s="228"/>
      <c r="I44" s="228"/>
      <c r="J44" s="230"/>
    </row>
    <row r="45" spans="1:10">
      <c r="A45" s="227"/>
      <c r="B45" s="228"/>
      <c r="C45" s="228"/>
      <c r="D45" s="229"/>
      <c r="E45" s="228"/>
      <c r="F45" s="228"/>
      <c r="G45" s="228"/>
      <c r="H45" s="228"/>
      <c r="I45" s="228"/>
      <c r="J45" s="230"/>
    </row>
    <row r="46" spans="1:10">
      <c r="A46" s="227"/>
      <c r="B46" s="228"/>
      <c r="C46" s="228"/>
      <c r="D46" s="229"/>
      <c r="E46" s="228"/>
      <c r="F46" s="228"/>
      <c r="G46" s="228"/>
      <c r="H46" s="228"/>
      <c r="I46" s="228"/>
      <c r="J46" s="230"/>
    </row>
    <row r="47" spans="1:10">
      <c r="A47" s="227"/>
      <c r="B47" s="228"/>
      <c r="C47" s="231"/>
      <c r="D47" s="229"/>
      <c r="E47" s="228"/>
      <c r="F47" s="228"/>
      <c r="G47" s="228"/>
      <c r="H47" s="228"/>
      <c r="I47" s="228"/>
      <c r="J47" s="230"/>
    </row>
    <row r="48" spans="1:10">
      <c r="A48" s="227"/>
      <c r="B48" s="228"/>
      <c r="C48" s="228"/>
      <c r="D48" s="229"/>
      <c r="E48" s="228"/>
      <c r="F48" s="228"/>
      <c r="G48" s="228"/>
      <c r="H48" s="228"/>
      <c r="I48" s="228"/>
      <c r="J48" s="230"/>
    </row>
    <row r="49" spans="1:10">
      <c r="A49" s="227"/>
      <c r="B49" s="228"/>
      <c r="C49" s="228"/>
      <c r="D49" s="229"/>
      <c r="E49" s="228"/>
      <c r="F49" s="228"/>
      <c r="G49" s="228"/>
      <c r="H49" s="228"/>
      <c r="I49" s="228"/>
      <c r="J49" s="230"/>
    </row>
    <row r="50" spans="1:10">
      <c r="A50" s="227"/>
      <c r="B50" s="228"/>
      <c r="C50" s="228"/>
      <c r="D50" s="229"/>
      <c r="E50" s="228"/>
      <c r="F50" s="228"/>
      <c r="G50" s="228"/>
      <c r="H50" s="228"/>
      <c r="I50" s="228"/>
      <c r="J50" s="230"/>
    </row>
    <row r="51" spans="1:10">
      <c r="A51" s="227"/>
      <c r="B51" s="228"/>
      <c r="C51" s="228"/>
      <c r="D51" s="229"/>
      <c r="E51" s="228"/>
      <c r="F51" s="228"/>
      <c r="G51" s="228"/>
      <c r="H51" s="228"/>
      <c r="I51" s="228"/>
      <c r="J51" s="230"/>
    </row>
    <row r="52" spans="1:10">
      <c r="A52" s="227"/>
      <c r="B52" s="228"/>
      <c r="C52" s="228"/>
      <c r="D52" s="229"/>
      <c r="E52" s="228"/>
      <c r="F52" s="228"/>
      <c r="G52" s="228"/>
      <c r="H52" s="228"/>
      <c r="I52" s="228"/>
      <c r="J52" s="230"/>
    </row>
    <row r="53" spans="1:10">
      <c r="A53" s="227"/>
      <c r="B53" s="228"/>
      <c r="C53" s="228"/>
      <c r="D53" s="229"/>
      <c r="E53" s="228"/>
      <c r="F53" s="228"/>
      <c r="G53" s="228"/>
      <c r="H53" s="228"/>
      <c r="I53" s="228"/>
      <c r="J53" s="230"/>
    </row>
    <row r="54" spans="1:10">
      <c r="A54" s="227"/>
      <c r="B54" s="228"/>
      <c r="C54" s="228"/>
      <c r="D54" s="229"/>
      <c r="E54" s="228"/>
      <c r="F54" s="228"/>
      <c r="G54" s="228"/>
      <c r="H54" s="228"/>
      <c r="I54" s="228"/>
      <c r="J54" s="230"/>
    </row>
    <row r="55" spans="1:10">
      <c r="A55" s="232"/>
      <c r="B55" s="233"/>
      <c r="C55" s="233"/>
      <c r="D55" s="234"/>
      <c r="E55" s="233"/>
      <c r="F55" s="233"/>
      <c r="G55" s="233"/>
      <c r="H55" s="233"/>
      <c r="I55" s="233"/>
      <c r="J55" s="235"/>
    </row>
  </sheetData>
  <sheetProtection algorithmName="SHA-512" hashValue="xtDoxQGY1lF2a1nsHGL720UohQVJil66xk1jsrRE1g20DZwuRJHHIDQgDKAt7nDOy8fdvOQP+A9YHeogxIzw2A==" saltValue="7J4OI0TPleJEycfBcpNQeg==" spinCount="100000" sheet="1" objects="1" scenarios="1"/>
  <mergeCells count="12">
    <mergeCell ref="A4:A6"/>
    <mergeCell ref="B4:B6"/>
    <mergeCell ref="E5:E6"/>
    <mergeCell ref="B2:J2"/>
    <mergeCell ref="E4:J4"/>
    <mergeCell ref="C4:D4"/>
    <mergeCell ref="I5:I6"/>
    <mergeCell ref="J5:J6"/>
    <mergeCell ref="F5:F6"/>
    <mergeCell ref="C5:C6"/>
    <mergeCell ref="A3:J3"/>
    <mergeCell ref="H5:H6"/>
  </mergeCells>
  <conditionalFormatting sqref="E7:G39 I7:J39">
    <cfRule type="containsBlanks" dxfId="100" priority="6">
      <formula>LEN(TRIM(E7))=0</formula>
    </cfRule>
  </conditionalFormatting>
  <conditionalFormatting sqref="B40">
    <cfRule type="cellIs" dxfId="99" priority="3" operator="equal">
      <formula>"NOT EQUAL TO MODELED AREA"</formula>
    </cfRule>
  </conditionalFormatting>
  <conditionalFormatting sqref="H7:H39">
    <cfRule type="containsBlanks" dxfId="98" priority="2">
      <formula>LEN(TRIM(H7))=0</formula>
    </cfRule>
  </conditionalFormatting>
  <conditionalFormatting sqref="B7:B39">
    <cfRule type="containsBlanks" dxfId="97" priority="1">
      <formula>LEN(TRIM(B7))=0</formula>
    </cfRule>
  </conditionalFormatting>
  <dataValidations disablePrompts="1" count="2">
    <dataValidation type="list" allowBlank="1" showInputMessage="1" showErrorMessage="1" sqref="E7:F39 C7:C39" xr:uid="{00000000-0002-0000-1000-000000000000}">
      <formula1>Yes_No</formula1>
    </dataValidation>
    <dataValidation type="list" allowBlank="1" showInputMessage="1" showErrorMessage="1" sqref="A7:A39" xr:uid="{00000000-0002-0000-1000-000001000000}">
      <formula1>Ltg_Space</formula1>
    </dataValidation>
  </dataValidations>
  <pageMargins left="0.4498611111111111" right="0.640625" top="0.75" bottom="0.75" header="0.3" footer="0.3"/>
  <pageSetup scale="82" orientation="portrait" r:id="rId1"/>
  <headerFooter>
    <oddHeader>&amp;L&amp;G&amp;R
&amp;"Liberation Sans,Bold"&amp;14&amp;K00247DEN97A: GHG Adjustments Form</oddHeader>
    <oddFooter>&amp;L&amp;"Liberation Sans,Regular"Version 1.3&amp;R&amp;"Liberation Sans,Regular"February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38CFC539-1A73-405F-846D-1B9C2E276EC5}">
          <x14:formula1>
            <xm:f>Lists!$L$1:$L$5</xm:f>
          </x14:formula1>
          <xm:sqref>H7:H39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6"/>
  <dimension ref="A1:I122"/>
  <sheetViews>
    <sheetView workbookViewId="0">
      <selection activeCell="E126" sqref="E126"/>
    </sheetView>
  </sheetViews>
  <sheetFormatPr defaultColWidth="8.85546875" defaultRowHeight="15"/>
  <cols>
    <col min="1" max="1" width="21.7109375" bestFit="1" customWidth="1"/>
    <col min="2" max="4" width="4.7109375" style="2" customWidth="1"/>
    <col min="5" max="5" width="47.140625" bestFit="1" customWidth="1"/>
    <col min="6" max="6" width="5.28515625" style="2" customWidth="1"/>
  </cols>
  <sheetData>
    <row r="1" spans="1:9" ht="103.35" customHeight="1">
      <c r="A1" s="3" t="s">
        <v>548</v>
      </c>
      <c r="B1" s="6" t="s">
        <v>549</v>
      </c>
      <c r="C1" s="6" t="s">
        <v>550</v>
      </c>
      <c r="D1" s="6"/>
      <c r="E1" s="3" t="s">
        <v>551</v>
      </c>
      <c r="F1" s="6" t="s">
        <v>552</v>
      </c>
      <c r="G1" s="66" t="s">
        <v>553</v>
      </c>
      <c r="I1" s="3" t="s">
        <v>554</v>
      </c>
    </row>
    <row r="2" spans="1:9">
      <c r="A2" s="4" t="s">
        <v>484</v>
      </c>
      <c r="B2" s="7">
        <v>0.64</v>
      </c>
      <c r="C2" s="7">
        <v>0.9</v>
      </c>
      <c r="D2" s="7"/>
      <c r="E2" s="4" t="s">
        <v>555</v>
      </c>
      <c r="F2" s="8">
        <v>0.03</v>
      </c>
      <c r="G2" s="47">
        <v>3.7499999999999999E-2</v>
      </c>
      <c r="I2" t="s">
        <v>420</v>
      </c>
    </row>
    <row r="3" spans="1:9">
      <c r="A3" s="4" t="s">
        <v>489</v>
      </c>
      <c r="B3" s="7">
        <v>0.7</v>
      </c>
      <c r="C3" s="7">
        <v>1.2</v>
      </c>
      <c r="D3" s="7"/>
      <c r="E3" s="4" t="s">
        <v>556</v>
      </c>
      <c r="F3" s="8">
        <v>0.02</v>
      </c>
      <c r="G3" s="47">
        <v>3.7499999999999999E-2</v>
      </c>
      <c r="I3" t="s">
        <v>557</v>
      </c>
    </row>
    <row r="4" spans="1:9">
      <c r="A4" s="4" t="s">
        <v>490</v>
      </c>
      <c r="B4" s="7">
        <v>0.74</v>
      </c>
      <c r="C4" s="7">
        <v>1.2</v>
      </c>
      <c r="D4" s="7"/>
      <c r="E4" s="4" t="s">
        <v>558</v>
      </c>
      <c r="F4" s="8">
        <v>0.79</v>
      </c>
      <c r="G4" s="2">
        <v>0.9</v>
      </c>
      <c r="I4" t="s">
        <v>559</v>
      </c>
    </row>
    <row r="5" spans="1:9">
      <c r="A5" s="4" t="s">
        <v>491</v>
      </c>
      <c r="B5" s="7">
        <v>0.69</v>
      </c>
      <c r="C5" s="7">
        <v>1.3</v>
      </c>
      <c r="D5" s="7"/>
      <c r="E5" s="4" t="s">
        <v>560</v>
      </c>
      <c r="F5" s="8">
        <v>0.79</v>
      </c>
      <c r="G5" s="2">
        <v>0.9</v>
      </c>
      <c r="I5" t="s">
        <v>561</v>
      </c>
    </row>
    <row r="6" spans="1:9">
      <c r="A6" s="4" t="s">
        <v>492</v>
      </c>
      <c r="B6" s="7">
        <v>0.66</v>
      </c>
      <c r="C6" s="7">
        <v>1.4</v>
      </c>
      <c r="D6" s="7"/>
      <c r="E6" s="4" t="s">
        <v>562</v>
      </c>
      <c r="F6" s="8">
        <v>0.82</v>
      </c>
      <c r="G6" s="2">
        <v>0.7</v>
      </c>
      <c r="I6" t="s">
        <v>563</v>
      </c>
    </row>
    <row r="7" spans="1:9">
      <c r="A7" s="4" t="s">
        <v>493</v>
      </c>
      <c r="B7" s="7">
        <v>0.61</v>
      </c>
      <c r="C7" s="7">
        <v>1.6</v>
      </c>
      <c r="D7" s="7"/>
      <c r="E7" s="4" t="s">
        <v>564</v>
      </c>
      <c r="F7" s="8">
        <v>0.43</v>
      </c>
      <c r="G7" s="2">
        <v>0.3</v>
      </c>
    </row>
    <row r="8" spans="1:9">
      <c r="A8" s="4" t="s">
        <v>247</v>
      </c>
      <c r="B8" s="7">
        <v>0.52</v>
      </c>
      <c r="C8" s="7">
        <v>1</v>
      </c>
      <c r="D8" s="7"/>
      <c r="E8" s="4" t="s">
        <v>565</v>
      </c>
      <c r="F8" s="8">
        <v>0.43</v>
      </c>
      <c r="G8" s="2">
        <v>0.4</v>
      </c>
    </row>
    <row r="9" spans="1:9">
      <c r="A9" s="4" t="s">
        <v>495</v>
      </c>
      <c r="B9" s="7">
        <v>0.65</v>
      </c>
      <c r="C9" s="7">
        <v>1</v>
      </c>
      <c r="D9" s="7"/>
      <c r="E9" s="4" t="s">
        <v>566</v>
      </c>
      <c r="F9" s="8">
        <v>1.1399999999999999</v>
      </c>
      <c r="G9" s="2">
        <v>1.2</v>
      </c>
    </row>
    <row r="10" spans="1:9">
      <c r="A10" s="4" t="s">
        <v>496</v>
      </c>
      <c r="B10" s="7">
        <v>0.5</v>
      </c>
      <c r="C10" s="7">
        <v>1</v>
      </c>
      <c r="D10" s="7"/>
      <c r="E10" s="4" t="s">
        <v>567</v>
      </c>
      <c r="F10" s="8">
        <v>0.43</v>
      </c>
      <c r="G10" s="2">
        <v>0.7</v>
      </c>
    </row>
    <row r="11" spans="1:9">
      <c r="A11" s="4" t="s">
        <v>497</v>
      </c>
      <c r="B11" s="7">
        <v>0.67</v>
      </c>
      <c r="C11" s="7">
        <v>1.1000000000000001</v>
      </c>
      <c r="D11" s="7"/>
      <c r="E11" s="4" t="s">
        <v>568</v>
      </c>
      <c r="F11" s="8">
        <v>2.4300000000000002</v>
      </c>
      <c r="G11" s="2">
        <v>2.6</v>
      </c>
    </row>
    <row r="12" spans="1:9">
      <c r="A12" s="4" t="s">
        <v>498</v>
      </c>
      <c r="B12" s="7">
        <v>0.68</v>
      </c>
      <c r="C12" s="7">
        <v>1</v>
      </c>
      <c r="D12" s="7"/>
      <c r="E12" s="4" t="s">
        <v>569</v>
      </c>
      <c r="F12" s="8">
        <v>1.53</v>
      </c>
      <c r="G12" s="2">
        <v>1.7</v>
      </c>
    </row>
    <row r="13" spans="1:9">
      <c r="A13" s="4" t="s">
        <v>292</v>
      </c>
      <c r="B13" s="7">
        <v>0.86</v>
      </c>
      <c r="C13" s="7">
        <v>1.2</v>
      </c>
      <c r="D13" s="7"/>
      <c r="E13" s="4" t="s">
        <v>570</v>
      </c>
      <c r="F13" s="8">
        <v>0.43</v>
      </c>
      <c r="G13" s="2">
        <v>0.4</v>
      </c>
    </row>
    <row r="14" spans="1:9">
      <c r="A14" s="4" t="s">
        <v>500</v>
      </c>
      <c r="B14" s="7">
        <v>0.7</v>
      </c>
      <c r="C14" s="7">
        <v>1.0900000000000001</v>
      </c>
      <c r="D14" s="7"/>
      <c r="E14" s="4" t="s">
        <v>571</v>
      </c>
      <c r="F14" s="8">
        <v>0.54</v>
      </c>
      <c r="G14" s="2">
        <v>0.5</v>
      </c>
    </row>
    <row r="15" spans="1:9">
      <c r="A15" s="4" t="s">
        <v>501</v>
      </c>
      <c r="B15" s="7">
        <v>0.78</v>
      </c>
      <c r="C15" s="7">
        <v>1.3</v>
      </c>
      <c r="D15" s="7"/>
      <c r="E15" s="4" t="s">
        <v>572</v>
      </c>
      <c r="F15" s="8">
        <v>0.67</v>
      </c>
      <c r="G15" s="2">
        <v>0.7</v>
      </c>
    </row>
    <row r="16" spans="1:9">
      <c r="A16" s="4" t="s">
        <v>502</v>
      </c>
      <c r="B16" s="7">
        <v>0.6</v>
      </c>
      <c r="C16" s="7">
        <v>1.17</v>
      </c>
      <c r="D16" s="7"/>
      <c r="E16" s="4" t="s">
        <v>573</v>
      </c>
      <c r="F16" s="8">
        <v>1.38</v>
      </c>
      <c r="G16" s="2">
        <v>1.5</v>
      </c>
    </row>
    <row r="17" spans="1:8">
      <c r="A17" s="4" t="s">
        <v>503</v>
      </c>
      <c r="B17" s="7">
        <v>0.62</v>
      </c>
      <c r="C17" s="7">
        <v>1.2</v>
      </c>
      <c r="D17" s="7"/>
      <c r="E17" s="4" t="s">
        <v>574</v>
      </c>
      <c r="F17" s="8">
        <v>1.24</v>
      </c>
      <c r="G17" s="2">
        <v>1.4</v>
      </c>
    </row>
    <row r="18" spans="1:8">
      <c r="A18" s="4" t="s">
        <v>252</v>
      </c>
      <c r="B18" s="7">
        <v>0.49</v>
      </c>
      <c r="C18" s="7">
        <v>0.7</v>
      </c>
      <c r="D18" s="7"/>
      <c r="E18" s="4" t="s">
        <v>575</v>
      </c>
      <c r="F18" s="8">
        <v>1.34</v>
      </c>
      <c r="G18" s="2">
        <v>1.3</v>
      </c>
    </row>
    <row r="19" spans="1:8">
      <c r="A19" s="4" t="s">
        <v>504</v>
      </c>
      <c r="B19" s="7">
        <v>0.68</v>
      </c>
      <c r="C19" s="7">
        <v>1.1000000000000001</v>
      </c>
      <c r="D19" s="7"/>
      <c r="E19" s="4" t="s">
        <v>576</v>
      </c>
      <c r="F19" s="8">
        <v>1.23</v>
      </c>
      <c r="G19" s="2">
        <v>2.14</v>
      </c>
      <c r="H19" t="s">
        <v>577</v>
      </c>
    </row>
    <row r="20" spans="1:8">
      <c r="A20" s="4" t="s">
        <v>260</v>
      </c>
      <c r="B20" s="7">
        <v>0.69</v>
      </c>
      <c r="C20" s="7">
        <v>1</v>
      </c>
      <c r="D20" s="7"/>
      <c r="E20" s="5" t="s">
        <v>578</v>
      </c>
      <c r="F20" s="8">
        <v>1.23</v>
      </c>
      <c r="G20" s="2">
        <v>1.3</v>
      </c>
    </row>
    <row r="21" spans="1:8">
      <c r="A21" s="4" t="s">
        <v>505</v>
      </c>
      <c r="B21" s="7">
        <v>0.12</v>
      </c>
      <c r="C21" s="7">
        <v>0.3</v>
      </c>
      <c r="D21" s="7"/>
      <c r="E21" s="5" t="s">
        <v>579</v>
      </c>
      <c r="F21" s="8">
        <v>1.1000000000000001</v>
      </c>
      <c r="G21" s="2">
        <v>0.9</v>
      </c>
    </row>
    <row r="22" spans="1:8">
      <c r="A22" s="4" t="s">
        <v>506</v>
      </c>
      <c r="B22" s="7">
        <v>0.67</v>
      </c>
      <c r="C22" s="7">
        <v>1</v>
      </c>
      <c r="D22" s="7"/>
      <c r="E22" s="4" t="s">
        <v>580</v>
      </c>
      <c r="F22" s="8">
        <v>1.45</v>
      </c>
      <c r="G22" s="2">
        <v>1.3</v>
      </c>
    </row>
    <row r="23" spans="1:8">
      <c r="A23" s="4" t="s">
        <v>507</v>
      </c>
      <c r="B23" s="7">
        <v>0.85</v>
      </c>
      <c r="C23" s="7">
        <v>1.6</v>
      </c>
      <c r="D23" s="7"/>
      <c r="E23" s="5" t="s">
        <v>581</v>
      </c>
      <c r="F23" s="8">
        <v>1.23</v>
      </c>
      <c r="G23" s="2">
        <v>0.9</v>
      </c>
      <c r="H23" t="s">
        <v>577</v>
      </c>
    </row>
    <row r="24" spans="1:8">
      <c r="A24" s="4" t="s">
        <v>508</v>
      </c>
      <c r="B24" s="7">
        <v>0.68</v>
      </c>
      <c r="C24" s="7">
        <v>1</v>
      </c>
      <c r="D24" s="7"/>
      <c r="E24" s="4" t="s">
        <v>582</v>
      </c>
      <c r="F24" s="8">
        <v>0.66</v>
      </c>
      <c r="G24" s="2">
        <v>0.5</v>
      </c>
    </row>
    <row r="25" spans="1:8">
      <c r="A25" s="4" t="s">
        <v>509</v>
      </c>
      <c r="B25" s="7">
        <v>0.62</v>
      </c>
      <c r="C25" s="7">
        <v>1.1000000000000001</v>
      </c>
      <c r="D25" s="7"/>
      <c r="E25" s="5" t="s">
        <v>583</v>
      </c>
      <c r="F25" s="8">
        <v>0.66</v>
      </c>
      <c r="G25" s="2">
        <v>1.1499999999999999</v>
      </c>
      <c r="H25" t="s">
        <v>584</v>
      </c>
    </row>
    <row r="26" spans="1:8">
      <c r="A26" s="4" t="s">
        <v>510</v>
      </c>
      <c r="B26" s="7">
        <v>0.72</v>
      </c>
      <c r="C26" s="7">
        <v>1.3</v>
      </c>
      <c r="D26" s="7"/>
      <c r="E26" s="5" t="s">
        <v>585</v>
      </c>
      <c r="F26" s="8">
        <v>0.89</v>
      </c>
      <c r="G26" s="2">
        <v>1</v>
      </c>
    </row>
    <row r="27" spans="1:8">
      <c r="A27" s="4" t="s">
        <v>266</v>
      </c>
      <c r="B27" s="7">
        <v>0.91</v>
      </c>
      <c r="C27" s="7">
        <v>1.5</v>
      </c>
      <c r="D27" s="7"/>
      <c r="E27" s="5" t="s">
        <v>586</v>
      </c>
      <c r="F27" s="8">
        <v>0.41</v>
      </c>
      <c r="G27" s="2">
        <v>0.5</v>
      </c>
    </row>
    <row r="28" spans="1:8">
      <c r="A28" s="4" t="s">
        <v>511</v>
      </c>
      <c r="B28" s="7">
        <v>0.67</v>
      </c>
      <c r="C28" s="7">
        <v>1.2</v>
      </c>
      <c r="D28" s="7"/>
      <c r="E28" s="4" t="s">
        <v>587</v>
      </c>
      <c r="F28" s="8">
        <v>1.72</v>
      </c>
      <c r="G28" s="2">
        <v>1.9</v>
      </c>
    </row>
    <row r="29" spans="1:8">
      <c r="A29" s="4" t="s">
        <v>512</v>
      </c>
      <c r="B29" s="7">
        <v>0.76</v>
      </c>
      <c r="C29" s="7">
        <v>1.1000000000000001</v>
      </c>
      <c r="D29" s="7"/>
      <c r="E29" s="4" t="s">
        <v>588</v>
      </c>
      <c r="F29" s="8">
        <v>0.65</v>
      </c>
      <c r="G29" s="2">
        <v>0.9</v>
      </c>
    </row>
    <row r="30" spans="1:8">
      <c r="A30" s="4" t="s">
        <v>513</v>
      </c>
      <c r="B30" s="7">
        <v>0.72</v>
      </c>
      <c r="C30" s="7">
        <v>1.1000000000000001</v>
      </c>
      <c r="D30" s="7"/>
      <c r="E30" s="4" t="s">
        <v>589</v>
      </c>
      <c r="F30" s="8">
        <v>1.31</v>
      </c>
      <c r="G30" s="2">
        <v>1.4</v>
      </c>
    </row>
    <row r="31" spans="1:8">
      <c r="A31" s="4" t="s">
        <v>514</v>
      </c>
      <c r="B31" s="7">
        <v>0.51</v>
      </c>
      <c r="C31" s="7">
        <v>1</v>
      </c>
      <c r="D31" s="7"/>
      <c r="E31" s="4" t="s">
        <v>590</v>
      </c>
      <c r="F31" s="8">
        <v>0.65</v>
      </c>
      <c r="G31" s="2">
        <v>0.9</v>
      </c>
      <c r="H31" t="s">
        <v>591</v>
      </c>
    </row>
    <row r="32" spans="1:8">
      <c r="A32" s="4" t="s">
        <v>270</v>
      </c>
      <c r="B32" s="7">
        <v>0.41</v>
      </c>
      <c r="C32" s="7">
        <v>0.8</v>
      </c>
      <c r="D32" s="7"/>
      <c r="E32" s="4" t="s">
        <v>592</v>
      </c>
      <c r="F32" s="8">
        <v>0.65</v>
      </c>
      <c r="G32" s="2">
        <v>3.32</v>
      </c>
      <c r="H32" t="s">
        <v>591</v>
      </c>
    </row>
    <row r="33" spans="1:8">
      <c r="A33" s="4" t="s">
        <v>515</v>
      </c>
      <c r="B33" s="7">
        <v>0.83</v>
      </c>
      <c r="C33" s="7">
        <v>1.4</v>
      </c>
      <c r="D33" s="7"/>
      <c r="E33" s="4" t="s">
        <v>593</v>
      </c>
      <c r="F33" s="8">
        <v>0.89</v>
      </c>
      <c r="G33" s="2">
        <v>2.1</v>
      </c>
    </row>
    <row r="34" spans="1:8">
      <c r="A34" s="4"/>
      <c r="B34" s="8"/>
      <c r="C34" s="8"/>
      <c r="D34" s="8"/>
      <c r="E34" s="12" t="s">
        <v>594</v>
      </c>
      <c r="F34" s="2">
        <v>0.88</v>
      </c>
      <c r="G34" s="2">
        <v>0.9</v>
      </c>
      <c r="H34" t="s">
        <v>595</v>
      </c>
    </row>
    <row r="35" spans="1:8">
      <c r="A35" s="4"/>
      <c r="B35" s="8"/>
      <c r="C35" s="8"/>
      <c r="D35" s="8"/>
      <c r="E35" s="12" t="s">
        <v>596</v>
      </c>
      <c r="F35" s="2">
        <v>0.82</v>
      </c>
      <c r="G35" s="2">
        <v>0.9</v>
      </c>
      <c r="H35" t="s">
        <v>595</v>
      </c>
    </row>
    <row r="36" spans="1:8">
      <c r="A36" s="4"/>
      <c r="B36" s="8"/>
      <c r="C36" s="8"/>
      <c r="D36" s="8"/>
      <c r="E36" s="4" t="s">
        <v>597</v>
      </c>
      <c r="F36" s="8">
        <v>1.07</v>
      </c>
      <c r="G36" s="2">
        <v>1.3</v>
      </c>
    </row>
    <row r="37" spans="1:8">
      <c r="A37" s="4"/>
      <c r="B37" s="8"/>
      <c r="C37" s="8"/>
      <c r="D37" s="8"/>
      <c r="E37" s="4" t="s">
        <v>598</v>
      </c>
      <c r="F37" s="8">
        <v>0.38</v>
      </c>
      <c r="G37" s="2">
        <v>1.1100000000000001</v>
      </c>
    </row>
    <row r="38" spans="1:8">
      <c r="A38" s="4"/>
      <c r="B38" s="8"/>
      <c r="C38" s="8"/>
      <c r="D38" s="8"/>
      <c r="E38" s="4" t="s">
        <v>599</v>
      </c>
      <c r="F38" s="8">
        <v>0.95</v>
      </c>
      <c r="G38" s="2">
        <v>1.5</v>
      </c>
    </row>
    <row r="39" spans="1:8">
      <c r="A39" s="4"/>
      <c r="B39" s="8"/>
      <c r="C39" s="8"/>
      <c r="D39" s="8"/>
      <c r="E39" s="4" t="s">
        <v>600</v>
      </c>
      <c r="F39" s="8">
        <v>0.56000000000000005</v>
      </c>
      <c r="G39" s="2">
        <v>0.8</v>
      </c>
      <c r="H39" t="s">
        <v>601</v>
      </c>
    </row>
    <row r="40" spans="1:8">
      <c r="A40" s="4"/>
      <c r="B40" s="8"/>
      <c r="C40" s="8"/>
      <c r="D40" s="8"/>
      <c r="E40" s="4" t="s">
        <v>602</v>
      </c>
      <c r="F40" s="8">
        <v>1.53</v>
      </c>
      <c r="G40" s="2">
        <v>2.77</v>
      </c>
      <c r="H40" t="s">
        <v>603</v>
      </c>
    </row>
    <row r="41" spans="1:8">
      <c r="A41" s="4"/>
      <c r="B41" s="8"/>
      <c r="C41" s="8"/>
      <c r="D41" s="8"/>
      <c r="E41" s="4" t="s">
        <v>604</v>
      </c>
      <c r="F41" s="8">
        <v>0.73</v>
      </c>
      <c r="G41" s="2">
        <v>3.02</v>
      </c>
      <c r="H41" t="s">
        <v>605</v>
      </c>
    </row>
    <row r="42" spans="1:8">
      <c r="A42" s="4"/>
      <c r="B42" s="8"/>
      <c r="C42" s="8"/>
      <c r="D42" s="8"/>
      <c r="E42" s="4" t="s">
        <v>606</v>
      </c>
      <c r="F42" s="8">
        <v>0.25</v>
      </c>
      <c r="G42" s="2">
        <v>0.3</v>
      </c>
    </row>
    <row r="43" spans="1:8">
      <c r="A43" s="4"/>
      <c r="B43" s="8"/>
      <c r="C43" s="8"/>
      <c r="D43" s="8"/>
      <c r="E43" s="4" t="s">
        <v>607</v>
      </c>
      <c r="F43" s="8">
        <v>0.56000000000000005</v>
      </c>
      <c r="G43" s="2">
        <v>0.8</v>
      </c>
      <c r="H43" t="s">
        <v>608</v>
      </c>
    </row>
    <row r="44" spans="1:8">
      <c r="A44" s="4"/>
      <c r="B44" s="8"/>
      <c r="C44" s="8"/>
      <c r="D44" s="8"/>
      <c r="E44" s="4" t="s">
        <v>609</v>
      </c>
      <c r="F44" s="8">
        <v>0.99</v>
      </c>
      <c r="G44" s="2">
        <v>1.2</v>
      </c>
    </row>
    <row r="45" spans="1:8">
      <c r="A45" s="4"/>
      <c r="B45" s="8"/>
      <c r="C45" s="8"/>
      <c r="D45" s="8"/>
      <c r="E45" s="4" t="s">
        <v>610</v>
      </c>
      <c r="F45" s="8">
        <v>1.1100000000000001</v>
      </c>
      <c r="G45" s="2">
        <v>1.1399999999999999</v>
      </c>
    </row>
    <row r="46" spans="1:8">
      <c r="A46" s="4"/>
      <c r="B46" s="8"/>
      <c r="C46" s="8"/>
      <c r="D46" s="8"/>
      <c r="E46" s="12" t="s">
        <v>611</v>
      </c>
      <c r="F46" s="2">
        <v>0.75</v>
      </c>
      <c r="G46" s="2">
        <v>1.1399999999999999</v>
      </c>
      <c r="H46" t="s">
        <v>612</v>
      </c>
    </row>
    <row r="47" spans="1:8">
      <c r="A47" s="4"/>
      <c r="B47" s="8"/>
      <c r="C47" s="8"/>
      <c r="D47" s="8"/>
      <c r="E47" s="4" t="s">
        <v>613</v>
      </c>
      <c r="F47" s="8">
        <v>1.2</v>
      </c>
      <c r="G47" s="2">
        <v>1.4</v>
      </c>
    </row>
    <row r="48" spans="1:8">
      <c r="A48" s="4"/>
      <c r="B48" s="8"/>
      <c r="C48" s="8"/>
      <c r="D48" s="8"/>
      <c r="E48" s="4" t="s">
        <v>614</v>
      </c>
      <c r="F48" s="8">
        <v>0.72</v>
      </c>
      <c r="G48" s="2">
        <v>0.9</v>
      </c>
    </row>
    <row r="49" spans="1:8">
      <c r="A49" s="4"/>
      <c r="B49" s="8"/>
      <c r="C49" s="8"/>
      <c r="D49" s="8"/>
      <c r="E49" s="4" t="s">
        <v>615</v>
      </c>
      <c r="F49" s="8">
        <v>1.66</v>
      </c>
      <c r="G49" s="2">
        <v>1.5</v>
      </c>
    </row>
    <row r="50" spans="1:8">
      <c r="A50" s="4"/>
      <c r="B50" s="8"/>
      <c r="C50" s="8"/>
      <c r="D50" s="8"/>
      <c r="E50" s="4" t="s">
        <v>616</v>
      </c>
      <c r="F50" s="8">
        <v>1.32</v>
      </c>
      <c r="G50" s="2">
        <v>0.4</v>
      </c>
    </row>
    <row r="51" spans="1:8">
      <c r="A51" s="4"/>
      <c r="B51" s="8"/>
      <c r="C51" s="8"/>
      <c r="D51" s="8"/>
      <c r="E51" s="4" t="s">
        <v>617</v>
      </c>
      <c r="F51" s="8">
        <v>1.27</v>
      </c>
      <c r="G51" s="2">
        <v>1.4</v>
      </c>
    </row>
    <row r="52" spans="1:8">
      <c r="A52" s="4"/>
      <c r="B52" s="8"/>
      <c r="C52" s="8"/>
      <c r="D52" s="8"/>
      <c r="E52" s="4" t="s">
        <v>618</v>
      </c>
      <c r="F52" s="8">
        <v>0.88</v>
      </c>
      <c r="G52" s="2">
        <v>0.6</v>
      </c>
    </row>
    <row r="53" spans="1:8">
      <c r="A53" s="4"/>
      <c r="B53" s="8"/>
      <c r="C53" s="8"/>
      <c r="D53" s="8"/>
      <c r="E53" s="4" t="s">
        <v>619</v>
      </c>
      <c r="F53" s="8">
        <v>0.87</v>
      </c>
      <c r="G53" s="2">
        <v>1</v>
      </c>
    </row>
    <row r="54" spans="1:8">
      <c r="A54" s="4"/>
      <c r="B54" s="8"/>
      <c r="C54" s="8"/>
      <c r="D54" s="8"/>
      <c r="E54" s="4" t="s">
        <v>620</v>
      </c>
      <c r="F54" s="8">
        <v>1.89</v>
      </c>
      <c r="G54" s="2">
        <v>2.2000000000000002</v>
      </c>
    </row>
    <row r="55" spans="1:8">
      <c r="A55" s="4"/>
      <c r="B55" s="8"/>
      <c r="C55" s="8"/>
      <c r="D55" s="8"/>
      <c r="E55" s="4" t="s">
        <v>621</v>
      </c>
      <c r="F55" s="8">
        <v>0.62</v>
      </c>
      <c r="G55" s="2">
        <v>0.7</v>
      </c>
    </row>
    <row r="56" spans="1:8">
      <c r="A56" s="4"/>
      <c r="B56" s="8"/>
      <c r="C56" s="8"/>
      <c r="D56" s="8"/>
      <c r="E56" s="4" t="s">
        <v>622</v>
      </c>
      <c r="F56" s="8">
        <v>0.91</v>
      </c>
      <c r="G56" s="2">
        <v>0.9</v>
      </c>
    </row>
    <row r="57" spans="1:8">
      <c r="A57" s="4"/>
      <c r="B57" s="8"/>
      <c r="C57" s="8"/>
      <c r="D57" s="8"/>
      <c r="E57" s="4" t="s">
        <v>623</v>
      </c>
      <c r="F57" s="8">
        <v>1.1499999999999999</v>
      </c>
      <c r="G57" s="2">
        <v>0.8</v>
      </c>
    </row>
    <row r="58" spans="1:8">
      <c r="A58" s="4"/>
      <c r="B58" s="8"/>
      <c r="C58" s="8"/>
      <c r="D58" s="8"/>
      <c r="E58" s="4" t="s">
        <v>624</v>
      </c>
      <c r="F58" s="8">
        <v>2.2599999999999998</v>
      </c>
      <c r="G58" s="2">
        <v>2.7</v>
      </c>
      <c r="H58" t="s">
        <v>625</v>
      </c>
    </row>
    <row r="59" spans="1:8">
      <c r="A59" s="4"/>
      <c r="B59" s="8"/>
      <c r="C59" s="8"/>
      <c r="D59" s="8"/>
      <c r="E59" s="4" t="s">
        <v>626</v>
      </c>
      <c r="F59" s="8">
        <v>1.17</v>
      </c>
      <c r="G59" s="2">
        <v>1.3</v>
      </c>
    </row>
    <row r="60" spans="1:8">
      <c r="A60" s="4"/>
      <c r="B60" s="8"/>
      <c r="C60" s="8"/>
      <c r="D60" s="8"/>
      <c r="E60" s="4" t="s">
        <v>627</v>
      </c>
      <c r="F60" s="8">
        <v>1.28</v>
      </c>
      <c r="G60" s="2">
        <v>1.4</v>
      </c>
    </row>
    <row r="61" spans="1:8">
      <c r="A61" s="4"/>
      <c r="B61" s="8"/>
      <c r="C61" s="8"/>
      <c r="D61" s="8"/>
      <c r="E61" s="4" t="s">
        <v>628</v>
      </c>
      <c r="F61" s="8">
        <v>1.81</v>
      </c>
      <c r="G61" s="2">
        <v>1.4</v>
      </c>
    </row>
    <row r="62" spans="1:8">
      <c r="A62" s="4"/>
      <c r="B62" s="8"/>
      <c r="C62" s="8"/>
      <c r="D62" s="8"/>
      <c r="E62" s="4" t="s">
        <v>629</v>
      </c>
      <c r="F62" s="8">
        <v>0.6</v>
      </c>
      <c r="G62" s="2">
        <v>0.6</v>
      </c>
    </row>
    <row r="63" spans="1:8">
      <c r="A63" s="4"/>
      <c r="B63" s="8"/>
      <c r="C63" s="8"/>
      <c r="D63" s="8"/>
      <c r="E63" s="12" t="s">
        <v>630</v>
      </c>
      <c r="F63" s="2">
        <v>0.72</v>
      </c>
      <c r="G63" s="2">
        <v>1.7</v>
      </c>
      <c r="H63" t="s">
        <v>631</v>
      </c>
    </row>
    <row r="64" spans="1:8">
      <c r="A64" s="4"/>
      <c r="B64" s="8"/>
      <c r="C64" s="8"/>
      <c r="D64" s="8"/>
      <c r="E64" s="4" t="s">
        <v>632</v>
      </c>
      <c r="F64" s="8">
        <v>0.93</v>
      </c>
      <c r="G64" s="2">
        <v>1.2</v>
      </c>
    </row>
    <row r="65" spans="1:8">
      <c r="A65" s="4"/>
      <c r="B65" s="8"/>
      <c r="C65" s="8"/>
      <c r="D65" s="8"/>
      <c r="E65" s="4" t="s">
        <v>633</v>
      </c>
      <c r="F65" s="8">
        <v>1.71</v>
      </c>
      <c r="G65" s="2">
        <v>1.7</v>
      </c>
      <c r="H65" t="s">
        <v>634</v>
      </c>
    </row>
    <row r="66" spans="1:8">
      <c r="A66" s="4"/>
      <c r="B66" s="8"/>
      <c r="C66" s="8"/>
      <c r="D66" s="8"/>
      <c r="E66" s="4" t="s">
        <v>635</v>
      </c>
      <c r="F66" s="8">
        <v>0.57999999999999996</v>
      </c>
      <c r="G66" s="2">
        <v>0.59</v>
      </c>
    </row>
    <row r="67" spans="1:8">
      <c r="A67" s="4"/>
      <c r="B67" s="8"/>
      <c r="C67" s="8"/>
      <c r="D67" s="8"/>
      <c r="E67" s="4" t="s">
        <v>636</v>
      </c>
      <c r="F67" s="8">
        <v>0.9</v>
      </c>
      <c r="G67" s="2">
        <v>1.3</v>
      </c>
    </row>
    <row r="68" spans="1:8">
      <c r="A68" s="4"/>
      <c r="B68" s="8"/>
      <c r="C68" s="8"/>
      <c r="D68" s="8"/>
      <c r="E68" s="4" t="s">
        <v>637</v>
      </c>
      <c r="F68" s="8">
        <v>0.64</v>
      </c>
      <c r="G68" s="2">
        <v>0.8</v>
      </c>
      <c r="H68" t="s">
        <v>638</v>
      </c>
    </row>
    <row r="69" spans="1:8">
      <c r="A69" s="4"/>
      <c r="B69" s="8"/>
      <c r="C69" s="8"/>
      <c r="D69" s="8"/>
      <c r="E69" s="4" t="s">
        <v>639</v>
      </c>
      <c r="F69" s="8">
        <v>0.9</v>
      </c>
      <c r="G69" s="2">
        <v>2.2599999999999998</v>
      </c>
    </row>
    <row r="70" spans="1:8">
      <c r="A70" s="4"/>
      <c r="B70" s="8"/>
      <c r="C70" s="8"/>
      <c r="D70" s="8"/>
      <c r="E70" s="4" t="s">
        <v>640</v>
      </c>
      <c r="F70" s="8">
        <v>1.06</v>
      </c>
      <c r="G70" s="2">
        <v>1.1000000000000001</v>
      </c>
    </row>
    <row r="71" spans="1:8">
      <c r="A71" s="4"/>
      <c r="B71" s="8"/>
      <c r="C71" s="8"/>
      <c r="D71" s="8"/>
      <c r="E71" s="4" t="s">
        <v>641</v>
      </c>
      <c r="F71" s="8">
        <v>0.52</v>
      </c>
      <c r="G71" s="2">
        <v>1.1000000000000001</v>
      </c>
    </row>
    <row r="72" spans="1:8">
      <c r="A72" s="4"/>
      <c r="B72" s="8"/>
      <c r="C72" s="8"/>
      <c r="D72" s="8"/>
      <c r="E72" s="4" t="s">
        <v>642</v>
      </c>
      <c r="F72" s="8">
        <v>2</v>
      </c>
      <c r="G72" s="2">
        <v>3.3</v>
      </c>
    </row>
    <row r="73" spans="1:8">
      <c r="A73" s="4"/>
      <c r="B73" s="8"/>
      <c r="C73" s="8"/>
      <c r="D73" s="8"/>
      <c r="E73" s="4" t="s">
        <v>643</v>
      </c>
      <c r="F73" s="8">
        <v>0.75</v>
      </c>
      <c r="G73" s="2">
        <v>0.6</v>
      </c>
    </row>
    <row r="74" spans="1:8">
      <c r="A74" s="4"/>
      <c r="B74" s="8"/>
      <c r="C74" s="8"/>
      <c r="D74" s="8"/>
      <c r="E74" s="4" t="s">
        <v>644</v>
      </c>
      <c r="F74" s="8">
        <v>0.73</v>
      </c>
      <c r="G74" s="2">
        <v>1.2</v>
      </c>
    </row>
    <row r="75" spans="1:8">
      <c r="A75" s="4"/>
      <c r="B75" s="8"/>
      <c r="C75" s="8"/>
      <c r="D75" s="8"/>
      <c r="E75" s="4" t="s">
        <v>645</v>
      </c>
      <c r="F75" s="8">
        <v>1.07</v>
      </c>
      <c r="G75" s="2">
        <v>0.8</v>
      </c>
    </row>
    <row r="76" spans="1:8">
      <c r="A76" s="4"/>
      <c r="B76" s="8"/>
      <c r="C76" s="8"/>
      <c r="D76" s="8"/>
      <c r="E76" s="4" t="s">
        <v>646</v>
      </c>
      <c r="F76" s="8">
        <v>1.29</v>
      </c>
      <c r="G76" s="2">
        <v>2.1</v>
      </c>
    </row>
    <row r="77" spans="1:8">
      <c r="A77" s="4"/>
      <c r="B77" s="8"/>
      <c r="C77" s="8"/>
      <c r="D77" s="8"/>
      <c r="E77" s="4" t="s">
        <v>647</v>
      </c>
      <c r="F77" s="8">
        <v>0.95</v>
      </c>
      <c r="G77" s="2">
        <v>1.2</v>
      </c>
    </row>
    <row r="78" spans="1:8">
      <c r="A78" s="4"/>
      <c r="B78" s="8"/>
      <c r="C78" s="8"/>
      <c r="D78" s="8"/>
      <c r="E78" s="4" t="s">
        <v>648</v>
      </c>
      <c r="F78" s="8">
        <v>1.05</v>
      </c>
      <c r="G78" s="2">
        <v>1.32</v>
      </c>
    </row>
    <row r="79" spans="1:8">
      <c r="A79" s="4"/>
      <c r="B79" s="8"/>
      <c r="C79" s="8"/>
      <c r="D79" s="8"/>
      <c r="E79" s="4" t="s">
        <v>649</v>
      </c>
      <c r="F79" s="8">
        <v>1.23</v>
      </c>
      <c r="G79" s="2">
        <v>1.7</v>
      </c>
    </row>
    <row r="80" spans="1:8">
      <c r="A80" s="4"/>
      <c r="B80" s="8"/>
      <c r="C80" s="8"/>
      <c r="D80" s="8"/>
      <c r="E80" s="4" t="s">
        <v>650</v>
      </c>
      <c r="F80" s="8">
        <v>1.19</v>
      </c>
      <c r="G80" s="2">
        <v>1.2</v>
      </c>
      <c r="H80" t="s">
        <v>651</v>
      </c>
    </row>
    <row r="81" spans="1:8">
      <c r="A81" s="4"/>
      <c r="B81" s="8"/>
      <c r="C81" s="8"/>
      <c r="D81" s="8"/>
      <c r="E81" s="4" t="s">
        <v>652</v>
      </c>
      <c r="F81" s="8">
        <v>0.6</v>
      </c>
      <c r="G81" s="2">
        <v>0.7</v>
      </c>
    </row>
    <row r="82" spans="1:8">
      <c r="A82" s="4"/>
      <c r="B82" s="8"/>
      <c r="C82" s="8"/>
      <c r="D82" s="8"/>
      <c r="E82" s="4" t="s">
        <v>653</v>
      </c>
      <c r="F82" s="8">
        <v>1.05</v>
      </c>
      <c r="G82" s="2">
        <v>1</v>
      </c>
    </row>
    <row r="83" spans="1:8">
      <c r="A83" s="4"/>
      <c r="B83" s="8"/>
      <c r="C83" s="8"/>
      <c r="D83" s="8"/>
      <c r="E83" s="4" t="s">
        <v>654</v>
      </c>
      <c r="F83" s="8">
        <v>1.02</v>
      </c>
      <c r="G83" s="2">
        <v>1.7</v>
      </c>
    </row>
    <row r="84" spans="1:8">
      <c r="A84" s="4"/>
      <c r="B84" s="8"/>
      <c r="C84" s="8"/>
      <c r="D84" s="8"/>
      <c r="E84" s="4" t="s">
        <v>655</v>
      </c>
      <c r="F84" s="8">
        <v>1.1100000000000001</v>
      </c>
      <c r="G84" s="2">
        <v>1.1000000000000001</v>
      </c>
    </row>
    <row r="85" spans="1:8">
      <c r="A85" s="4"/>
      <c r="B85" s="8"/>
      <c r="C85" s="8"/>
      <c r="D85" s="8"/>
      <c r="E85" s="4" t="s">
        <v>656</v>
      </c>
      <c r="F85" s="8">
        <v>1.1100000000000001</v>
      </c>
      <c r="G85" s="2">
        <v>1.1000000000000001</v>
      </c>
    </row>
    <row r="86" spans="1:8">
      <c r="A86" s="4"/>
      <c r="B86" s="8"/>
      <c r="C86" s="8"/>
      <c r="D86" s="8"/>
      <c r="E86" s="4" t="s">
        <v>657</v>
      </c>
      <c r="F86" s="8">
        <v>0.98</v>
      </c>
      <c r="G86" s="2">
        <v>1.1000000000000001</v>
      </c>
    </row>
    <row r="87" spans="1:8">
      <c r="A87" s="4"/>
      <c r="B87" s="8"/>
      <c r="C87" s="8"/>
      <c r="D87" s="8"/>
      <c r="E87" s="4" t="s">
        <v>658</v>
      </c>
      <c r="F87" s="8">
        <v>0.19</v>
      </c>
      <c r="G87" s="2">
        <v>0.2</v>
      </c>
      <c r="H87" t="s">
        <v>659</v>
      </c>
    </row>
    <row r="88" spans="1:8">
      <c r="A88" s="4"/>
      <c r="B88" s="8"/>
      <c r="C88" s="8"/>
      <c r="D88" s="8"/>
      <c r="E88" s="4" t="s">
        <v>660</v>
      </c>
      <c r="F88" s="8">
        <v>0.4</v>
      </c>
      <c r="G88" s="2">
        <v>0.6</v>
      </c>
    </row>
    <row r="89" spans="1:8">
      <c r="A89" s="4"/>
      <c r="B89" s="8"/>
      <c r="C89" s="8"/>
      <c r="D89" s="8"/>
      <c r="E89" s="4" t="s">
        <v>661</v>
      </c>
      <c r="F89" s="8">
        <v>1.1399999999999999</v>
      </c>
      <c r="G89" s="2">
        <v>1.2</v>
      </c>
    </row>
    <row r="90" spans="1:8">
      <c r="A90" s="4"/>
      <c r="B90" s="8"/>
      <c r="C90" s="8"/>
      <c r="D90" s="8"/>
      <c r="E90" s="4" t="s">
        <v>662</v>
      </c>
      <c r="F90" s="8">
        <v>0.94</v>
      </c>
      <c r="G90" s="2">
        <v>1.2</v>
      </c>
    </row>
    <row r="91" spans="1:8">
      <c r="A91" s="4"/>
      <c r="B91" s="8"/>
      <c r="C91" s="8"/>
      <c r="D91" s="8"/>
      <c r="E91" s="4" t="s">
        <v>663</v>
      </c>
      <c r="F91" s="8">
        <v>0.64</v>
      </c>
      <c r="G91" s="2">
        <v>0.9</v>
      </c>
    </row>
    <row r="92" spans="1:8">
      <c r="A92" s="4"/>
      <c r="B92" s="8"/>
      <c r="C92" s="8"/>
      <c r="D92" s="8"/>
      <c r="E92" s="4" t="s">
        <v>664</v>
      </c>
      <c r="F92" s="8">
        <v>1.53</v>
      </c>
      <c r="G92" s="2">
        <v>2.4</v>
      </c>
    </row>
    <row r="93" spans="1:8">
      <c r="E93" s="4" t="s">
        <v>665</v>
      </c>
      <c r="F93" s="8">
        <v>0.98</v>
      </c>
      <c r="G93" s="2">
        <v>0.9</v>
      </c>
      <c r="H93" t="s">
        <v>666</v>
      </c>
    </row>
    <row r="94" spans="1:8">
      <c r="E94" s="4" t="s">
        <v>667</v>
      </c>
      <c r="F94" s="8">
        <v>0.98</v>
      </c>
      <c r="G94" s="2">
        <v>1.52</v>
      </c>
    </row>
    <row r="95" spans="1:8">
      <c r="E95" s="4" t="s">
        <v>668</v>
      </c>
      <c r="F95" s="8">
        <v>0.87</v>
      </c>
      <c r="G95" s="2">
        <v>0.89</v>
      </c>
    </row>
    <row r="96" spans="1:8">
      <c r="E96" s="4" t="s">
        <v>669</v>
      </c>
      <c r="F96" s="8">
        <v>1.1000000000000001</v>
      </c>
      <c r="G96" s="2">
        <v>1.7</v>
      </c>
    </row>
    <row r="97" spans="5:8">
      <c r="E97" s="4" t="s">
        <v>670</v>
      </c>
      <c r="F97" s="8">
        <v>1.68</v>
      </c>
      <c r="G97" s="2">
        <v>1.7</v>
      </c>
      <c r="H97" t="s">
        <v>671</v>
      </c>
    </row>
    <row r="98" spans="5:8">
      <c r="E98" s="4" t="s">
        <v>672</v>
      </c>
      <c r="F98" s="8">
        <v>0.79</v>
      </c>
      <c r="G98" s="2">
        <v>0.68</v>
      </c>
    </row>
    <row r="99" spans="5:8">
      <c r="E99" s="12" t="s">
        <v>673</v>
      </c>
      <c r="F99" s="2">
        <v>2.68</v>
      </c>
      <c r="G99" s="2">
        <v>3.01</v>
      </c>
      <c r="H99" s="4" t="s">
        <v>674</v>
      </c>
    </row>
    <row r="100" spans="5:8">
      <c r="E100" s="4" t="s">
        <v>675</v>
      </c>
      <c r="F100" s="8">
        <v>3.01</v>
      </c>
      <c r="G100" s="2">
        <v>4.6100000000000003</v>
      </c>
    </row>
    <row r="101" spans="5:8">
      <c r="E101" s="4" t="s">
        <v>674</v>
      </c>
      <c r="F101" s="8">
        <v>1.92</v>
      </c>
      <c r="G101" s="2">
        <v>3.01</v>
      </c>
    </row>
    <row r="102" spans="5:8">
      <c r="E102" s="4" t="s">
        <v>676</v>
      </c>
      <c r="F102" s="8">
        <v>1.2</v>
      </c>
      <c r="G102" s="2">
        <v>2.2599999999999998</v>
      </c>
    </row>
    <row r="103" spans="5:8">
      <c r="E103" s="4" t="s">
        <v>677</v>
      </c>
      <c r="F103" s="8">
        <v>0.72</v>
      </c>
      <c r="G103" s="2">
        <v>1.5</v>
      </c>
    </row>
    <row r="104" spans="5:8">
      <c r="E104" s="4" t="s">
        <v>678</v>
      </c>
      <c r="F104" s="8">
        <v>0.69</v>
      </c>
      <c r="G104" s="2">
        <v>0.6</v>
      </c>
    </row>
    <row r="105" spans="5:8">
      <c r="E105" s="4" t="s">
        <v>679</v>
      </c>
      <c r="F105" s="8">
        <v>0.63</v>
      </c>
      <c r="G105" s="2">
        <v>0.8</v>
      </c>
      <c r="H105" t="s">
        <v>680</v>
      </c>
    </row>
    <row r="106" spans="5:8">
      <c r="E106" s="4" t="s">
        <v>681</v>
      </c>
      <c r="F106" s="8">
        <v>0.63</v>
      </c>
      <c r="G106" s="2">
        <v>0.9</v>
      </c>
    </row>
    <row r="107" spans="5:8">
      <c r="E107" s="4" t="s">
        <v>682</v>
      </c>
      <c r="F107" s="8">
        <v>0.63</v>
      </c>
      <c r="G107" s="2">
        <v>0.8</v>
      </c>
    </row>
    <row r="108" spans="5:8">
      <c r="E108" s="4" t="s">
        <v>683</v>
      </c>
      <c r="F108" s="8">
        <v>0.63</v>
      </c>
      <c r="G108" s="2">
        <v>0.8</v>
      </c>
    </row>
    <row r="109" spans="5:8">
      <c r="E109" s="4" t="s">
        <v>684</v>
      </c>
      <c r="F109" s="8">
        <v>0.36</v>
      </c>
      <c r="G109" s="2">
        <v>0.6</v>
      </c>
    </row>
    <row r="110" spans="5:8">
      <c r="E110" s="4" t="s">
        <v>685</v>
      </c>
      <c r="F110" s="8">
        <v>0.76</v>
      </c>
      <c r="G110" s="2">
        <v>1</v>
      </c>
    </row>
    <row r="111" spans="5:8">
      <c r="E111" s="4" t="s">
        <v>686</v>
      </c>
      <c r="F111" s="8">
        <v>1.08</v>
      </c>
      <c r="G111" s="2">
        <v>1.5</v>
      </c>
      <c r="H111" t="s">
        <v>687</v>
      </c>
    </row>
    <row r="112" spans="5:8">
      <c r="E112" s="4" t="s">
        <v>688</v>
      </c>
      <c r="F112" s="8">
        <v>0.67</v>
      </c>
      <c r="G112" s="2">
        <v>0.7</v>
      </c>
    </row>
    <row r="113" spans="4:7">
      <c r="E113" s="4" t="s">
        <v>689</v>
      </c>
      <c r="F113" s="8">
        <v>0.57999999999999996</v>
      </c>
      <c r="G113" s="2">
        <v>0.9</v>
      </c>
    </row>
    <row r="114" spans="4:7">
      <c r="E114" s="4" t="s">
        <v>690</v>
      </c>
      <c r="F114" s="8">
        <v>0.95</v>
      </c>
      <c r="G114" s="2">
        <v>1.4</v>
      </c>
    </row>
    <row r="115" spans="4:7">
      <c r="E115" s="4" t="s">
        <v>515</v>
      </c>
      <c r="F115" s="8">
        <v>1.59</v>
      </c>
      <c r="G115" s="2">
        <v>1.9</v>
      </c>
    </row>
    <row r="116" spans="4:7">
      <c r="E116" s="4"/>
      <c r="F116" s="8"/>
    </row>
    <row r="117" spans="4:7">
      <c r="D117" s="2" t="s">
        <v>691</v>
      </c>
      <c r="E117" s="12" t="s">
        <v>692</v>
      </c>
      <c r="F117" s="2" t="s">
        <v>693</v>
      </c>
      <c r="G117" s="2" t="s">
        <v>694</v>
      </c>
    </row>
    <row r="118" spans="4:7">
      <c r="D118" s="11">
        <v>0</v>
      </c>
      <c r="E118" s="12" t="s">
        <v>695</v>
      </c>
      <c r="F118" s="11">
        <v>0</v>
      </c>
      <c r="G118" s="11">
        <v>0</v>
      </c>
    </row>
    <row r="119" spans="4:7">
      <c r="D119" s="11">
        <v>1</v>
      </c>
      <c r="E119" s="12" t="s">
        <v>696</v>
      </c>
      <c r="F119" s="11">
        <v>500</v>
      </c>
      <c r="G119" s="11">
        <v>0</v>
      </c>
    </row>
    <row r="120" spans="4:7">
      <c r="D120" s="11">
        <v>2</v>
      </c>
      <c r="E120" s="12" t="s">
        <v>697</v>
      </c>
      <c r="F120" s="11">
        <v>600</v>
      </c>
      <c r="G120" s="11">
        <v>0</v>
      </c>
    </row>
    <row r="121" spans="4:7">
      <c r="D121" s="11">
        <v>3</v>
      </c>
      <c r="E121" s="12" t="s">
        <v>698</v>
      </c>
      <c r="F121" s="11">
        <v>750</v>
      </c>
      <c r="G121" s="11">
        <v>0</v>
      </c>
    </row>
    <row r="122" spans="4:7">
      <c r="D122" s="11">
        <v>4</v>
      </c>
      <c r="E122" s="12" t="s">
        <v>699</v>
      </c>
      <c r="F122" s="11">
        <v>1300</v>
      </c>
      <c r="G122" s="11">
        <v>0</v>
      </c>
    </row>
  </sheetData>
  <sortState xmlns:xlrd2="http://schemas.microsoft.com/office/spreadsheetml/2017/richdata2" ref="E2:H115">
    <sortCondition ref="E2:E115"/>
  </sortState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8F653-585A-4742-A588-077CF9753B0C}">
  <sheetPr codeName="Sheet42"/>
  <dimension ref="A2:W39"/>
  <sheetViews>
    <sheetView view="pageLayout" zoomScale="90" zoomScaleNormal="110" zoomScaleSheetLayoutView="90" zoomScalePageLayoutView="90" workbookViewId="0">
      <selection activeCell="L1" sqref="L1"/>
    </sheetView>
  </sheetViews>
  <sheetFormatPr defaultColWidth="8.85546875" defaultRowHeight="14.25"/>
  <cols>
    <col min="1" max="1" width="5" style="186" customWidth="1"/>
    <col min="2" max="2" width="11.140625" style="186" customWidth="1"/>
    <col min="3" max="3" width="10.7109375" style="186" customWidth="1"/>
    <col min="4" max="4" width="11" style="186" customWidth="1"/>
    <col min="5" max="5" width="9.28515625" style="187" customWidth="1"/>
    <col min="6" max="6" width="10.7109375" style="186" customWidth="1"/>
    <col min="7" max="7" width="6.28515625" style="186" customWidth="1"/>
    <col min="8" max="8" width="10.140625" style="186" customWidth="1"/>
    <col min="9" max="9" width="9.7109375" style="186" customWidth="1"/>
    <col min="10" max="10" width="10.85546875" style="186" customWidth="1"/>
    <col min="11" max="11" width="6.7109375" style="94" customWidth="1"/>
    <col min="12" max="12" width="16.140625" style="94" customWidth="1"/>
    <col min="13" max="13" width="8.85546875" style="94"/>
    <col min="14" max="14" width="5.42578125" style="94" customWidth="1"/>
    <col min="15" max="16" width="6.7109375" style="94" customWidth="1"/>
    <col min="17" max="17" width="8.85546875" style="94" customWidth="1"/>
    <col min="18" max="18" width="2.28515625" style="94" customWidth="1"/>
    <col min="19" max="19" width="9" style="94" customWidth="1"/>
    <col min="20" max="16384" width="8.85546875" style="94"/>
  </cols>
  <sheetData>
    <row r="2" spans="1:23" ht="14.45" customHeight="1">
      <c r="A2" s="188" t="s">
        <v>700</v>
      </c>
      <c r="B2" s="396" t="s">
        <v>701</v>
      </c>
      <c r="C2" s="396"/>
      <c r="D2" s="396"/>
      <c r="E2" s="396"/>
      <c r="F2" s="396"/>
      <c r="G2" s="396"/>
      <c r="H2" s="94"/>
      <c r="I2" s="94"/>
      <c r="J2" s="94"/>
    </row>
    <row r="3" spans="1:23" ht="14.45" customHeight="1">
      <c r="A3" s="459" t="str">
        <f>CONCATENATE("Compliance based on ",IF(Path="","",Path))</f>
        <v>Compliance based on Section 11 ECB</v>
      </c>
      <c r="B3" s="459"/>
      <c r="C3" s="459"/>
      <c r="D3" s="459"/>
      <c r="E3" s="459"/>
      <c r="F3" s="459"/>
      <c r="G3" s="459"/>
      <c r="H3" s="94"/>
      <c r="I3" s="94"/>
      <c r="J3" s="94"/>
    </row>
    <row r="4" spans="1:23" ht="33.75">
      <c r="A4" s="458"/>
      <c r="B4" s="458"/>
      <c r="C4" s="176" t="s">
        <v>702</v>
      </c>
      <c r="D4" s="176" t="s">
        <v>703</v>
      </c>
      <c r="E4" s="154" t="s">
        <v>107</v>
      </c>
      <c r="F4" s="176" t="s">
        <v>108</v>
      </c>
      <c r="G4" s="176" t="s">
        <v>109</v>
      </c>
      <c r="H4" s="94"/>
      <c r="I4" s="94"/>
      <c r="J4" s="94"/>
    </row>
    <row r="5" spans="1:23" ht="20.25" customHeight="1">
      <c r="A5" s="458" t="s">
        <v>704</v>
      </c>
      <c r="B5" s="458"/>
      <c r="C5" s="180" t="str">
        <f>IF(SUM('6e. Ext LPD'!J15:J28)=0,"",SUM('6e. Ext LPD'!J15:J28))</f>
        <v/>
      </c>
      <c r="D5" s="180" t="str">
        <f>IF(SUM('6e. Ext LPD'!I15:I28)=0,"",SUM('6e. Ext LPD'!I15:I28))</f>
        <v/>
      </c>
      <c r="E5" s="155"/>
      <c r="F5" s="155"/>
      <c r="G5" s="155"/>
      <c r="H5" s="94"/>
      <c r="I5" s="94"/>
      <c r="J5" s="94"/>
    </row>
    <row r="6" spans="1:23" ht="20.25" customHeight="1">
      <c r="A6" s="458" t="s">
        <v>705</v>
      </c>
      <c r="B6" s="458"/>
      <c r="C6" s="189" t="str">
        <f>IF(SUM('6e. Ext LPD'!J29:J37)=0,"",SUM('6e. Ext LPD'!J29:J37))</f>
        <v/>
      </c>
      <c r="D6" s="180" t="str">
        <f>IF(SUM('6e. Ext LPD'!I29:I37)=0,"",SUM('6e. Ext LPD'!I29:I37))</f>
        <v/>
      </c>
      <c r="E6" s="155"/>
      <c r="F6" s="155"/>
      <c r="G6" s="155"/>
      <c r="H6" s="94"/>
      <c r="I6" s="94"/>
      <c r="J6" s="94"/>
    </row>
    <row r="7" spans="1:23" ht="20.25" customHeight="1">
      <c r="A7" s="458" t="s">
        <v>706</v>
      </c>
      <c r="B7" s="458"/>
      <c r="C7" s="189" t="str">
        <f>IF(AND(C5="",C6=""),"",'6e. Ext LPD'!B12)</f>
        <v/>
      </c>
      <c r="D7" s="190"/>
      <c r="E7" s="190"/>
      <c r="F7" s="155"/>
      <c r="G7" s="155"/>
      <c r="H7" s="94"/>
      <c r="I7" s="94"/>
      <c r="J7" s="94"/>
    </row>
    <row r="8" spans="1:23" ht="20.25" customHeight="1">
      <c r="A8" s="460" t="s">
        <v>707</v>
      </c>
      <c r="B8" s="460"/>
      <c r="C8" s="191" t="str">
        <f>IF(AND(C5="",C6=""),"",SUM(C5:C7))</f>
        <v/>
      </c>
      <c r="D8" s="192" t="str">
        <f>IF(AND(D5="",D6=""),"",SUM(D5:D6))</f>
        <v/>
      </c>
      <c r="E8" s="190"/>
      <c r="F8" s="155"/>
      <c r="G8" s="155"/>
      <c r="H8" s="94"/>
      <c r="I8" s="94"/>
      <c r="J8" s="94"/>
    </row>
    <row r="9" spans="1:23">
      <c r="A9" s="193"/>
      <c r="B9" s="94"/>
      <c r="C9" s="94"/>
      <c r="D9" s="94"/>
      <c r="E9" s="94"/>
      <c r="F9" s="94"/>
      <c r="G9" s="94"/>
      <c r="H9" s="94"/>
      <c r="I9" s="94"/>
      <c r="J9" s="94"/>
    </row>
    <row r="10" spans="1:23" ht="14.45" customHeight="1">
      <c r="A10" s="193"/>
      <c r="B10" s="468" t="s">
        <v>708</v>
      </c>
      <c r="C10" s="468"/>
      <c r="D10" s="468"/>
      <c r="E10" s="468"/>
      <c r="F10" s="468"/>
      <c r="G10" s="468"/>
      <c r="H10" s="468"/>
      <c r="I10" s="94"/>
      <c r="J10" s="94"/>
    </row>
    <row r="11" spans="1:23" ht="22.5" customHeight="1">
      <c r="A11" s="194"/>
      <c r="B11" s="195">
        <v>1</v>
      </c>
      <c r="C11" s="461" t="str">
        <f>IF(B11="","",IF($B11="","",IF(OR(Path="Section 11 ECB",Path="2024 GHG Limit"),VLOOKUP(B11,'Lighting Lookup'!D118:F122,2),0)))</f>
        <v>Park land</v>
      </c>
      <c r="D11" s="462"/>
      <c r="E11" s="462"/>
      <c r="F11" s="462"/>
      <c r="G11" s="462"/>
      <c r="H11" s="463"/>
      <c r="I11" s="194"/>
      <c r="J11" s="194"/>
    </row>
    <row r="12" spans="1:23" ht="15" customHeight="1">
      <c r="B12" s="196">
        <f>IF(B11="","",IF($B11="","",IF(OR(Path="Section 11 ECB",Path="2024 GHG Limit"),VLOOKUP(B11,'Lighting Lookup'!D118:F122,3),0)))</f>
        <v>500</v>
      </c>
      <c r="C12" s="461" t="s">
        <v>709</v>
      </c>
      <c r="D12" s="462"/>
      <c r="E12" s="462"/>
      <c r="F12" s="462"/>
      <c r="G12" s="462"/>
      <c r="H12" s="463"/>
    </row>
    <row r="14" spans="1:23" ht="34.5" customHeight="1">
      <c r="A14" s="197"/>
      <c r="B14" s="198" t="s">
        <v>710</v>
      </c>
      <c r="C14" s="404" t="s">
        <v>711</v>
      </c>
      <c r="D14" s="464"/>
      <c r="E14" s="464"/>
      <c r="F14" s="464"/>
      <c r="G14" s="405"/>
      <c r="H14" s="198" t="s">
        <v>712</v>
      </c>
      <c r="I14" s="176" t="s">
        <v>713</v>
      </c>
      <c r="J14" s="176" t="s">
        <v>714</v>
      </c>
      <c r="K14" s="404" t="s">
        <v>715</v>
      </c>
      <c r="L14" s="405"/>
      <c r="N14" s="197"/>
      <c r="O14" s="197"/>
      <c r="P14" s="197"/>
      <c r="Q14" s="197"/>
      <c r="R14" s="197"/>
      <c r="S14" s="197"/>
      <c r="T14" s="197"/>
      <c r="U14" s="197"/>
      <c r="V14" s="197"/>
      <c r="W14" s="197"/>
    </row>
    <row r="15" spans="1:23" ht="23.25" customHeight="1">
      <c r="A15" s="465" t="s">
        <v>716</v>
      </c>
      <c r="B15" s="199" t="s">
        <v>717</v>
      </c>
      <c r="C15" s="447" t="s">
        <v>718</v>
      </c>
      <c r="D15" s="451"/>
      <c r="E15" s="451"/>
      <c r="F15" s="451"/>
      <c r="G15" s="448"/>
      <c r="H15" s="155"/>
      <c r="I15" s="155"/>
      <c r="J15" s="200" t="str">
        <f t="shared" ref="J15:J37" si="0">IF(H15="","",H15*K15)</f>
        <v/>
      </c>
      <c r="K15" s="201">
        <f>IF($B$11&lt;&gt;"",IF($B$11=0,0,IF($B11="","",IF(OR(Path="Section 11 ECB",Path="2024 GHG Limit"),IF($B$11=1,0.04,IF($B$11=2,0.06,IF($B$11=3,0.1,0.13))),0.15))))</f>
        <v>0.04</v>
      </c>
      <c r="L15" s="202" t="s">
        <v>175</v>
      </c>
      <c r="N15" s="197"/>
      <c r="O15" s="197"/>
      <c r="P15" s="197"/>
      <c r="Q15" s="197"/>
      <c r="R15" s="197"/>
      <c r="S15" s="197"/>
      <c r="T15" s="197"/>
      <c r="U15" s="197"/>
      <c r="V15" s="197"/>
      <c r="W15" s="197"/>
    </row>
    <row r="16" spans="1:23" ht="15" customHeight="1">
      <c r="A16" s="466"/>
      <c r="B16" s="469" t="s">
        <v>719</v>
      </c>
      <c r="C16" s="447" t="s">
        <v>720</v>
      </c>
      <c r="D16" s="451"/>
      <c r="E16" s="451"/>
      <c r="F16" s="451"/>
      <c r="G16" s="448"/>
      <c r="H16" s="155"/>
      <c r="I16" s="155"/>
      <c r="J16" s="200" t="str">
        <f t="shared" si="0"/>
        <v/>
      </c>
      <c r="K16" s="201">
        <f>IF($B$11&lt;&gt;"",IF($B$11=0,0,IF($B11="","",IF(OR(Path="Section 11 ECB",Path="2024 GHG Limit"),IF($B$11=1,0.7,IF($B$11=2,0.7,IF($B$11=3,0.8,1))),1))))</f>
        <v>0.7</v>
      </c>
      <c r="L16" s="202" t="s">
        <v>175</v>
      </c>
      <c r="N16" s="197"/>
      <c r="O16" s="197"/>
      <c r="P16" s="197"/>
      <c r="Q16" s="197"/>
      <c r="R16" s="197"/>
      <c r="S16" s="197"/>
      <c r="T16" s="197"/>
      <c r="U16" s="197"/>
      <c r="V16" s="197"/>
      <c r="W16" s="197"/>
    </row>
    <row r="17" spans="1:23" ht="15" customHeight="1">
      <c r="A17" s="466"/>
      <c r="B17" s="441"/>
      <c r="C17" s="447" t="s">
        <v>721</v>
      </c>
      <c r="D17" s="451"/>
      <c r="E17" s="451"/>
      <c r="F17" s="451"/>
      <c r="G17" s="448"/>
      <c r="H17" s="155"/>
      <c r="I17" s="155"/>
      <c r="J17" s="200" t="str">
        <f t="shared" si="0"/>
        <v/>
      </c>
      <c r="K17" s="201">
        <f>IF($B$11&lt;&gt;"",IF($B$11=0,0,IF($B11="","",IF(OR(Path="Section 11 ECB",Path="2024 GHG Limit"),IF($B$11=1,0.14,IF($B$11=2,0.14,IF($B$11=3,0.16,0.2))),0.2))))</f>
        <v>0.14000000000000001</v>
      </c>
      <c r="L17" s="202" t="s">
        <v>175</v>
      </c>
      <c r="N17" s="197"/>
      <c r="O17" s="197"/>
      <c r="P17" s="197"/>
      <c r="Q17" s="197"/>
      <c r="R17" s="197"/>
      <c r="S17" s="197"/>
      <c r="T17" s="197"/>
      <c r="U17" s="197"/>
      <c r="V17" s="197"/>
      <c r="W17" s="197"/>
    </row>
    <row r="18" spans="1:23" ht="15" customHeight="1">
      <c r="A18" s="466"/>
      <c r="B18" s="441"/>
      <c r="C18" s="447" t="s">
        <v>722</v>
      </c>
      <c r="D18" s="451"/>
      <c r="E18" s="451"/>
      <c r="F18" s="451"/>
      <c r="G18" s="448"/>
      <c r="H18" s="155"/>
      <c r="I18" s="155"/>
      <c r="J18" s="200" t="str">
        <f t="shared" si="0"/>
        <v/>
      </c>
      <c r="K18" s="201">
        <f>IF($B$11&lt;&gt;"",IF($B$11=0,0,IF($B11="","",IF(OR(Path="Section 11 ECB",Path="2024 GHG Limit"),IF($B$11=1,0.14,IF($B$11=2,0.14,IF($B$11=3,0.16,0.2))),0.2))))</f>
        <v>0.14000000000000001</v>
      </c>
      <c r="L18" s="202" t="s">
        <v>175</v>
      </c>
      <c r="N18" s="197"/>
      <c r="O18" s="197"/>
      <c r="P18" s="197"/>
      <c r="Q18" s="197"/>
      <c r="R18" s="197"/>
      <c r="S18" s="197"/>
      <c r="T18" s="197"/>
      <c r="U18" s="197"/>
      <c r="V18" s="197"/>
      <c r="W18" s="197"/>
    </row>
    <row r="19" spans="1:23" ht="15" customHeight="1">
      <c r="A19" s="466"/>
      <c r="B19" s="441"/>
      <c r="C19" s="447" t="s">
        <v>723</v>
      </c>
      <c r="D19" s="451"/>
      <c r="E19" s="451"/>
      <c r="F19" s="451"/>
      <c r="G19" s="448"/>
      <c r="H19" s="155"/>
      <c r="I19" s="155"/>
      <c r="J19" s="200" t="str">
        <f t="shared" si="0"/>
        <v/>
      </c>
      <c r="K19" s="201">
        <f>IF($B$11&lt;&gt;"",IF($B$11=0,0,IF($B11="","",IF(OR(Path="Section 11 ECB",Path="2024 GHG Limit"),IF($B$11=1,0.14,IF($B$11=2,0.14,IF($B$11=3,0.16,0.2))),0.2))))</f>
        <v>0.14000000000000001</v>
      </c>
      <c r="L19" s="202" t="s">
        <v>175</v>
      </c>
      <c r="N19" s="197"/>
      <c r="O19" s="197"/>
      <c r="P19" s="197"/>
      <c r="Q19" s="197"/>
      <c r="R19" s="197"/>
      <c r="S19" s="197"/>
      <c r="T19" s="197"/>
      <c r="U19" s="197"/>
      <c r="V19" s="197"/>
      <c r="W19" s="197"/>
    </row>
    <row r="20" spans="1:23" ht="15" customHeight="1">
      <c r="A20" s="466"/>
      <c r="B20" s="441"/>
      <c r="C20" s="447" t="s">
        <v>724</v>
      </c>
      <c r="D20" s="451"/>
      <c r="E20" s="451"/>
      <c r="F20" s="451"/>
      <c r="G20" s="448"/>
      <c r="H20" s="155"/>
      <c r="I20" s="155"/>
      <c r="J20" s="200" t="str">
        <f t="shared" si="0"/>
        <v/>
      </c>
      <c r="K20" s="201">
        <f>IF($B$11&lt;&gt;"",IF($B$11=0,0,IF($B11="","",IF(OR(Path="Section 11 ECB",Path="2024 GHG Limit"),IF($B$11=1,0.75,IF($B$11=2,1,IF($B$11=3,1,1))),1))))</f>
        <v>0.75</v>
      </c>
      <c r="L20" s="202" t="s">
        <v>175</v>
      </c>
      <c r="N20" s="197"/>
      <c r="O20" s="197"/>
      <c r="P20" s="197"/>
      <c r="Q20" s="197"/>
      <c r="R20" s="197"/>
      <c r="S20" s="197"/>
      <c r="T20" s="197"/>
      <c r="U20" s="197"/>
      <c r="V20" s="197"/>
      <c r="W20" s="197"/>
    </row>
    <row r="21" spans="1:23" ht="15" customHeight="1">
      <c r="A21" s="466"/>
      <c r="B21" s="441"/>
      <c r="C21" s="447" t="s">
        <v>725</v>
      </c>
      <c r="D21" s="451"/>
      <c r="E21" s="451"/>
      <c r="F21" s="451"/>
      <c r="G21" s="448"/>
      <c r="H21" s="155"/>
      <c r="I21" s="155"/>
      <c r="J21" s="200" t="str">
        <f t="shared" si="0"/>
        <v/>
      </c>
      <c r="K21" s="201">
        <f>IF($B$11&lt;&gt;"",IF($B$11=0,0,IF($B11="","",IF(OR(Path="Section 11 ECB",Path="2024 GHG Limit"),IF($B$11=1,0.15,IF($B$11=2,0.15,IF($B$11=3,0.2,0.3))),IF(H21="","",I21/H21)))))</f>
        <v>0.15</v>
      </c>
      <c r="L21" s="202" t="s">
        <v>175</v>
      </c>
      <c r="N21" s="197"/>
      <c r="O21" s="197"/>
      <c r="P21" s="197"/>
      <c r="Q21" s="197"/>
      <c r="R21" s="197"/>
      <c r="S21" s="197"/>
      <c r="T21" s="197"/>
      <c r="U21" s="197"/>
      <c r="V21" s="197"/>
      <c r="W21" s="197"/>
    </row>
    <row r="22" spans="1:23" ht="15" customHeight="1">
      <c r="A22" s="466"/>
      <c r="B22" s="442"/>
      <c r="C22" s="447" t="s">
        <v>726</v>
      </c>
      <c r="D22" s="451"/>
      <c r="E22" s="451"/>
      <c r="F22" s="451"/>
      <c r="G22" s="448"/>
      <c r="H22" s="155"/>
      <c r="I22" s="155"/>
      <c r="J22" s="200" t="str">
        <f t="shared" si="0"/>
        <v/>
      </c>
      <c r="K22" s="201">
        <f>IF($B$11&lt;&gt;"",IF($B$11=0,0,IF($B12="","",IF(OR(Path="Section 11 ECB",Path="2024 GHG Limit"),IF($B$11=1,0.04,IF($B$11=2,0.05,IF($B$11=3,0.05,0.05))),IF(H22="","",I22/H22)))))</f>
        <v>0.04</v>
      </c>
      <c r="L22" s="202" t="s">
        <v>175</v>
      </c>
      <c r="N22" s="197"/>
      <c r="O22" s="197"/>
      <c r="P22" s="197"/>
      <c r="Q22" s="197"/>
      <c r="R22" s="197"/>
      <c r="S22" s="197"/>
      <c r="T22" s="197"/>
      <c r="U22" s="197"/>
      <c r="V22" s="197"/>
      <c r="W22" s="197"/>
    </row>
    <row r="23" spans="1:23" ht="26.25" customHeight="1">
      <c r="A23" s="466"/>
      <c r="B23" s="469" t="s">
        <v>727</v>
      </c>
      <c r="C23" s="452" t="s">
        <v>728</v>
      </c>
      <c r="D23" s="451"/>
      <c r="E23" s="451"/>
      <c r="F23" s="451"/>
      <c r="G23" s="448"/>
      <c r="H23" s="155"/>
      <c r="I23" s="155"/>
      <c r="J23" s="200" t="str">
        <f t="shared" si="0"/>
        <v/>
      </c>
      <c r="K23" s="201">
        <f>IF($B$11&lt;&gt;"",IF($B$11=0,0,IF($B11="","",IF(OR(Path="Section 11 ECB",Path="2024 GHG Limit"),IF($B$11=1,20,IF($B$11=2,20,IF($B$11=3,30,30))),30))))</f>
        <v>20</v>
      </c>
      <c r="L23" s="202" t="s">
        <v>729</v>
      </c>
      <c r="N23" s="197"/>
      <c r="O23" s="197"/>
      <c r="P23" s="197"/>
      <c r="Q23" s="197"/>
      <c r="R23" s="197"/>
      <c r="S23" s="197"/>
      <c r="T23" s="197"/>
      <c r="U23" s="197"/>
      <c r="V23" s="197"/>
      <c r="W23" s="197"/>
    </row>
    <row r="24" spans="1:23" ht="26.25" customHeight="1">
      <c r="A24" s="466"/>
      <c r="B24" s="441"/>
      <c r="C24" s="452" t="s">
        <v>730</v>
      </c>
      <c r="D24" s="451"/>
      <c r="E24" s="451"/>
      <c r="F24" s="451"/>
      <c r="G24" s="448"/>
      <c r="H24" s="155"/>
      <c r="I24" s="155"/>
      <c r="J24" s="200"/>
      <c r="K24" s="201">
        <f>IF($B$11&lt;&gt;"",IF($B$11=0,0,IF($B12="","",IF(OR(Path="Section 11 ECB",Path="2024 GHG Limit"),IF($B$11=1,20,IF($B$11=2,20,IF($B$11=3,30,30))),20))))</f>
        <v>20</v>
      </c>
      <c r="L24" s="202" t="s">
        <v>729</v>
      </c>
      <c r="N24" s="197"/>
      <c r="O24" s="197"/>
      <c r="P24" s="197"/>
      <c r="Q24" s="197"/>
      <c r="R24" s="197"/>
      <c r="S24" s="197"/>
      <c r="T24" s="197"/>
      <c r="U24" s="197"/>
      <c r="V24" s="197"/>
      <c r="W24" s="197"/>
    </row>
    <row r="25" spans="1:23" ht="26.25" customHeight="1">
      <c r="A25" s="466"/>
      <c r="B25" s="441"/>
      <c r="C25" s="447" t="s">
        <v>731</v>
      </c>
      <c r="D25" s="451"/>
      <c r="E25" s="451"/>
      <c r="F25" s="451"/>
      <c r="G25" s="448"/>
      <c r="H25" s="155"/>
      <c r="I25" s="155"/>
      <c r="J25" s="200" t="str">
        <f t="shared" si="0"/>
        <v/>
      </c>
      <c r="K25" s="201">
        <f>IF($B$11&lt;&gt;"",IF($B$11=0,0,IF($B14="","",IF(OR(Path="Section 11 ECB",Path="2024 GHG Limit"),IF($B$11=1,0.25,IF($B$11=2,0.25,IF($B$11=3,0.4,0.4))),IF(H25="","",I25/H25)))))</f>
        <v>0.25</v>
      </c>
      <c r="L25" s="202" t="s">
        <v>175</v>
      </c>
      <c r="N25" s="197"/>
      <c r="O25" s="197"/>
      <c r="P25" s="197"/>
      <c r="Q25" s="197"/>
      <c r="R25" s="197"/>
      <c r="S25" s="197"/>
      <c r="T25" s="197"/>
      <c r="U25" s="197"/>
      <c r="V25" s="197"/>
      <c r="W25" s="197"/>
    </row>
    <row r="26" spans="1:23" ht="24" customHeight="1">
      <c r="A26" s="466"/>
      <c r="B26" s="199" t="s">
        <v>732</v>
      </c>
      <c r="C26" s="447" t="s">
        <v>733</v>
      </c>
      <c r="D26" s="451"/>
      <c r="E26" s="451"/>
      <c r="F26" s="451"/>
      <c r="G26" s="448"/>
      <c r="H26" s="155"/>
      <c r="I26" s="155"/>
      <c r="J26" s="200" t="str">
        <f t="shared" si="0"/>
        <v/>
      </c>
      <c r="K26" s="201">
        <f>IF($B$11&lt;&gt;"",IF($B$11=0,0,IF($B15="","",IF(OR(Path="Section 11 ECB",Path="2024 GHG Limit"),IF($B$11=1,0.6,IF($B$11=2,0.6,IF($B$11=3,0.8,1))),1.25))))</f>
        <v>0.6</v>
      </c>
      <c r="L26" s="202" t="s">
        <v>175</v>
      </c>
      <c r="N26" s="197"/>
      <c r="O26" s="197"/>
      <c r="P26" s="197"/>
      <c r="Q26" s="197"/>
      <c r="R26" s="197"/>
      <c r="S26" s="197"/>
      <c r="T26" s="197"/>
      <c r="U26" s="197"/>
      <c r="V26" s="197"/>
      <c r="W26" s="197"/>
    </row>
    <row r="27" spans="1:23" ht="24.75" customHeight="1">
      <c r="A27" s="466"/>
      <c r="B27" s="470" t="s">
        <v>734</v>
      </c>
      <c r="C27" s="447" t="s">
        <v>735</v>
      </c>
      <c r="D27" s="451"/>
      <c r="E27" s="451"/>
      <c r="F27" s="451"/>
      <c r="G27" s="448"/>
      <c r="H27" s="155"/>
      <c r="I27" s="155"/>
      <c r="J27" s="200" t="str">
        <f t="shared" si="0"/>
        <v/>
      </c>
      <c r="K27" s="201">
        <f>IF($B$11&lt;&gt;"",IF($B$11=0,0,IF($B11="","",IF(OR(Path="Section 11 ECB",Path="2024 GHG Limit"),IF($B$11=1,0.25,IF($B$11=2,0.25,IF($B$11=3,0.5,0.7))),0.5))))</f>
        <v>0.25</v>
      </c>
      <c r="L27" s="202" t="s">
        <v>175</v>
      </c>
      <c r="N27" s="197"/>
      <c r="O27" s="197"/>
      <c r="P27" s="197"/>
      <c r="Q27" s="197"/>
      <c r="R27" s="197"/>
      <c r="S27" s="197"/>
      <c r="T27" s="197"/>
      <c r="U27" s="197"/>
      <c r="V27" s="197"/>
      <c r="W27" s="197"/>
    </row>
    <row r="28" spans="1:23" ht="26.25" customHeight="1" thickBot="1">
      <c r="A28" s="467"/>
      <c r="B28" s="471"/>
      <c r="C28" s="455" t="s">
        <v>736</v>
      </c>
      <c r="D28" s="456"/>
      <c r="E28" s="456"/>
      <c r="F28" s="456"/>
      <c r="G28" s="457"/>
      <c r="H28" s="155"/>
      <c r="I28" s="155"/>
      <c r="J28" s="200" t="str">
        <f t="shared" si="0"/>
        <v/>
      </c>
      <c r="K28" s="201">
        <f>IF($B$11&lt;&gt;"",IF($B$11=0,0,IF($B11="","",IF(OR(Path="Section 11 ECB",Path="2024 GHG Limit"),IF($B$11=1,0,IF($B$11=2,10,IF($B$11=3,10,30))),20))))</f>
        <v>0</v>
      </c>
      <c r="L28" s="202" t="s">
        <v>729</v>
      </c>
      <c r="N28" s="197"/>
      <c r="O28" s="203"/>
      <c r="P28" s="203"/>
      <c r="Q28" s="203"/>
      <c r="R28" s="203"/>
      <c r="S28" s="203"/>
      <c r="T28" s="197"/>
      <c r="U28" s="197"/>
      <c r="V28" s="197"/>
      <c r="W28" s="197"/>
    </row>
    <row r="29" spans="1:23" ht="26.25" customHeight="1" thickTop="1">
      <c r="A29" s="439" t="s">
        <v>737</v>
      </c>
      <c r="B29" s="440" t="s">
        <v>738</v>
      </c>
      <c r="C29" s="443" t="s">
        <v>739</v>
      </c>
      <c r="D29" s="444"/>
      <c r="E29" s="155"/>
      <c r="F29" s="445" t="s">
        <v>740</v>
      </c>
      <c r="G29" s="446"/>
      <c r="H29" s="155"/>
      <c r="I29" s="155"/>
      <c r="J29" s="200" t="str">
        <f>IF(AND(H29="",E29=""),"",IF(L29="W/SF",E29*K29,H29*K29))</f>
        <v/>
      </c>
      <c r="K29" s="201">
        <f>IF(L29="W/SF",O29,P29)</f>
        <v>0</v>
      </c>
      <c r="L29" s="202">
        <f>IF($B$11&lt;&gt;"",IF($B$11=0,0,IF($B$11=1,0,IF($B$11=2,IF(Q29&gt;R29,"W/SF","W/FT"),IF($B$11=3,IF(Q29&gt;R29,"W/SF","W/FT"),IF(Q29&gt;R29,"W/SF","W/FT"))))),"")</f>
        <v>0</v>
      </c>
      <c r="N29" s="197"/>
      <c r="O29" s="204">
        <f>IF($B$11&lt;&gt;"",IF($B$11=0,0,IF($B$11="","",IF(OR(Path="Section 11 ECB",Path="2024 GHG Limit"),IF($B$11=1,0,IF($B$11=2,0.1,IF($B$11=3,0.15,0.2))),E29))))</f>
        <v>0</v>
      </c>
      <c r="P29" s="204">
        <f>IF($B$11&lt;&gt;"",IF($B$11=0,0,IF($B$11="","",IF(OR(Path="Section 11 ECB",Path="2024 GHG Limit"),IF($B$11=1,0,IF($B$11=2,2.5,IF($B$11=3,3.75,5))),H29))))</f>
        <v>0</v>
      </c>
      <c r="Q29" s="203">
        <f>O29*E29</f>
        <v>0</v>
      </c>
      <c r="R29" s="203">
        <f>H29*P29</f>
        <v>0</v>
      </c>
      <c r="S29" s="203"/>
      <c r="T29" s="197"/>
      <c r="U29" s="197"/>
      <c r="V29" s="197"/>
      <c r="W29" s="197"/>
    </row>
    <row r="30" spans="1:23" ht="26.25" customHeight="1">
      <c r="A30" s="439"/>
      <c r="B30" s="441"/>
      <c r="C30" s="443" t="s">
        <v>741</v>
      </c>
      <c r="D30" s="444"/>
      <c r="E30" s="155"/>
      <c r="F30" s="447" t="s">
        <v>742</v>
      </c>
      <c r="G30" s="448"/>
      <c r="H30" s="155"/>
      <c r="I30" s="155"/>
      <c r="J30" s="200" t="str">
        <f t="shared" ref="J30:J32" si="1">IF(AND(H30="",E30=""),"",IF(L30="W/SF",E30*K30,H30*K30))</f>
        <v/>
      </c>
      <c r="K30" s="201">
        <f t="shared" ref="K30:K32" si="2">IF(L30="W/SF",O30,P30)</f>
        <v>0</v>
      </c>
      <c r="L30" s="202">
        <f>IF($B$11&lt;&gt;"",IF($B$11=0,0,IF($B$11=1,0,IF($B$11=2,IF(Q30&gt;R30,"W/SF","W/FT"),IF($B$11=3,IF(Q30&gt;R30,"W/SF","W/FT"),IF(Q30&gt;R30,"W/SF","W/FT"))))),"")</f>
        <v>0</v>
      </c>
      <c r="N30" s="197"/>
      <c r="O30" s="204">
        <f>IF($B$11&lt;&gt;"",IF($B$11=0,0,IF($B$11="","",IF(OR(Path="Section 11 ECB",Path="2024 GHG Limit"),IF($B$11=1,0,IF($B$11=2,0.1,IF($B$11=3,0.15,0.2))),E30))))</f>
        <v>0</v>
      </c>
      <c r="P30" s="204">
        <f>IF($B$11&lt;&gt;"",IF($B$11=0,0,IF($B$11="","",IF(OR(Path="Section 11 ECB",Path="2024 GHG Limit"),IF($B$11=1,0,IF($B$11=2,2.5,IF($B$11=3,3.75,5))),H30))))</f>
        <v>0</v>
      </c>
      <c r="Q30" s="203">
        <f>O30*E30</f>
        <v>0</v>
      </c>
      <c r="R30" s="203">
        <f>H30*P30</f>
        <v>0</v>
      </c>
      <c r="S30" s="203"/>
      <c r="T30" s="197"/>
      <c r="U30" s="197"/>
      <c r="V30" s="197"/>
      <c r="W30" s="197"/>
    </row>
    <row r="31" spans="1:23" ht="26.25" customHeight="1">
      <c r="A31" s="439"/>
      <c r="B31" s="441"/>
      <c r="C31" s="443" t="s">
        <v>743</v>
      </c>
      <c r="D31" s="444"/>
      <c r="E31" s="155"/>
      <c r="F31" s="447" t="s">
        <v>744</v>
      </c>
      <c r="G31" s="448"/>
      <c r="H31" s="155"/>
      <c r="I31" s="155"/>
      <c r="J31" s="200" t="str">
        <f t="shared" si="1"/>
        <v/>
      </c>
      <c r="K31" s="201">
        <f t="shared" si="2"/>
        <v>0</v>
      </c>
      <c r="L31" s="202">
        <f>IF($B$11&lt;&gt;"",IF($B$11=0,0,IF($B$11=1,0,IF($B$11=2,IF(Q31&gt;R31,"W/SF","W/FT"),IF($B$11=3,IF(Q31&gt;R31,"W/SF","W/FT"),IF(Q31&gt;R31,"W/SF","W/FT"))))),"")</f>
        <v>0</v>
      </c>
      <c r="N31" s="197"/>
      <c r="O31" s="204">
        <f>IF($B$11&lt;&gt;"",IF($B$11=0,0,IF($B$11="","",IF(OR(Path="Section 11 ECB",Path="2024 GHG Limit"),IF($B$11=1,0,IF($B$11=2,0.1,IF($B$11=3,0.15,0.2))),E31))))</f>
        <v>0</v>
      </c>
      <c r="P31" s="204">
        <f>IF($B$11&lt;&gt;"",IF($B$11=0,0,IF($B$11="","",IF(OR(Path="Section 11 ECB",Path="2024 GHG Limit"),IF($B$11=1,0,IF($B$11=2,2.5,IF($B$11=3,3.75,5))),H31))))</f>
        <v>0</v>
      </c>
      <c r="Q31" s="203">
        <f>O31*E31</f>
        <v>0</v>
      </c>
      <c r="R31" s="203">
        <f>H31*P31</f>
        <v>0</v>
      </c>
      <c r="S31" s="203"/>
      <c r="T31" s="197"/>
      <c r="U31" s="197"/>
      <c r="V31" s="197"/>
      <c r="W31" s="197"/>
    </row>
    <row r="32" spans="1:23" ht="26.25" customHeight="1">
      <c r="A32" s="439"/>
      <c r="B32" s="442"/>
      <c r="C32" s="443" t="s">
        <v>745</v>
      </c>
      <c r="D32" s="444"/>
      <c r="E32" s="155"/>
      <c r="F32" s="447" t="s">
        <v>746</v>
      </c>
      <c r="G32" s="448"/>
      <c r="H32" s="155"/>
      <c r="I32" s="155"/>
      <c r="J32" s="200" t="str">
        <f t="shared" si="1"/>
        <v/>
      </c>
      <c r="K32" s="201">
        <f t="shared" si="2"/>
        <v>0</v>
      </c>
      <c r="L32" s="202">
        <f>IF($B$11&lt;&gt;"",IF($B$11=0,0,IF($B$11=1,0,IF($B$11=2,IF(Q32&gt;R32,"W/SF","W/FT"),IF($B$11=3,IF(Q32&gt;R32,"W/SF","W/FT"),IF(Q32&gt;R32,"W/SF","W/FT"))))),"")</f>
        <v>0</v>
      </c>
      <c r="N32" s="197"/>
      <c r="O32" s="204">
        <f>IF($B$11&lt;&gt;"",IF($B$11=0,0,IF($B$11="","",IF(OR(Path="Section 11 ECB",Path="2024 GHG Limit"),IF($B$11=1,0,IF($B$11=2,0.1,IF($B$11=3,0.15,0.2))),E32))))</f>
        <v>0</v>
      </c>
      <c r="P32" s="204">
        <f>IF($B$11&lt;&gt;"",IF($B$11=0,0,IF($B$11="","",IF(OR(Path="Section 11 ECB",Path="2024 GHG Limit"),IF($B$11=1,0,IF($B$11=2,2.5,IF($B$11=3,3.75,5))),H32))))</f>
        <v>0</v>
      </c>
      <c r="Q32" s="203">
        <f>O32*E32</f>
        <v>0</v>
      </c>
      <c r="R32" s="203">
        <f>H32*P32</f>
        <v>0</v>
      </c>
      <c r="S32" s="203"/>
      <c r="T32" s="197"/>
      <c r="U32" s="197"/>
      <c r="V32" s="197"/>
      <c r="W32" s="197"/>
    </row>
    <row r="33" spans="1:23" ht="37.5" customHeight="1">
      <c r="A33" s="439"/>
      <c r="B33" s="199" t="s">
        <v>747</v>
      </c>
      <c r="C33" s="449" t="s">
        <v>748</v>
      </c>
      <c r="D33" s="450"/>
      <c r="E33" s="155"/>
      <c r="F33" s="205"/>
      <c r="G33" s="206" t="s">
        <v>749</v>
      </c>
      <c r="H33" s="155"/>
      <c r="I33" s="155"/>
      <c r="J33" s="200" t="str">
        <f>IF(AND(H33="",E33=""),"",E33*270+H33*90)</f>
        <v/>
      </c>
      <c r="K33" s="453" t="s">
        <v>750</v>
      </c>
      <c r="L33" s="454"/>
      <c r="N33" s="197"/>
      <c r="O33" s="203">
        <v>270</v>
      </c>
      <c r="P33" s="203">
        <v>90</v>
      </c>
      <c r="Q33" s="203"/>
      <c r="R33" s="203"/>
      <c r="S33" s="203"/>
      <c r="T33" s="197"/>
      <c r="U33" s="197"/>
      <c r="V33" s="197"/>
      <c r="W33" s="197"/>
    </row>
    <row r="34" spans="1:23" ht="34.35" customHeight="1">
      <c r="A34" s="439"/>
      <c r="B34" s="199" t="s">
        <v>751</v>
      </c>
      <c r="C34" s="447" t="s">
        <v>752</v>
      </c>
      <c r="D34" s="451"/>
      <c r="E34" s="451"/>
      <c r="F34" s="451"/>
      <c r="G34" s="448"/>
      <c r="H34" s="155"/>
      <c r="I34" s="155"/>
      <c r="J34" s="200" t="str">
        <f t="shared" si="0"/>
        <v/>
      </c>
      <c r="K34" s="201">
        <f>IF($B$11&lt;&gt;"",IF($B$11=0,0,IF($B11="","",IF(OR(Path="Section 11 ECB",Path="2024 GHG Limit"),IF($B$11=1,0.75,IF($B$11=2,0.75,IF($B$11=3,0.75,0.75))),IF(H34="","",I34/H34)))))</f>
        <v>0.75</v>
      </c>
      <c r="L34" s="202">
        <f>IF($B$11&lt;&gt;"",IF($B$11=0,0,IF($B$11=1,0,IF($B$11=2,IF(Q34&gt;R34,"W/SF","W/FT"),IF($B$11=3,IF(Q34&gt;R34,"W/SF","W/FT"),IF(Q34&gt;R34,"W/SF","W/FT"))))),"")</f>
        <v>0</v>
      </c>
      <c r="N34" s="197"/>
      <c r="O34" s="203"/>
      <c r="P34" s="203"/>
      <c r="Q34" s="203"/>
      <c r="R34" s="203"/>
      <c r="S34" s="203"/>
      <c r="T34" s="197"/>
      <c r="U34" s="197"/>
      <c r="V34" s="197"/>
      <c r="W34" s="197"/>
    </row>
    <row r="35" spans="1:23" ht="23.25" customHeight="1">
      <c r="A35" s="439"/>
      <c r="B35" s="199" t="s">
        <v>753</v>
      </c>
      <c r="C35" s="447" t="s">
        <v>754</v>
      </c>
      <c r="D35" s="451"/>
      <c r="E35" s="451"/>
      <c r="F35" s="451"/>
      <c r="G35" s="448"/>
      <c r="H35" s="155"/>
      <c r="I35" s="155"/>
      <c r="J35" s="200" t="str">
        <f t="shared" si="0"/>
        <v/>
      </c>
      <c r="K35" s="201">
        <f>IF($B$11&lt;&gt;"",IF($B$11=0,0,IF($B11="","",IF(OR(Path="Section 11 ECB",Path="2024 GHG Limit"),IF($B$11=1,0.5,IF($B$11=2,0.5,IF($B$11=3,0.5,0.5))),IF(H35="","",I35/H35)))))</f>
        <v>0.5</v>
      </c>
      <c r="L35" s="202">
        <f>IF($B$11&lt;&gt;"",IF($B$11=0,0,IF($B$11=1,0,IF($B$11=2,IF(Q35&gt;R35,"W/SF","W/FT"),IF($B$11=3,IF(Q35&gt;R35,"W/SF","W/FT"),IF(Q35&gt;R35,"W/SF","W/FT"))))),"")</f>
        <v>0</v>
      </c>
      <c r="N35" s="197"/>
      <c r="O35" s="197"/>
      <c r="P35" s="197"/>
      <c r="Q35" s="197"/>
      <c r="R35" s="197"/>
      <c r="S35" s="197"/>
      <c r="T35" s="197"/>
      <c r="U35" s="197"/>
      <c r="V35" s="197"/>
      <c r="W35" s="197"/>
    </row>
    <row r="36" spans="1:23" ht="21.75" customHeight="1">
      <c r="A36" s="439"/>
      <c r="B36" s="199" t="s">
        <v>755</v>
      </c>
      <c r="C36" s="447" t="s">
        <v>756</v>
      </c>
      <c r="D36" s="451"/>
      <c r="E36" s="451"/>
      <c r="F36" s="451"/>
      <c r="G36" s="448"/>
      <c r="H36" s="155"/>
      <c r="I36" s="155"/>
      <c r="J36" s="200" t="str">
        <f t="shared" si="0"/>
        <v/>
      </c>
      <c r="K36" s="207">
        <f>IF($B$11&lt;&gt;"",IF($B$11=0,0,IF($B11="","",IF(OR(Path="Section 11 ECB",Path="2024 GHG Limit"),IF($B$11=1,400,IF($B$11=2,400,IF($B$11=3,400,400))),IF(H36="","",I36/H36)))))</f>
        <v>400</v>
      </c>
      <c r="L36" s="202" t="s">
        <v>757</v>
      </c>
      <c r="N36" s="197"/>
      <c r="O36" s="197"/>
      <c r="P36" s="197"/>
      <c r="Q36" s="197"/>
      <c r="R36" s="197"/>
      <c r="S36" s="197"/>
      <c r="T36" s="197"/>
      <c r="U36" s="197"/>
      <c r="V36" s="197"/>
      <c r="W36" s="197"/>
    </row>
    <row r="37" spans="1:23" ht="34.5" customHeight="1">
      <c r="A37" s="439"/>
      <c r="B37" s="199" t="s">
        <v>758</v>
      </c>
      <c r="C37" s="447" t="s">
        <v>759</v>
      </c>
      <c r="D37" s="451"/>
      <c r="E37" s="451"/>
      <c r="F37" s="451"/>
      <c r="G37" s="448"/>
      <c r="H37" s="155"/>
      <c r="I37" s="155"/>
      <c r="J37" s="200" t="str">
        <f t="shared" si="0"/>
        <v/>
      </c>
      <c r="K37" s="207">
        <f>IF($B$11&lt;&gt;"",IF($B$11=0,0,IF($B11="","",IF(OR(Path="Section 11 ECB",Path="2024 GHG Limit"),IF($B$11=1,800,IF($B$11=2,800,IF($B$11=3,800,800))),IF(H37="","",I37/H37)))))</f>
        <v>800</v>
      </c>
      <c r="L37" s="202" t="s">
        <v>760</v>
      </c>
      <c r="N37" s="197"/>
      <c r="O37" s="197"/>
      <c r="P37" s="197"/>
      <c r="Q37" s="197"/>
      <c r="R37" s="197"/>
      <c r="S37" s="197"/>
      <c r="T37" s="197"/>
      <c r="U37" s="197"/>
      <c r="V37" s="197"/>
      <c r="W37" s="197"/>
    </row>
    <row r="38" spans="1:23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10"/>
      <c r="N38" s="197"/>
      <c r="O38" s="197"/>
      <c r="P38" s="197"/>
      <c r="Q38" s="197"/>
      <c r="R38" s="197"/>
      <c r="S38" s="197"/>
      <c r="T38" s="197"/>
      <c r="U38" s="197"/>
      <c r="V38" s="197"/>
      <c r="W38" s="197"/>
    </row>
    <row r="39" spans="1:23">
      <c r="A39" s="94"/>
      <c r="B39" s="94"/>
      <c r="C39" s="94"/>
      <c r="D39" s="94"/>
      <c r="E39" s="94"/>
      <c r="F39" s="94"/>
      <c r="G39" s="94"/>
      <c r="H39" s="94"/>
      <c r="I39" s="94"/>
      <c r="J39" s="94"/>
    </row>
  </sheetData>
  <sheetProtection algorithmName="SHA-512" hashValue="nM5Uwl9w6uVS/BC5h+HUbhXd2mYZJCkY2D9OKWJt7aKLKoMYVNWAInjZRWgKaH02Pk+CsFGltKVfRCiEG9HQdQ==" saltValue="G6/1vbTMzZoY3/DYEUDmVA==" spinCount="100000" sheet="1" objects="1" scenarios="1"/>
  <mergeCells count="46">
    <mergeCell ref="A8:B8"/>
    <mergeCell ref="C11:H11"/>
    <mergeCell ref="C12:H12"/>
    <mergeCell ref="C14:G14"/>
    <mergeCell ref="A15:A28"/>
    <mergeCell ref="B10:H10"/>
    <mergeCell ref="B16:B22"/>
    <mergeCell ref="B27:B28"/>
    <mergeCell ref="C20:G20"/>
    <mergeCell ref="C21:G21"/>
    <mergeCell ref="B23:B25"/>
    <mergeCell ref="B2:G2"/>
    <mergeCell ref="A7:B7"/>
    <mergeCell ref="A4:B4"/>
    <mergeCell ref="A5:B5"/>
    <mergeCell ref="A6:B6"/>
    <mergeCell ref="A3:G3"/>
    <mergeCell ref="K14:L14"/>
    <mergeCell ref="C36:G36"/>
    <mergeCell ref="C25:G25"/>
    <mergeCell ref="C26:G26"/>
    <mergeCell ref="C37:G37"/>
    <mergeCell ref="C24:G24"/>
    <mergeCell ref="K33:L33"/>
    <mergeCell ref="C15:G15"/>
    <mergeCell ref="C16:G16"/>
    <mergeCell ref="C17:G17"/>
    <mergeCell ref="C22:G22"/>
    <mergeCell ref="C23:G23"/>
    <mergeCell ref="C27:G27"/>
    <mergeCell ref="C28:G28"/>
    <mergeCell ref="C18:G18"/>
    <mergeCell ref="C19:G19"/>
    <mergeCell ref="A29:A37"/>
    <mergeCell ref="B29:B32"/>
    <mergeCell ref="C29:D29"/>
    <mergeCell ref="F29:G29"/>
    <mergeCell ref="C30:D30"/>
    <mergeCell ref="F30:G30"/>
    <mergeCell ref="C31:D31"/>
    <mergeCell ref="F31:G31"/>
    <mergeCell ref="C32:D32"/>
    <mergeCell ref="F32:G32"/>
    <mergeCell ref="C33:D33"/>
    <mergeCell ref="C34:G34"/>
    <mergeCell ref="C35:G35"/>
  </mergeCells>
  <conditionalFormatting sqref="F5:G8">
    <cfRule type="containsBlanks" dxfId="96" priority="4">
      <formula>LEN(TRIM(F5))=0</formula>
    </cfRule>
  </conditionalFormatting>
  <conditionalFormatting sqref="E5:E6">
    <cfRule type="containsBlanks" dxfId="95" priority="3">
      <formula>LEN(TRIM(E5))=0</formula>
    </cfRule>
  </conditionalFormatting>
  <conditionalFormatting sqref="H15:I37">
    <cfRule type="containsBlanks" dxfId="94" priority="2">
      <formula>LEN(TRIM(H15))=0</formula>
    </cfRule>
  </conditionalFormatting>
  <conditionalFormatting sqref="E29:E33">
    <cfRule type="containsBlanks" dxfId="93" priority="1">
      <formula>LEN(TRIM(E29))=0</formula>
    </cfRule>
  </conditionalFormatting>
  <pageMargins left="0.4498611111111111" right="0.33217592592592593" top="0.75" bottom="0.75" header="0.3" footer="0.3"/>
  <pageSetup scale="82" orientation="portrait" r:id="rId1"/>
  <headerFooter>
    <oddHeader>&amp;L&amp;G&amp;R&amp;"Liberation Sans,Bold"&amp;14&amp;K00247D
EN97A: GHG Adjustments Form</oddHeader>
    <oddFooter>&amp;L&amp;"Liberation Sans,Regular"Version 1.3&amp;R&amp;"Liberation Sans,Regular"February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794589E2-2BF8-4C54-8AF2-54083E8B53F3}">
          <x14:formula1>
            <xm:f>'Lighting Lookup'!$D$118:$D$122</xm:f>
          </x14:formula1>
          <xm:sqref>B11</xm:sqref>
        </x14:dataValidation>
        <x14:dataValidation type="list" allowBlank="1" showInputMessage="1" showErrorMessage="1" xr:uid="{2B96F371-7198-4CD8-9D4D-41DC8AF83E95}">
          <x14:formula1>
            <xm:f>Lists!$L$1:$L$5</xm:f>
          </x14:formula1>
          <xm:sqref>E5:E6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0"/>
  <dimension ref="A2:S42"/>
  <sheetViews>
    <sheetView view="pageLayout" zoomScaleNormal="100" zoomScaleSheetLayoutView="115" workbookViewId="0">
      <selection activeCell="C5" sqref="C5"/>
    </sheetView>
  </sheetViews>
  <sheetFormatPr defaultColWidth="8.85546875" defaultRowHeight="14.25"/>
  <cols>
    <col min="1" max="1" width="5" style="186" customWidth="1"/>
    <col min="2" max="2" width="11.140625" style="186" customWidth="1"/>
    <col min="3" max="3" width="17.140625" style="186" customWidth="1"/>
    <col min="4" max="4" width="13.7109375" style="186" customWidth="1"/>
    <col min="5" max="5" width="9.28515625" style="187" customWidth="1"/>
    <col min="6" max="6" width="13.140625" style="186" customWidth="1"/>
    <col min="7" max="7" width="13.42578125" style="186" customWidth="1"/>
    <col min="8" max="8" width="10.5703125" style="186" customWidth="1"/>
    <col min="9" max="9" width="13.140625" style="186" customWidth="1"/>
    <col min="10" max="10" width="9.7109375" style="186" customWidth="1"/>
    <col min="11" max="11" width="6.7109375" style="94" customWidth="1"/>
    <col min="12" max="12" width="13.7109375" style="94" customWidth="1"/>
    <col min="13" max="13" width="8.85546875" style="94"/>
    <col min="14" max="14" width="5.42578125" style="94" hidden="1" customWidth="1"/>
    <col min="15" max="16" width="6.7109375" style="94" hidden="1" customWidth="1"/>
    <col min="17" max="17" width="8.85546875" style="94" hidden="1" customWidth="1"/>
    <col min="18" max="18" width="2.28515625" style="94" hidden="1" customWidth="1"/>
    <col min="19" max="19" width="9" style="94" hidden="1" customWidth="1"/>
    <col min="20" max="16384" width="8.85546875" style="94"/>
  </cols>
  <sheetData>
    <row r="2" spans="1:12" s="153" customFormat="1" ht="15" customHeight="1">
      <c r="A2" s="179" t="s">
        <v>761</v>
      </c>
      <c r="B2" s="397" t="s">
        <v>762</v>
      </c>
      <c r="C2" s="397"/>
      <c r="D2" s="397"/>
      <c r="E2" s="397"/>
      <c r="F2" s="397"/>
      <c r="G2" s="397"/>
      <c r="H2" s="397"/>
      <c r="I2" s="397"/>
      <c r="J2" s="397"/>
    </row>
    <row r="3" spans="1:12" ht="45" customHeight="1">
      <c r="A3" s="398" t="s">
        <v>763</v>
      </c>
      <c r="B3" s="399"/>
      <c r="C3" s="176" t="s">
        <v>764</v>
      </c>
      <c r="D3" s="154" t="s">
        <v>765</v>
      </c>
      <c r="E3" s="154" t="s">
        <v>766</v>
      </c>
      <c r="F3" s="154" t="s">
        <v>767</v>
      </c>
      <c r="G3" s="154" t="s">
        <v>768</v>
      </c>
      <c r="H3" s="154" t="s">
        <v>107</v>
      </c>
      <c r="I3" s="154" t="s">
        <v>108</v>
      </c>
      <c r="J3" s="154" t="s">
        <v>109</v>
      </c>
    </row>
    <row r="4" spans="1:12">
      <c r="A4" s="402"/>
      <c r="B4" s="403"/>
      <c r="C4" s="175" t="s">
        <v>174</v>
      </c>
      <c r="D4" s="180" t="str">
        <f>IF(C4="","",IF(C4="#","kW","W/SF"))</f>
        <v>W/SF</v>
      </c>
      <c r="E4" s="154" t="s">
        <v>769</v>
      </c>
      <c r="F4" s="154" t="s">
        <v>770</v>
      </c>
      <c r="G4" s="154"/>
      <c r="H4" s="154"/>
      <c r="I4" s="154"/>
      <c r="J4" s="154"/>
    </row>
    <row r="5" spans="1:12">
      <c r="A5" s="411"/>
      <c r="B5" s="411"/>
      <c r="C5" s="155"/>
      <c r="D5" s="155"/>
      <c r="E5" s="155"/>
      <c r="F5" s="155"/>
      <c r="G5" s="155"/>
      <c r="H5" s="155"/>
      <c r="I5" s="155"/>
      <c r="J5" s="155"/>
      <c r="L5" s="125"/>
    </row>
    <row r="6" spans="1:12">
      <c r="A6" s="411"/>
      <c r="B6" s="411"/>
      <c r="C6" s="155"/>
      <c r="D6" s="181"/>
      <c r="E6" s="155"/>
      <c r="F6" s="155"/>
      <c r="G6" s="155"/>
      <c r="H6" s="155"/>
      <c r="I6" s="155"/>
      <c r="J6" s="155"/>
      <c r="L6" s="125"/>
    </row>
    <row r="7" spans="1:12">
      <c r="A7" s="472"/>
      <c r="B7" s="473"/>
      <c r="C7" s="155"/>
      <c r="D7" s="181"/>
      <c r="E7" s="155"/>
      <c r="F7" s="155"/>
      <c r="G7" s="155"/>
      <c r="H7" s="155"/>
      <c r="I7" s="155"/>
      <c r="J7" s="155"/>
    </row>
    <row r="8" spans="1:12">
      <c r="A8" s="472"/>
      <c r="B8" s="473"/>
      <c r="C8" s="155"/>
      <c r="D8" s="181"/>
      <c r="E8" s="155"/>
      <c r="F8" s="155"/>
      <c r="G8" s="155"/>
      <c r="H8" s="155"/>
      <c r="I8" s="155"/>
      <c r="J8" s="155"/>
    </row>
    <row r="9" spans="1:12">
      <c r="A9" s="472"/>
      <c r="B9" s="473"/>
      <c r="C9" s="155"/>
      <c r="D9" s="181"/>
      <c r="E9" s="155"/>
      <c r="F9" s="155"/>
      <c r="G9" s="155"/>
      <c r="H9" s="155"/>
      <c r="I9" s="155"/>
      <c r="J9" s="155"/>
    </row>
    <row r="10" spans="1:12">
      <c r="A10" s="472"/>
      <c r="B10" s="473"/>
      <c r="C10" s="155"/>
      <c r="D10" s="181"/>
      <c r="E10" s="155"/>
      <c r="F10" s="155"/>
      <c r="G10" s="155"/>
      <c r="H10" s="155"/>
      <c r="I10" s="155"/>
      <c r="J10" s="155"/>
    </row>
    <row r="11" spans="1:12">
      <c r="A11" s="472"/>
      <c r="B11" s="473"/>
      <c r="C11" s="155"/>
      <c r="D11" s="181"/>
      <c r="E11" s="155"/>
      <c r="F11" s="155"/>
      <c r="G11" s="155"/>
      <c r="H11" s="155"/>
      <c r="I11" s="155"/>
      <c r="J11" s="155"/>
    </row>
    <row r="12" spans="1:12">
      <c r="A12" s="472"/>
      <c r="B12" s="473"/>
      <c r="C12" s="155"/>
      <c r="D12" s="181"/>
      <c r="E12" s="155"/>
      <c r="F12" s="155"/>
      <c r="G12" s="155"/>
      <c r="H12" s="155"/>
      <c r="I12" s="155"/>
      <c r="J12" s="155"/>
    </row>
    <row r="13" spans="1:12">
      <c r="A13" s="472"/>
      <c r="B13" s="473"/>
      <c r="C13" s="155"/>
      <c r="D13" s="181"/>
      <c r="E13" s="155"/>
      <c r="F13" s="155"/>
      <c r="G13" s="155"/>
      <c r="H13" s="155"/>
      <c r="I13" s="155"/>
      <c r="J13" s="155"/>
    </row>
    <row r="14" spans="1:12">
      <c r="A14" s="472"/>
      <c r="B14" s="473"/>
      <c r="C14" s="155"/>
      <c r="D14" s="181"/>
      <c r="E14" s="155"/>
      <c r="F14" s="155"/>
      <c r="G14" s="155"/>
      <c r="H14" s="155"/>
      <c r="I14" s="155"/>
      <c r="J14" s="155"/>
    </row>
    <row r="15" spans="1:12">
      <c r="A15" s="472"/>
      <c r="B15" s="473"/>
      <c r="C15" s="155"/>
      <c r="D15" s="181"/>
      <c r="E15" s="155"/>
      <c r="F15" s="155"/>
      <c r="G15" s="155"/>
      <c r="H15" s="155"/>
      <c r="I15" s="155"/>
      <c r="J15" s="155"/>
    </row>
    <row r="16" spans="1:12">
      <c r="A16" s="472"/>
      <c r="B16" s="473"/>
      <c r="C16" s="155"/>
      <c r="D16" s="181"/>
      <c r="E16" s="155"/>
      <c r="F16" s="155"/>
      <c r="G16" s="155"/>
      <c r="H16" s="155"/>
      <c r="I16" s="155"/>
      <c r="J16" s="155"/>
    </row>
    <row r="17" spans="1:12">
      <c r="A17" s="472"/>
      <c r="B17" s="473"/>
      <c r="C17" s="155"/>
      <c r="D17" s="181"/>
      <c r="E17" s="155"/>
      <c r="F17" s="155"/>
      <c r="G17" s="155"/>
      <c r="H17" s="155"/>
      <c r="I17" s="155"/>
      <c r="J17" s="155"/>
    </row>
    <row r="18" spans="1:12">
      <c r="A18" s="472"/>
      <c r="B18" s="473"/>
      <c r="C18" s="155"/>
      <c r="D18" s="181"/>
      <c r="E18" s="155"/>
      <c r="F18" s="155"/>
      <c r="G18" s="155"/>
      <c r="H18" s="155"/>
      <c r="I18" s="155"/>
      <c r="J18" s="155"/>
    </row>
    <row r="19" spans="1:12">
      <c r="A19" s="472"/>
      <c r="B19" s="473"/>
      <c r="C19" s="155"/>
      <c r="D19" s="181"/>
      <c r="E19" s="155"/>
      <c r="F19" s="155"/>
      <c r="G19" s="155"/>
      <c r="H19" s="155"/>
      <c r="I19" s="155"/>
      <c r="J19" s="155"/>
    </row>
    <row r="20" spans="1:12">
      <c r="A20" s="472"/>
      <c r="B20" s="473"/>
      <c r="C20" s="155"/>
      <c r="D20" s="181"/>
      <c r="E20" s="155"/>
      <c r="F20" s="155"/>
      <c r="G20" s="155"/>
      <c r="H20" s="155"/>
      <c r="I20" s="155"/>
      <c r="J20" s="155"/>
    </row>
    <row r="21" spans="1:12">
      <c r="A21" s="472"/>
      <c r="B21" s="473"/>
      <c r="C21" s="155"/>
      <c r="D21" s="181"/>
      <c r="E21" s="155"/>
      <c r="F21" s="155"/>
      <c r="G21" s="155"/>
      <c r="H21" s="155"/>
      <c r="I21" s="155"/>
      <c r="J21" s="155"/>
    </row>
    <row r="22" spans="1:12">
      <c r="A22" s="472"/>
      <c r="B22" s="473"/>
      <c r="C22" s="155"/>
      <c r="D22" s="181"/>
      <c r="E22" s="155"/>
      <c r="F22" s="155"/>
      <c r="G22" s="155"/>
      <c r="H22" s="155"/>
      <c r="I22" s="155"/>
      <c r="J22" s="155"/>
    </row>
    <row r="23" spans="1:12">
      <c r="A23" s="472"/>
      <c r="B23" s="473"/>
      <c r="C23" s="155"/>
      <c r="D23" s="181"/>
      <c r="E23" s="155"/>
      <c r="F23" s="155"/>
      <c r="G23" s="155"/>
      <c r="H23" s="155"/>
      <c r="I23" s="155"/>
      <c r="J23" s="155"/>
    </row>
    <row r="24" spans="1:12">
      <c r="A24" s="472"/>
      <c r="B24" s="473"/>
      <c r="C24" s="155"/>
      <c r="D24" s="181"/>
      <c r="E24" s="155"/>
      <c r="F24" s="155"/>
      <c r="G24" s="155"/>
      <c r="H24" s="155"/>
      <c r="I24" s="155"/>
      <c r="J24" s="155"/>
    </row>
    <row r="25" spans="1:12">
      <c r="A25" s="472"/>
      <c r="B25" s="473"/>
      <c r="C25" s="155"/>
      <c r="D25" s="181"/>
      <c r="E25" s="155"/>
      <c r="F25" s="155"/>
      <c r="G25" s="155"/>
      <c r="H25" s="155"/>
      <c r="I25" s="155"/>
      <c r="J25" s="155"/>
    </row>
    <row r="26" spans="1:12">
      <c r="A26" s="472"/>
      <c r="B26" s="473"/>
      <c r="C26" s="155"/>
      <c r="D26" s="181"/>
      <c r="E26" s="155"/>
      <c r="F26" s="155"/>
      <c r="G26" s="155"/>
      <c r="H26" s="155"/>
      <c r="I26" s="155"/>
      <c r="J26" s="155"/>
    </row>
    <row r="27" spans="1:12">
      <c r="A27" s="472"/>
      <c r="B27" s="473"/>
      <c r="C27" s="155"/>
      <c r="D27" s="181"/>
      <c r="E27" s="155"/>
      <c r="F27" s="155"/>
      <c r="G27" s="155"/>
      <c r="H27" s="155"/>
      <c r="I27" s="155"/>
      <c r="J27" s="155"/>
    </row>
    <row r="28" spans="1:12">
      <c r="A28" s="474" t="s">
        <v>37</v>
      </c>
      <c r="B28" s="474"/>
      <c r="C28" s="182" t="str">
        <f>IF(SUM(C5:C27)=0,"",SUM(C5:C27))</f>
        <v/>
      </c>
      <c r="D28" s="182" t="str">
        <f>IF(SUM(D5:D27)=0,"",IF(D4="W/SF",SUMPRODUCT($C$5:$C$27,$D$5:$D$27)/1000,SUMPRODUCT($C$5:$C$27,$D$5:$D$27)))</f>
        <v/>
      </c>
      <c r="E28" s="154" t="str">
        <f>IF(E5="","",SUM(E27))</f>
        <v/>
      </c>
      <c r="F28" s="154"/>
      <c r="G28" s="154"/>
      <c r="H28" s="154"/>
      <c r="I28" s="154"/>
      <c r="J28" s="154"/>
    </row>
    <row r="29" spans="1:12">
      <c r="A29" s="183"/>
      <c r="B29" s="183"/>
      <c r="C29" s="183"/>
      <c r="D29" s="183"/>
      <c r="E29" s="184"/>
      <c r="F29" s="183"/>
      <c r="G29" s="183"/>
      <c r="H29" s="183"/>
      <c r="I29" s="183"/>
      <c r="J29" s="183"/>
      <c r="K29" s="185"/>
      <c r="L29" s="185"/>
    </row>
    <row r="30" spans="1:12">
      <c r="A30" s="183"/>
      <c r="B30" s="183"/>
      <c r="C30" s="183"/>
      <c r="D30" s="183"/>
      <c r="E30" s="184"/>
      <c r="F30" s="183"/>
      <c r="G30" s="183"/>
      <c r="H30" s="183"/>
      <c r="I30" s="183"/>
      <c r="J30" s="183"/>
      <c r="K30" s="185"/>
      <c r="L30" s="185"/>
    </row>
    <row r="31" spans="1:12">
      <c r="A31" s="183"/>
      <c r="B31" s="183"/>
      <c r="C31" s="183"/>
      <c r="D31" s="183"/>
      <c r="E31" s="184"/>
      <c r="F31" s="183"/>
      <c r="G31" s="183"/>
      <c r="H31" s="183"/>
      <c r="I31" s="183"/>
      <c r="J31" s="183"/>
      <c r="K31" s="185"/>
      <c r="L31" s="185"/>
    </row>
    <row r="32" spans="1:12">
      <c r="A32" s="183"/>
      <c r="B32" s="183"/>
      <c r="C32" s="183"/>
      <c r="D32" s="183"/>
      <c r="E32" s="184"/>
      <c r="F32" s="183"/>
      <c r="G32" s="183"/>
      <c r="H32" s="183"/>
      <c r="I32" s="183"/>
      <c r="J32" s="183"/>
      <c r="K32" s="185"/>
      <c r="L32" s="185"/>
    </row>
    <row r="33" spans="1:12">
      <c r="A33" s="183"/>
      <c r="B33" s="183"/>
      <c r="C33" s="183"/>
      <c r="D33" s="183"/>
      <c r="E33" s="184"/>
      <c r="F33" s="183"/>
      <c r="G33" s="183"/>
      <c r="H33" s="183"/>
      <c r="I33" s="183"/>
      <c r="J33" s="183"/>
      <c r="K33" s="185"/>
      <c r="L33" s="185"/>
    </row>
    <row r="34" spans="1:12">
      <c r="A34" s="183"/>
      <c r="B34" s="183"/>
      <c r="C34" s="183"/>
      <c r="D34" s="183"/>
      <c r="E34" s="184"/>
      <c r="F34" s="183"/>
      <c r="G34" s="183"/>
      <c r="H34" s="183"/>
      <c r="I34" s="183"/>
      <c r="J34" s="183"/>
      <c r="K34" s="185"/>
      <c r="L34" s="185"/>
    </row>
    <row r="35" spans="1:12">
      <c r="A35" s="183"/>
      <c r="B35" s="183"/>
      <c r="C35" s="183"/>
      <c r="D35" s="183"/>
      <c r="E35" s="184"/>
      <c r="F35" s="183"/>
      <c r="G35" s="183"/>
      <c r="H35" s="183"/>
      <c r="I35" s="183"/>
      <c r="J35" s="183"/>
      <c r="K35" s="185"/>
      <c r="L35" s="185"/>
    </row>
    <row r="36" spans="1:12">
      <c r="A36" s="183"/>
      <c r="B36" s="183"/>
      <c r="C36" s="183"/>
      <c r="D36" s="183"/>
      <c r="E36" s="184"/>
      <c r="F36" s="183"/>
      <c r="G36" s="183"/>
      <c r="H36" s="183"/>
      <c r="I36" s="183"/>
      <c r="J36" s="183"/>
      <c r="K36" s="185"/>
      <c r="L36" s="185"/>
    </row>
    <row r="37" spans="1:12">
      <c r="A37" s="183"/>
      <c r="B37" s="183"/>
      <c r="C37" s="183"/>
      <c r="D37" s="183"/>
      <c r="E37" s="184"/>
      <c r="F37" s="183"/>
      <c r="G37" s="183"/>
      <c r="H37" s="183"/>
      <c r="I37" s="183"/>
      <c r="J37" s="183"/>
      <c r="K37" s="185"/>
      <c r="L37" s="185"/>
    </row>
    <row r="38" spans="1:12">
      <c r="A38" s="183"/>
      <c r="B38" s="183"/>
      <c r="C38" s="183"/>
      <c r="D38" s="183"/>
      <c r="E38" s="184"/>
      <c r="F38" s="183"/>
      <c r="G38" s="183"/>
      <c r="H38" s="183"/>
      <c r="I38" s="183"/>
      <c r="J38" s="183"/>
      <c r="K38" s="185"/>
      <c r="L38" s="185"/>
    </row>
    <row r="39" spans="1:12">
      <c r="A39" s="183"/>
      <c r="B39" s="183"/>
      <c r="C39" s="183"/>
      <c r="D39" s="183"/>
      <c r="E39" s="184"/>
      <c r="F39" s="183"/>
      <c r="G39" s="183"/>
      <c r="H39" s="183"/>
      <c r="I39" s="183"/>
      <c r="J39" s="183"/>
      <c r="K39" s="185"/>
      <c r="L39" s="185"/>
    </row>
    <row r="40" spans="1:12">
      <c r="A40" s="183"/>
      <c r="B40" s="183"/>
      <c r="C40" s="183"/>
      <c r="D40" s="183"/>
      <c r="E40" s="184"/>
      <c r="F40" s="183"/>
      <c r="G40" s="183"/>
      <c r="H40" s="183"/>
      <c r="I40" s="183"/>
      <c r="J40" s="183"/>
      <c r="K40" s="185"/>
      <c r="L40" s="185"/>
    </row>
    <row r="41" spans="1:12">
      <c r="A41" s="183"/>
      <c r="B41" s="183"/>
      <c r="C41" s="183"/>
      <c r="D41" s="183"/>
      <c r="E41" s="184"/>
      <c r="F41" s="183"/>
      <c r="G41" s="183"/>
      <c r="H41" s="183"/>
      <c r="I41" s="183"/>
      <c r="J41" s="183"/>
      <c r="K41" s="185"/>
      <c r="L41" s="185"/>
    </row>
    <row r="42" spans="1:12">
      <c r="A42" s="183"/>
      <c r="B42" s="183"/>
      <c r="C42" s="183"/>
      <c r="D42" s="183"/>
      <c r="E42" s="184"/>
      <c r="F42" s="183"/>
      <c r="G42" s="183"/>
      <c r="H42" s="183"/>
      <c r="I42" s="183"/>
      <c r="J42" s="183"/>
      <c r="K42" s="185"/>
      <c r="L42" s="185"/>
    </row>
  </sheetData>
  <sheetProtection algorithmName="SHA-512" hashValue="jT/kaAXXCSnVNLAQgY+7dxVDTNfWRHFY9lD45kaE3Iit1G2Rm6yqbwJNh3YkVxUX0fvz+YrBSF3W8sE3IPhWLA==" saltValue="jawjmV+1Z3Fa2LpUZ/ZFjg==" spinCount="100000" sheet="1" objects="1" scenarios="1"/>
  <mergeCells count="26">
    <mergeCell ref="A7:B7"/>
    <mergeCell ref="A8:B8"/>
    <mergeCell ref="A5:B5"/>
    <mergeCell ref="A3:B4"/>
    <mergeCell ref="B2:J2"/>
    <mergeCell ref="A28:B28"/>
    <mergeCell ref="A6:B6"/>
    <mergeCell ref="A27:B27"/>
    <mergeCell ref="A26:B26"/>
    <mergeCell ref="A25:B25"/>
    <mergeCell ref="A23:B23"/>
    <mergeCell ref="A24:B24"/>
    <mergeCell ref="A19:B19"/>
    <mergeCell ref="A20:B20"/>
    <mergeCell ref="A21:B21"/>
    <mergeCell ref="A22:B22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</mergeCells>
  <conditionalFormatting sqref="A5:G5 D6:G27 I5:J27">
    <cfRule type="containsBlanks" dxfId="92" priority="5">
      <formula>LEN(TRIM(A5))=0</formula>
    </cfRule>
  </conditionalFormatting>
  <conditionalFormatting sqref="A6:C27">
    <cfRule type="containsBlanks" dxfId="91" priority="4">
      <formula>LEN(TRIM(A6))=0</formula>
    </cfRule>
  </conditionalFormatting>
  <conditionalFormatting sqref="H5:H27">
    <cfRule type="containsBlanks" dxfId="90" priority="2">
      <formula>LEN(TRIM(H5))=0</formula>
    </cfRule>
  </conditionalFormatting>
  <dataValidations disablePrompts="1" count="1">
    <dataValidation type="list" allowBlank="1" showInputMessage="1" showErrorMessage="1" sqref="G5:G27" xr:uid="{00000000-0002-0000-1300-000000000000}">
      <formula1>Yes_No</formula1>
    </dataValidation>
  </dataValidations>
  <pageMargins left="0.4498611111111111" right="0.51249999999999996" top="0.75" bottom="0.75" header="0.3" footer="0.3"/>
  <pageSetup scale="82" orientation="portrait" r:id="rId1"/>
  <headerFooter>
    <oddHeader>&amp;L&amp;G&amp;R
&amp;"Liberation Sans,Bold"&amp;14&amp;K00247DEN97A: GHG Adjustments Form</oddHeader>
    <oddFooter>&amp;L&amp;"Liberation Sans,Regular"Version 1.3&amp;R&amp;"Liberation Sans,Regular"February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1300-000001000000}">
          <x14:formula1>
            <xm:f>Lists!$R$1:$R$2</xm:f>
          </x14:formula1>
          <xm:sqref>C4</xm:sqref>
        </x14:dataValidation>
        <x14:dataValidation type="list" allowBlank="1" showInputMessage="1" showErrorMessage="1" xr:uid="{AA6B8220-38C5-49EC-A890-2A14A30B86B4}">
          <x14:formula1>
            <xm:f>Lists!$L$1:$L$5</xm:f>
          </x14:formula1>
          <xm:sqref>H5:H27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1"/>
  <dimension ref="A1:I35"/>
  <sheetViews>
    <sheetView view="pageLayout" zoomScaleNormal="130" zoomScaleSheetLayoutView="89" workbookViewId="0">
      <selection activeCell="I6" sqref="I6"/>
    </sheetView>
  </sheetViews>
  <sheetFormatPr defaultColWidth="8.85546875" defaultRowHeight="14.25"/>
  <cols>
    <col min="1" max="1" width="8.85546875" style="94"/>
    <col min="2" max="2" width="11.7109375" style="94" customWidth="1"/>
    <col min="3" max="3" width="19.85546875" style="94" customWidth="1"/>
    <col min="4" max="4" width="5.28515625" style="94" customWidth="1"/>
    <col min="5" max="5" width="16.28515625" style="94" customWidth="1"/>
    <col min="6" max="6" width="7" style="94" customWidth="1"/>
    <col min="7" max="7" width="15.140625" style="94" customWidth="1"/>
    <col min="8" max="8" width="13" style="94" customWidth="1"/>
    <col min="9" max="9" width="14.42578125" style="94" customWidth="1"/>
    <col min="10" max="16384" width="8.85546875" style="94"/>
  </cols>
  <sheetData>
    <row r="1" spans="1:9" ht="15" customHeight="1"/>
    <row r="2" spans="1:9" s="153" customFormat="1" ht="15.75" customHeight="1">
      <c r="A2" s="172" t="s">
        <v>771</v>
      </c>
      <c r="B2" s="397" t="s">
        <v>772</v>
      </c>
      <c r="C2" s="397"/>
      <c r="D2" s="397"/>
      <c r="E2" s="397"/>
      <c r="F2" s="397"/>
      <c r="G2" s="397"/>
      <c r="H2" s="397"/>
      <c r="I2" s="397"/>
    </row>
    <row r="3" spans="1:9" ht="15.75" customHeight="1">
      <c r="A3" s="475" t="str">
        <f>CONCATENATE("Compliance based on ",IF(Path="","",Path))</f>
        <v>Compliance based on 2024 GHG Limit</v>
      </c>
      <c r="B3" s="475"/>
      <c r="C3" s="475"/>
      <c r="D3" s="475"/>
      <c r="E3" s="475"/>
      <c r="F3" s="475"/>
      <c r="G3" s="475"/>
      <c r="H3" s="475"/>
      <c r="I3" s="475"/>
    </row>
    <row r="4" spans="1:9" ht="32.25" customHeight="1">
      <c r="A4" s="398" t="s">
        <v>138</v>
      </c>
      <c r="B4" s="399"/>
      <c r="C4" s="173" t="s">
        <v>773</v>
      </c>
      <c r="D4" s="173" t="s">
        <v>774</v>
      </c>
      <c r="E4" s="173" t="s">
        <v>775</v>
      </c>
      <c r="F4" s="173" t="s">
        <v>774</v>
      </c>
      <c r="G4" s="154" t="s">
        <v>107</v>
      </c>
      <c r="H4" s="173" t="s">
        <v>126</v>
      </c>
      <c r="I4" s="173" t="s">
        <v>109</v>
      </c>
    </row>
    <row r="5" spans="1:9" ht="17.45" customHeight="1">
      <c r="A5" s="402"/>
      <c r="B5" s="403"/>
      <c r="C5" s="414" t="s">
        <v>260</v>
      </c>
      <c r="D5" s="416"/>
      <c r="E5" s="173"/>
      <c r="F5" s="173"/>
      <c r="G5" s="173"/>
      <c r="H5" s="173"/>
      <c r="I5" s="173"/>
    </row>
    <row r="6" spans="1:9" ht="34.5" customHeight="1">
      <c r="A6" s="477" t="s">
        <v>776</v>
      </c>
      <c r="B6" s="478"/>
      <c r="C6" s="479" t="str">
        <f>IF(E6="","",IF($C$5="","",IF(OR(Path="Section 11 ECB",Path="2024 GHG Limit"),E6,VLOOKUP(C5,Lists!$A$100:$B$133,2))))</f>
        <v/>
      </c>
      <c r="D6" s="480"/>
      <c r="E6" s="481"/>
      <c r="F6" s="481"/>
      <c r="G6" s="155"/>
      <c r="H6" s="174"/>
      <c r="I6" s="174"/>
    </row>
    <row r="7" spans="1:9">
      <c r="A7" s="458" t="s">
        <v>777</v>
      </c>
      <c r="B7" s="458"/>
      <c r="C7" s="174"/>
      <c r="D7" s="175" t="s">
        <v>173</v>
      </c>
      <c r="E7" s="174"/>
      <c r="F7" s="175" t="s">
        <v>173</v>
      </c>
      <c r="G7" s="155"/>
      <c r="H7" s="174"/>
      <c r="I7" s="174"/>
    </row>
    <row r="8" spans="1:9">
      <c r="A8" s="458" t="s">
        <v>377</v>
      </c>
      <c r="B8" s="458"/>
      <c r="C8" s="174"/>
      <c r="D8" s="175" t="s">
        <v>197</v>
      </c>
      <c r="E8" s="174"/>
      <c r="F8" s="175" t="s">
        <v>200</v>
      </c>
      <c r="G8" s="155"/>
      <c r="H8" s="174"/>
      <c r="I8" s="174"/>
    </row>
    <row r="9" spans="1:9" hidden="1">
      <c r="A9" s="458" t="s">
        <v>778</v>
      </c>
      <c r="B9" s="458"/>
      <c r="C9" s="174"/>
      <c r="D9" s="176" t="s">
        <v>779</v>
      </c>
      <c r="E9" s="174"/>
      <c r="F9" s="177" t="s">
        <v>779</v>
      </c>
      <c r="G9" s="155"/>
      <c r="H9" s="174"/>
      <c r="I9" s="174"/>
    </row>
    <row r="10" spans="1:9" hidden="1">
      <c r="A10" s="458" t="s">
        <v>780</v>
      </c>
      <c r="B10" s="458"/>
      <c r="C10" s="174"/>
      <c r="D10" s="176" t="s">
        <v>781</v>
      </c>
      <c r="E10" s="174"/>
      <c r="F10" s="177" t="s">
        <v>781</v>
      </c>
      <c r="G10" s="155"/>
      <c r="H10" s="174"/>
      <c r="I10" s="174"/>
    </row>
    <row r="11" spans="1:9" ht="16.5" customHeight="1">
      <c r="A11" s="458" t="s">
        <v>782</v>
      </c>
      <c r="B11" s="458"/>
      <c r="C11" s="174"/>
      <c r="D11" s="176" t="s">
        <v>783</v>
      </c>
      <c r="E11" s="174"/>
      <c r="F11" s="177" t="s">
        <v>783</v>
      </c>
      <c r="G11" s="155"/>
      <c r="H11" s="174"/>
      <c r="I11" s="174"/>
    </row>
    <row r="12" spans="1:9" ht="21.75" customHeight="1">
      <c r="A12" s="458" t="s">
        <v>784</v>
      </c>
      <c r="B12" s="458"/>
      <c r="C12" s="178"/>
      <c r="D12" s="176" t="s">
        <v>158</v>
      </c>
      <c r="E12" s="178"/>
      <c r="F12" s="177" t="s">
        <v>158</v>
      </c>
      <c r="G12" s="155"/>
      <c r="H12" s="174"/>
      <c r="I12" s="174"/>
    </row>
    <row r="13" spans="1:9" ht="24" customHeight="1">
      <c r="A13" s="458" t="s">
        <v>785</v>
      </c>
      <c r="B13" s="458"/>
      <c r="C13" s="178"/>
      <c r="D13" s="176" t="s">
        <v>157</v>
      </c>
      <c r="E13" s="178"/>
      <c r="F13" s="177" t="s">
        <v>157</v>
      </c>
      <c r="G13" s="155"/>
      <c r="H13" s="174"/>
      <c r="I13" s="174"/>
    </row>
    <row r="14" spans="1:9" ht="24" customHeight="1">
      <c r="A14" s="458" t="s">
        <v>786</v>
      </c>
      <c r="B14" s="458"/>
      <c r="C14" s="482"/>
      <c r="D14" s="483"/>
      <c r="E14" s="482"/>
      <c r="F14" s="483"/>
      <c r="G14" s="155"/>
      <c r="H14" s="174"/>
      <c r="I14" s="174"/>
    </row>
    <row r="16" spans="1:9" s="153" customFormat="1" ht="30" customHeight="1">
      <c r="A16" s="433" t="s">
        <v>950</v>
      </c>
      <c r="B16" s="434"/>
      <c r="C16" s="397" t="s">
        <v>787</v>
      </c>
      <c r="D16" s="397"/>
      <c r="E16" s="397"/>
      <c r="F16" s="397"/>
      <c r="G16" s="397"/>
      <c r="H16" s="397"/>
      <c r="I16" s="397"/>
    </row>
    <row r="17" spans="1:9">
      <c r="A17" s="476"/>
      <c r="B17" s="476"/>
      <c r="C17" s="476"/>
      <c r="D17" s="476"/>
      <c r="E17" s="476"/>
      <c r="F17" s="476"/>
      <c r="G17" s="476"/>
      <c r="H17" s="476"/>
      <c r="I17" s="476"/>
    </row>
    <row r="18" spans="1:9">
      <c r="A18" s="476"/>
      <c r="B18" s="476"/>
      <c r="C18" s="476"/>
      <c r="D18" s="476"/>
      <c r="E18" s="476"/>
      <c r="F18" s="476"/>
      <c r="G18" s="476"/>
      <c r="H18" s="476"/>
      <c r="I18" s="476"/>
    </row>
    <row r="19" spans="1:9">
      <c r="A19" s="476"/>
      <c r="B19" s="476"/>
      <c r="C19" s="476"/>
      <c r="D19" s="476"/>
      <c r="E19" s="476"/>
      <c r="F19" s="476"/>
      <c r="G19" s="476"/>
      <c r="H19" s="476"/>
      <c r="I19" s="476"/>
    </row>
    <row r="20" spans="1:9">
      <c r="A20" s="476"/>
      <c r="B20" s="476"/>
      <c r="C20" s="476"/>
      <c r="D20" s="476"/>
      <c r="E20" s="476"/>
      <c r="F20" s="476"/>
      <c r="G20" s="476"/>
      <c r="H20" s="476"/>
      <c r="I20" s="476"/>
    </row>
    <row r="21" spans="1:9">
      <c r="A21" s="476"/>
      <c r="B21" s="476"/>
      <c r="C21" s="476"/>
      <c r="D21" s="476"/>
      <c r="E21" s="476"/>
      <c r="F21" s="476"/>
      <c r="G21" s="476"/>
      <c r="H21" s="476"/>
      <c r="I21" s="476"/>
    </row>
    <row r="22" spans="1:9">
      <c r="A22" s="476"/>
      <c r="B22" s="476"/>
      <c r="C22" s="476"/>
      <c r="D22" s="476"/>
      <c r="E22" s="476"/>
      <c r="F22" s="476"/>
      <c r="G22" s="476"/>
      <c r="H22" s="476"/>
      <c r="I22" s="476"/>
    </row>
    <row r="23" spans="1:9">
      <c r="A23" s="476"/>
      <c r="B23" s="476"/>
      <c r="C23" s="476"/>
      <c r="D23" s="476"/>
      <c r="E23" s="476"/>
      <c r="F23" s="476"/>
      <c r="G23" s="476"/>
      <c r="H23" s="476"/>
      <c r="I23" s="476"/>
    </row>
    <row r="24" spans="1:9">
      <c r="A24" s="476"/>
      <c r="B24" s="476"/>
      <c r="C24" s="476"/>
      <c r="D24" s="476"/>
      <c r="E24" s="476"/>
      <c r="F24" s="476"/>
      <c r="G24" s="476"/>
      <c r="H24" s="476"/>
      <c r="I24" s="476"/>
    </row>
    <row r="25" spans="1:9">
      <c r="A25" s="476"/>
      <c r="B25" s="476"/>
      <c r="C25" s="476"/>
      <c r="D25" s="476"/>
      <c r="E25" s="476"/>
      <c r="F25" s="476"/>
      <c r="G25" s="476"/>
      <c r="H25" s="476"/>
      <c r="I25" s="476"/>
    </row>
    <row r="26" spans="1:9">
      <c r="A26" s="476"/>
      <c r="B26" s="476"/>
      <c r="C26" s="476"/>
      <c r="D26" s="476"/>
      <c r="E26" s="476"/>
      <c r="F26" s="476"/>
      <c r="G26" s="476"/>
      <c r="H26" s="476"/>
      <c r="I26" s="476"/>
    </row>
    <row r="27" spans="1:9">
      <c r="A27" s="476"/>
      <c r="B27" s="476"/>
      <c r="C27" s="476"/>
      <c r="D27" s="476"/>
      <c r="E27" s="476"/>
      <c r="F27" s="476"/>
      <c r="G27" s="476"/>
      <c r="H27" s="476"/>
      <c r="I27" s="476"/>
    </row>
    <row r="28" spans="1:9">
      <c r="A28" s="476"/>
      <c r="B28" s="476"/>
      <c r="C28" s="476"/>
      <c r="D28" s="476"/>
      <c r="E28" s="476"/>
      <c r="F28" s="476"/>
      <c r="G28" s="476"/>
      <c r="H28" s="476"/>
      <c r="I28" s="476"/>
    </row>
    <row r="29" spans="1:9">
      <c r="A29" s="476"/>
      <c r="B29" s="476"/>
      <c r="C29" s="476"/>
      <c r="D29" s="476"/>
      <c r="E29" s="476"/>
      <c r="F29" s="476"/>
      <c r="G29" s="476"/>
      <c r="H29" s="476"/>
      <c r="I29" s="476"/>
    </row>
    <row r="30" spans="1:9">
      <c r="A30" s="476"/>
      <c r="B30" s="476"/>
      <c r="C30" s="476"/>
      <c r="D30" s="476"/>
      <c r="E30" s="476"/>
      <c r="F30" s="476"/>
      <c r="G30" s="476"/>
      <c r="H30" s="476"/>
      <c r="I30" s="476"/>
    </row>
    <row r="31" spans="1:9">
      <c r="A31" s="476"/>
      <c r="B31" s="476"/>
      <c r="C31" s="476"/>
      <c r="D31" s="476"/>
      <c r="E31" s="476"/>
      <c r="F31" s="476"/>
      <c r="G31" s="476"/>
      <c r="H31" s="476"/>
      <c r="I31" s="476"/>
    </row>
    <row r="32" spans="1:9">
      <c r="A32" s="476"/>
      <c r="B32" s="476"/>
      <c r="C32" s="476"/>
      <c r="D32" s="476"/>
      <c r="E32" s="476"/>
      <c r="F32" s="476"/>
      <c r="G32" s="476"/>
      <c r="H32" s="476"/>
      <c r="I32" s="476"/>
    </row>
    <row r="33" spans="1:9">
      <c r="A33" s="476"/>
      <c r="B33" s="476"/>
      <c r="C33" s="476"/>
      <c r="D33" s="476"/>
      <c r="E33" s="476"/>
      <c r="F33" s="476"/>
      <c r="G33" s="476"/>
      <c r="H33" s="476"/>
      <c r="I33" s="476"/>
    </row>
    <row r="34" spans="1:9">
      <c r="A34" s="476"/>
      <c r="B34" s="476"/>
      <c r="C34" s="476"/>
      <c r="D34" s="476"/>
      <c r="E34" s="476"/>
      <c r="F34" s="476"/>
      <c r="G34" s="476"/>
      <c r="H34" s="476"/>
      <c r="I34" s="476"/>
    </row>
    <row r="35" spans="1:9">
      <c r="A35" s="476"/>
      <c r="B35" s="476"/>
      <c r="C35" s="476"/>
      <c r="D35" s="476"/>
      <c r="E35" s="476"/>
      <c r="F35" s="476"/>
      <c r="G35" s="476"/>
      <c r="H35" s="476"/>
      <c r="I35" s="476"/>
    </row>
  </sheetData>
  <sheetProtection algorithmName="SHA-512" hashValue="UB121AbMymZb39HNcRti/UvnYS1geYnIiJqswYrRxFgdMekopi8tv49FvpjhYQZjxkRFCe6eho1hqIK4sWqj4g==" saltValue="S1oyTgNbbEJZkRZWrozn0Q==" spinCount="100000" sheet="1" objects="1" scenarios="1"/>
  <mergeCells count="20">
    <mergeCell ref="A17:I35"/>
    <mergeCell ref="A6:B6"/>
    <mergeCell ref="C6:D6"/>
    <mergeCell ref="A11:B11"/>
    <mergeCell ref="A12:B12"/>
    <mergeCell ref="E6:F6"/>
    <mergeCell ref="A7:B7"/>
    <mergeCell ref="A8:B8"/>
    <mergeCell ref="A9:B9"/>
    <mergeCell ref="A16:B16"/>
    <mergeCell ref="A10:B10"/>
    <mergeCell ref="E14:F14"/>
    <mergeCell ref="C14:D14"/>
    <mergeCell ref="A13:B13"/>
    <mergeCell ref="A14:B14"/>
    <mergeCell ref="C16:I16"/>
    <mergeCell ref="A3:I3"/>
    <mergeCell ref="B2:I2"/>
    <mergeCell ref="C5:D5"/>
    <mergeCell ref="A4:B5"/>
  </mergeCells>
  <conditionalFormatting sqref="C7:C13 H6:I14">
    <cfRule type="containsBlanks" dxfId="89" priority="7">
      <formula>LEN(TRIM(C6))=0</formula>
    </cfRule>
  </conditionalFormatting>
  <conditionalFormatting sqref="E7:E13">
    <cfRule type="containsBlanks" dxfId="88" priority="6">
      <formula>LEN(TRIM(E7))=0</formula>
    </cfRule>
  </conditionalFormatting>
  <conditionalFormatting sqref="E6:F6">
    <cfRule type="containsBlanks" dxfId="87" priority="4">
      <formula>LEN(TRIM(E6))=0</formula>
    </cfRule>
  </conditionalFormatting>
  <conditionalFormatting sqref="G6:G14">
    <cfRule type="containsBlanks" dxfId="86" priority="3">
      <formula>LEN(TRIM(G6))=0</formula>
    </cfRule>
  </conditionalFormatting>
  <conditionalFormatting sqref="C14">
    <cfRule type="containsBlanks" dxfId="85" priority="2">
      <formula>LEN(TRIM(C14))=0</formula>
    </cfRule>
  </conditionalFormatting>
  <conditionalFormatting sqref="E14">
    <cfRule type="containsBlanks" dxfId="84" priority="1">
      <formula>LEN(TRIM(E14))=0</formula>
    </cfRule>
  </conditionalFormatting>
  <dataValidations disablePrompts="1" count="2">
    <dataValidation type="list" allowBlank="1" showInputMessage="1" showErrorMessage="1" sqref="D8" xr:uid="{00000000-0002-0000-1400-000000000000}">
      <formula1>$R$5:$R$8</formula1>
    </dataValidation>
    <dataValidation type="list" allowBlank="1" showInputMessage="1" showErrorMessage="1" sqref="D7" xr:uid="{00000000-0002-0000-1400-000001000000}">
      <formula1>$Q$1:$Q$2</formula1>
    </dataValidation>
  </dataValidations>
  <pageMargins left="0.4498611111111111" right="0.80291666666666661" top="0.75" bottom="0.75" header="0.3" footer="0.3"/>
  <pageSetup scale="82" orientation="portrait" r:id="rId1"/>
  <headerFooter>
    <oddHeader>&amp;L&amp;G&amp;R
&amp;"Liberation Sans,Bold"&amp;14&amp;K00247DEN97A: GHG Adjustments Form</oddHeader>
    <oddFooter>&amp;L&amp;"Liberation Sans,Regular"Version 1.3&amp;R&amp;"Liberation Sans,Regular"February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00000000-0002-0000-1400-000002000000}">
          <x14:formula1>
            <xm:f>Lists!$A$100:$A$133</xm:f>
          </x14:formula1>
          <xm:sqref>C5:D5</xm:sqref>
        </x14:dataValidation>
        <x14:dataValidation type="list" allowBlank="1" showInputMessage="1" showErrorMessage="1" xr:uid="{00000000-0002-0000-1400-000003000000}">
          <x14:formula1>
            <xm:f>Lists!$Q$1:$Q$2</xm:f>
          </x14:formula1>
          <xm:sqref>F7</xm:sqref>
        </x14:dataValidation>
        <x14:dataValidation type="list" allowBlank="1" showInputMessage="1" showErrorMessage="1" xr:uid="{00000000-0002-0000-1400-000004000000}">
          <x14:formula1>
            <xm:f>Lists!$Q$4:$Q$7</xm:f>
          </x14:formula1>
          <xm:sqref>F8</xm:sqref>
        </x14:dataValidation>
        <x14:dataValidation type="list" allowBlank="1" showInputMessage="1" showErrorMessage="1" xr:uid="{8038A37D-8C5D-4D65-9050-A2FDDDE9D525}">
          <x14:formula1>
            <xm:f>Lists!$L$1:$L$5</xm:f>
          </x14:formula1>
          <xm:sqref>G6:G14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98C04-DC56-4B14-89D6-6B2AABC10252}">
  <sheetPr codeName="Sheet33"/>
  <dimension ref="A1:V50"/>
  <sheetViews>
    <sheetView view="pageLayout" zoomScaleNormal="130" zoomScaleSheetLayoutView="89" workbookViewId="0">
      <selection activeCell="M3" sqref="M3"/>
    </sheetView>
  </sheetViews>
  <sheetFormatPr defaultColWidth="8.85546875" defaultRowHeight="14.25"/>
  <cols>
    <col min="1" max="1" width="8.42578125" style="94" customWidth="1"/>
    <col min="2" max="2" width="11" style="94" customWidth="1"/>
    <col min="3" max="3" width="11.85546875" style="94" customWidth="1"/>
    <col min="4" max="5" width="11" style="94" customWidth="1"/>
    <col min="6" max="6" width="7.140625" style="94" customWidth="1"/>
    <col min="7" max="7" width="7.28515625" style="94" customWidth="1"/>
    <col min="8" max="8" width="7.140625" style="94" customWidth="1"/>
    <col min="9" max="9" width="9.140625" style="94" bestFit="1" customWidth="1"/>
    <col min="10" max="10" width="7.42578125" style="94" customWidth="1"/>
    <col min="11" max="11" width="7.140625" style="94" customWidth="1"/>
    <col min="12" max="12" width="7.42578125" style="94" customWidth="1"/>
    <col min="13" max="13" width="7.7109375" style="94" customWidth="1"/>
    <col min="14" max="14" width="7.7109375" style="171" customWidth="1"/>
    <col min="15" max="15" width="7.7109375" style="94" customWidth="1"/>
    <col min="16" max="16" width="5.42578125" style="94" customWidth="1"/>
    <col min="17" max="17" width="5.140625" style="94" customWidth="1"/>
    <col min="18" max="18" width="5.42578125" style="94" customWidth="1"/>
    <col min="19" max="20" width="8.85546875" style="94"/>
    <col min="21" max="21" width="7" style="94" customWidth="1"/>
    <col min="22" max="22" width="10.7109375" style="94" customWidth="1"/>
    <col min="23" max="16384" width="8.85546875" style="94"/>
  </cols>
  <sheetData>
    <row r="1" spans="1:22" ht="14.45" customHeight="1">
      <c r="A1" s="165" t="s">
        <v>788</v>
      </c>
      <c r="B1" s="475" t="s">
        <v>789</v>
      </c>
      <c r="C1" s="475"/>
      <c r="D1" s="485" t="s">
        <v>790</v>
      </c>
      <c r="E1" s="485"/>
      <c r="F1" s="485" t="s">
        <v>791</v>
      </c>
      <c r="G1" s="485"/>
      <c r="H1" s="485"/>
      <c r="I1" s="486" t="s">
        <v>792</v>
      </c>
      <c r="J1" s="487"/>
      <c r="K1" s="488"/>
      <c r="L1" s="485" t="s">
        <v>793</v>
      </c>
      <c r="M1" s="485"/>
      <c r="N1" s="485"/>
      <c r="O1" s="485"/>
      <c r="P1" s="485" t="s">
        <v>794</v>
      </c>
      <c r="Q1" s="485"/>
      <c r="R1" s="485"/>
      <c r="S1" s="484" t="s">
        <v>107</v>
      </c>
      <c r="T1" s="484" t="s">
        <v>108</v>
      </c>
      <c r="U1" s="484" t="s">
        <v>109</v>
      </c>
      <c r="V1" s="484" t="s">
        <v>795</v>
      </c>
    </row>
    <row r="2" spans="1:22" ht="45.75" customHeight="1">
      <c r="A2" s="154" t="s">
        <v>796</v>
      </c>
      <c r="B2" s="154" t="s">
        <v>797</v>
      </c>
      <c r="C2" s="154" t="s">
        <v>798</v>
      </c>
      <c r="D2" s="154" t="s">
        <v>799</v>
      </c>
      <c r="E2" s="154" t="s">
        <v>800</v>
      </c>
      <c r="F2" s="154" t="s">
        <v>801</v>
      </c>
      <c r="G2" s="154" t="s">
        <v>802</v>
      </c>
      <c r="H2" s="154" t="s">
        <v>803</v>
      </c>
      <c r="I2" s="154" t="s">
        <v>804</v>
      </c>
      <c r="J2" s="154" t="s">
        <v>802</v>
      </c>
      <c r="K2" s="154" t="s">
        <v>803</v>
      </c>
      <c r="L2" s="154" t="s">
        <v>805</v>
      </c>
      <c r="M2" s="154" t="s">
        <v>806</v>
      </c>
      <c r="N2" s="154" t="s">
        <v>374</v>
      </c>
      <c r="O2" s="154" t="s">
        <v>807</v>
      </c>
      <c r="P2" s="154" t="s">
        <v>808</v>
      </c>
      <c r="Q2" s="154" t="s">
        <v>809</v>
      </c>
      <c r="R2" s="154" t="s">
        <v>810</v>
      </c>
      <c r="S2" s="484"/>
      <c r="T2" s="484"/>
      <c r="U2" s="484"/>
      <c r="V2" s="484"/>
    </row>
    <row r="3" spans="1:22" ht="33.75">
      <c r="A3" s="155"/>
      <c r="B3" s="155"/>
      <c r="C3" s="156" t="s">
        <v>449</v>
      </c>
      <c r="D3" s="155"/>
      <c r="E3" s="170" t="str">
        <f>IFERROR(IF(TRUE, VLOOKUP($C3,Lists!$J$86:$O$99,5,FALSE),""),"")</f>
        <v xml:space="preserve">Single-Zone Residential </v>
      </c>
      <c r="F3" s="170" t="str">
        <f>IFERROR(IF(TRUE, VLOOKUP($C3,Lists!$J$86:$O$99,6,FALSE),""),"")</f>
        <v xml:space="preserve">Electric Resistance </v>
      </c>
      <c r="G3" s="155"/>
      <c r="H3" s="155"/>
      <c r="I3" s="170" t="str">
        <f>IFERROR(IF(TRUE, VLOOKUP($C3,Lists!$J$86:$O$99,4,FALSE),""),"")</f>
        <v>Water/Ground</v>
      </c>
      <c r="J3" s="155"/>
      <c r="K3" s="155"/>
      <c r="L3" s="155"/>
      <c r="M3" s="155"/>
      <c r="N3" s="156" t="s">
        <v>178</v>
      </c>
      <c r="O3" s="155"/>
      <c r="P3" s="156" t="s">
        <v>172</v>
      </c>
      <c r="Q3" s="156" t="s">
        <v>156</v>
      </c>
      <c r="R3" s="156" t="s">
        <v>172</v>
      </c>
      <c r="S3" s="155"/>
      <c r="T3" s="155"/>
      <c r="U3" s="155"/>
      <c r="V3" s="155"/>
    </row>
    <row r="4" spans="1:22" ht="33.75">
      <c r="A4" s="155"/>
      <c r="B4" s="155"/>
      <c r="C4" s="156" t="s">
        <v>475</v>
      </c>
      <c r="D4" s="155"/>
      <c r="E4" s="170" t="str">
        <f>IFERROR(IF(TRUE, VLOOKUP($C4,Lists!$J$86:$O$99,5,FALSE),""),"")</f>
        <v xml:space="preserve">Single-Zone Non-Residential </v>
      </c>
      <c r="F4" s="170" t="str">
        <f>IFERROR(IF(TRUE, VLOOKUP($C4,Lists!$J$86:$O$99,6,FALSE),""),"")</f>
        <v xml:space="preserve">Fossil Fuel </v>
      </c>
      <c r="G4" s="155"/>
      <c r="H4" s="155"/>
      <c r="I4" s="170" t="str">
        <f>IFERROR(IF(TRUE, VLOOKUP($C4,Lists!$J$86:$O$99,4,FALSE),""),"")</f>
        <v>Air/None</v>
      </c>
      <c r="J4" s="155"/>
      <c r="K4" s="155"/>
      <c r="L4" s="155"/>
      <c r="M4" s="155"/>
      <c r="N4" s="156"/>
      <c r="O4" s="155"/>
      <c r="P4" s="156"/>
      <c r="Q4" s="156"/>
      <c r="R4" s="156"/>
      <c r="S4" s="155"/>
      <c r="T4" s="155"/>
      <c r="U4" s="155"/>
      <c r="V4" s="155"/>
    </row>
    <row r="5" spans="1:22" ht="33.75">
      <c r="A5" s="155"/>
      <c r="B5" s="155"/>
      <c r="C5" s="156" t="s">
        <v>470</v>
      </c>
      <c r="D5" s="155"/>
      <c r="E5" s="170" t="s">
        <v>189</v>
      </c>
      <c r="F5" s="170" t="str">
        <f>IFERROR(IF(TRUE, VLOOKUP($C5,Lists!$J$86:$O$99,6,FALSE),""),"")</f>
        <v>Heat Pump</v>
      </c>
      <c r="G5" s="155"/>
      <c r="H5" s="155"/>
      <c r="I5" s="170" t="str">
        <f>IFERROR(IF(TRUE, VLOOKUP($C5,Lists!$J$86:$O$99,4,FALSE),""),"")</f>
        <v>Air/None</v>
      </c>
      <c r="J5" s="155"/>
      <c r="K5" s="155"/>
      <c r="L5" s="155"/>
      <c r="M5" s="155"/>
      <c r="N5" s="156"/>
      <c r="O5" s="155"/>
      <c r="P5" s="156"/>
      <c r="Q5" s="156"/>
      <c r="R5" s="156"/>
      <c r="S5" s="155"/>
      <c r="T5" s="155"/>
      <c r="U5" s="155"/>
      <c r="V5" s="155"/>
    </row>
    <row r="6" spans="1:22" ht="38.25" customHeight="1">
      <c r="A6" s="155"/>
      <c r="B6" s="155"/>
      <c r="C6" s="156" t="s">
        <v>472</v>
      </c>
      <c r="D6" s="155"/>
      <c r="E6" s="170" t="str">
        <f>IFERROR(IF(TRUE, VLOOKUP($C6,Lists!$J$86:$O$99,5,FALSE),""),"")</f>
        <v>Other</v>
      </c>
      <c r="F6" s="170" t="str">
        <f>IFERROR(IF(TRUE, VLOOKUP($C6,Lists!$J$86:$O$99,6,FALSE),""),"")</f>
        <v xml:space="preserve">Fossil Fuel </v>
      </c>
      <c r="G6" s="155"/>
      <c r="H6" s="155"/>
      <c r="I6" s="170" t="str">
        <f>IFERROR(IF(TRUE, VLOOKUP($C6,Lists!$J$86:$O$99,4,FALSE),""),"")</f>
        <v>Air/None</v>
      </c>
      <c r="J6" s="155"/>
      <c r="K6" s="155"/>
      <c r="L6" s="155"/>
      <c r="M6" s="155"/>
      <c r="N6" s="156"/>
      <c r="O6" s="155"/>
      <c r="P6" s="156"/>
      <c r="Q6" s="156"/>
      <c r="R6" s="156"/>
      <c r="S6" s="155"/>
      <c r="T6" s="155"/>
      <c r="U6" s="155"/>
      <c r="V6" s="155"/>
    </row>
    <row r="7" spans="1:22">
      <c r="A7" s="155"/>
      <c r="B7" s="155"/>
      <c r="C7" s="156"/>
      <c r="D7" s="155"/>
      <c r="E7" s="170" t="str">
        <f>IFERROR(IF(TRUE, VLOOKUP($C7,Lists!$J$86:$O$99,5,FALSE),""),"")</f>
        <v/>
      </c>
      <c r="F7" s="170" t="str">
        <f>IFERROR(IF(TRUE, VLOOKUP($C7,Lists!$J$86:$O$99,6,FALSE),""),"")</f>
        <v/>
      </c>
      <c r="G7" s="155"/>
      <c r="H7" s="155"/>
      <c r="I7" s="170" t="str">
        <f>IFERROR(IF(TRUE, VLOOKUP($C7,Lists!$J$86:$O$99,4,FALSE),""),"")</f>
        <v/>
      </c>
      <c r="J7" s="155"/>
      <c r="K7" s="155"/>
      <c r="L7" s="155"/>
      <c r="M7" s="155"/>
      <c r="N7" s="156"/>
      <c r="O7" s="155"/>
      <c r="P7" s="156"/>
      <c r="Q7" s="156"/>
      <c r="R7" s="156"/>
      <c r="S7" s="155"/>
      <c r="T7" s="155"/>
      <c r="U7" s="155"/>
      <c r="V7" s="155"/>
    </row>
    <row r="8" spans="1:22">
      <c r="A8" s="155"/>
      <c r="B8" s="155"/>
      <c r="C8" s="156"/>
      <c r="D8" s="155"/>
      <c r="E8" s="170" t="str">
        <f>IFERROR(IF(TRUE, VLOOKUP($C8,Lists!$J$86:$O$99,5,FALSE),""),"")</f>
        <v/>
      </c>
      <c r="F8" s="170" t="str">
        <f>IFERROR(IF(TRUE, VLOOKUP($C8,Lists!$J$86:$O$99,6,FALSE),""),"")</f>
        <v/>
      </c>
      <c r="G8" s="155"/>
      <c r="H8" s="155"/>
      <c r="I8" s="170" t="str">
        <f>IFERROR(IF(TRUE, VLOOKUP($C8,Lists!$J$86:$O$99,4,FALSE),""),"")</f>
        <v/>
      </c>
      <c r="J8" s="155"/>
      <c r="K8" s="155"/>
      <c r="L8" s="155"/>
      <c r="M8" s="155"/>
      <c r="N8" s="156"/>
      <c r="O8" s="155"/>
      <c r="P8" s="156"/>
      <c r="Q8" s="156"/>
      <c r="R8" s="156"/>
      <c r="S8" s="155"/>
      <c r="T8" s="155"/>
      <c r="U8" s="155"/>
      <c r="V8" s="155"/>
    </row>
    <row r="9" spans="1:22">
      <c r="A9" s="155"/>
      <c r="B9" s="155"/>
      <c r="C9" s="156"/>
      <c r="D9" s="155"/>
      <c r="E9" s="170" t="str">
        <f>IFERROR(IF(TRUE, VLOOKUP($C9,Lists!$J$86:$O$99,5,FALSE),""),"")</f>
        <v/>
      </c>
      <c r="F9" s="170" t="str">
        <f>IFERROR(IF(TRUE, VLOOKUP($C9,Lists!$J$86:$O$99,6,FALSE),""),"")</f>
        <v/>
      </c>
      <c r="G9" s="155"/>
      <c r="H9" s="155"/>
      <c r="I9" s="170" t="str">
        <f>IFERROR(IF(TRUE, VLOOKUP($C9,Lists!$J$86:$O$99,4,FALSE),""),"")</f>
        <v/>
      </c>
      <c r="J9" s="155"/>
      <c r="K9" s="155"/>
      <c r="L9" s="155"/>
      <c r="M9" s="155"/>
      <c r="N9" s="156"/>
      <c r="O9" s="155"/>
      <c r="P9" s="156"/>
      <c r="Q9" s="156"/>
      <c r="R9" s="156"/>
      <c r="S9" s="155"/>
      <c r="T9" s="155"/>
      <c r="U9" s="155"/>
      <c r="V9" s="155"/>
    </row>
    <row r="10" spans="1:22">
      <c r="A10" s="155"/>
      <c r="B10" s="155"/>
      <c r="C10" s="156"/>
      <c r="D10" s="155"/>
      <c r="E10" s="170" t="str">
        <f>IFERROR(IF(TRUE, VLOOKUP($C10,Lists!$J$86:$O$99,5,FALSE),""),"")</f>
        <v/>
      </c>
      <c r="F10" s="170" t="str">
        <f>IFERROR(IF(TRUE, VLOOKUP($C10,Lists!$J$86:$O$99,6,FALSE),""),"")</f>
        <v/>
      </c>
      <c r="G10" s="155"/>
      <c r="H10" s="155"/>
      <c r="I10" s="170" t="str">
        <f>IFERROR(IF(TRUE, VLOOKUP($C10,Lists!$J$86:$O$99,4,FALSE),""),"")</f>
        <v/>
      </c>
      <c r="J10" s="155"/>
      <c r="K10" s="155"/>
      <c r="L10" s="155"/>
      <c r="M10" s="155"/>
      <c r="N10" s="156"/>
      <c r="O10" s="155"/>
      <c r="P10" s="156"/>
      <c r="Q10" s="156"/>
      <c r="R10" s="156"/>
      <c r="S10" s="155"/>
      <c r="T10" s="155"/>
      <c r="U10" s="155"/>
      <c r="V10" s="155"/>
    </row>
    <row r="11" spans="1:22">
      <c r="A11" s="155"/>
      <c r="B11" s="155"/>
      <c r="C11" s="156"/>
      <c r="D11" s="155"/>
      <c r="E11" s="170" t="str">
        <f>IFERROR(IF(TRUE, VLOOKUP($C11,Lists!$J$86:$O$99,5,FALSE),""),"")</f>
        <v/>
      </c>
      <c r="F11" s="170" t="str">
        <f>IFERROR(IF(TRUE, VLOOKUP($C11,Lists!$J$86:$O$99,6,FALSE),""),"")</f>
        <v/>
      </c>
      <c r="G11" s="155"/>
      <c r="H11" s="155"/>
      <c r="I11" s="170" t="str">
        <f>IFERROR(IF(TRUE, VLOOKUP($C11,Lists!$J$86:$O$99,4,FALSE),""),"")</f>
        <v/>
      </c>
      <c r="J11" s="155"/>
      <c r="K11" s="155"/>
      <c r="L11" s="155"/>
      <c r="M11" s="155"/>
      <c r="N11" s="156"/>
      <c r="O11" s="155"/>
      <c r="P11" s="156"/>
      <c r="Q11" s="156"/>
      <c r="R11" s="156"/>
      <c r="S11" s="155"/>
      <c r="T11" s="155"/>
      <c r="U11" s="155"/>
      <c r="V11" s="155"/>
    </row>
    <row r="12" spans="1:22">
      <c r="A12" s="155"/>
      <c r="B12" s="155"/>
      <c r="C12" s="156"/>
      <c r="D12" s="155"/>
      <c r="E12" s="170" t="str">
        <f>IFERROR(IF(TRUE, VLOOKUP($C12,Lists!$J$86:$O$99,5,FALSE),""),"")</f>
        <v/>
      </c>
      <c r="F12" s="170" t="str">
        <f>IFERROR(IF(TRUE, VLOOKUP($C12,Lists!$J$86:$O$99,6,FALSE),""),"")</f>
        <v/>
      </c>
      <c r="G12" s="155"/>
      <c r="H12" s="155"/>
      <c r="I12" s="170" t="str">
        <f>IFERROR(IF(TRUE, VLOOKUP($C12,Lists!$J$86:$O$99,4,FALSE),""),"")</f>
        <v/>
      </c>
      <c r="J12" s="155"/>
      <c r="K12" s="155"/>
      <c r="L12" s="155"/>
      <c r="M12" s="155"/>
      <c r="N12" s="156"/>
      <c r="O12" s="155"/>
      <c r="P12" s="156"/>
      <c r="Q12" s="156"/>
      <c r="R12" s="156"/>
      <c r="S12" s="155"/>
      <c r="T12" s="155"/>
      <c r="U12" s="155"/>
      <c r="V12" s="155"/>
    </row>
    <row r="13" spans="1:22">
      <c r="A13" s="155"/>
      <c r="B13" s="155"/>
      <c r="C13" s="156"/>
      <c r="D13" s="155"/>
      <c r="E13" s="170" t="str">
        <f>IFERROR(IF(TRUE, VLOOKUP($C13,Lists!$J$86:$O$99,5,FALSE),""),"")</f>
        <v/>
      </c>
      <c r="F13" s="170" t="str">
        <f>IFERROR(IF(TRUE, VLOOKUP($C13,Lists!$J$86:$O$99,6,FALSE),""),"")</f>
        <v/>
      </c>
      <c r="G13" s="155"/>
      <c r="H13" s="155"/>
      <c r="I13" s="170" t="str">
        <f>IFERROR(IF(TRUE, VLOOKUP($C13,Lists!$J$86:$O$99,4,FALSE),""),"")</f>
        <v/>
      </c>
      <c r="J13" s="155"/>
      <c r="K13" s="155"/>
      <c r="L13" s="155"/>
      <c r="M13" s="155"/>
      <c r="N13" s="156"/>
      <c r="O13" s="155"/>
      <c r="P13" s="156"/>
      <c r="Q13" s="156"/>
      <c r="R13" s="156"/>
      <c r="S13" s="155"/>
      <c r="T13" s="155"/>
      <c r="U13" s="155"/>
      <c r="V13" s="155"/>
    </row>
    <row r="14" spans="1:22">
      <c r="A14" s="155"/>
      <c r="B14" s="155"/>
      <c r="C14" s="156"/>
      <c r="D14" s="155"/>
      <c r="E14" s="170" t="str">
        <f>IFERROR(IF(TRUE, VLOOKUP($C14,Lists!$J$86:$O$99,5,FALSE),""),"")</f>
        <v/>
      </c>
      <c r="F14" s="170" t="str">
        <f>IFERROR(IF(TRUE, VLOOKUP($C14,Lists!$J$86:$O$99,6,FALSE),""),"")</f>
        <v/>
      </c>
      <c r="G14" s="155"/>
      <c r="H14" s="155"/>
      <c r="I14" s="170" t="str">
        <f>IFERROR(IF(TRUE, VLOOKUP($C14,Lists!$J$86:$O$99,4,FALSE),""),"")</f>
        <v/>
      </c>
      <c r="J14" s="155"/>
      <c r="K14" s="155"/>
      <c r="L14" s="155"/>
      <c r="M14" s="155"/>
      <c r="N14" s="156"/>
      <c r="O14" s="155"/>
      <c r="P14" s="156"/>
      <c r="Q14" s="156"/>
      <c r="R14" s="156"/>
      <c r="S14" s="155"/>
      <c r="T14" s="155"/>
      <c r="U14" s="155"/>
      <c r="V14" s="155"/>
    </row>
    <row r="15" spans="1:22">
      <c r="A15" s="155"/>
      <c r="B15" s="155"/>
      <c r="C15" s="156"/>
      <c r="D15" s="155"/>
      <c r="E15" s="170" t="str">
        <f>IFERROR(IF(TRUE, VLOOKUP($C15,Lists!$J$86:$O$99,5,FALSE),""),"")</f>
        <v/>
      </c>
      <c r="F15" s="170" t="str">
        <f>IFERROR(IF(TRUE, VLOOKUP($C15,Lists!$J$86:$O$99,6,FALSE),""),"")</f>
        <v/>
      </c>
      <c r="G15" s="155"/>
      <c r="H15" s="155"/>
      <c r="I15" s="170" t="str">
        <f>IFERROR(IF(TRUE, VLOOKUP($C15,Lists!$J$86:$O$99,4,FALSE),""),"")</f>
        <v/>
      </c>
      <c r="J15" s="155"/>
      <c r="K15" s="155"/>
      <c r="L15" s="155"/>
      <c r="M15" s="155"/>
      <c r="N15" s="156"/>
      <c r="O15" s="155"/>
      <c r="P15" s="156"/>
      <c r="Q15" s="156"/>
      <c r="R15" s="156"/>
      <c r="S15" s="155"/>
      <c r="T15" s="155"/>
      <c r="U15" s="155"/>
      <c r="V15" s="155"/>
    </row>
    <row r="16" spans="1:22">
      <c r="A16" s="155"/>
      <c r="B16" s="155"/>
      <c r="C16" s="156"/>
      <c r="D16" s="155"/>
      <c r="E16" s="170" t="str">
        <f>IFERROR(IF(TRUE, VLOOKUP($C16,Lists!$J$86:$O$99,5,FALSE),""),"")</f>
        <v/>
      </c>
      <c r="F16" s="170" t="str">
        <f>IFERROR(IF(TRUE, VLOOKUP($C16,Lists!$J$86:$O$99,6,FALSE),""),"")</f>
        <v/>
      </c>
      <c r="G16" s="155"/>
      <c r="H16" s="155"/>
      <c r="I16" s="170" t="str">
        <f>IFERROR(IF(TRUE, VLOOKUP($C16,Lists!$J$86:$O$99,4,FALSE),""),"")</f>
        <v/>
      </c>
      <c r="J16" s="155"/>
      <c r="K16" s="155"/>
      <c r="L16" s="155"/>
      <c r="M16" s="155"/>
      <c r="N16" s="156"/>
      <c r="O16" s="155"/>
      <c r="P16" s="156"/>
      <c r="Q16" s="156"/>
      <c r="R16" s="156"/>
      <c r="S16" s="155"/>
      <c r="T16" s="155"/>
      <c r="U16" s="155"/>
      <c r="V16" s="155"/>
    </row>
    <row r="17" spans="1:22">
      <c r="A17" s="155"/>
      <c r="B17" s="155"/>
      <c r="C17" s="156"/>
      <c r="D17" s="155"/>
      <c r="E17" s="170" t="str">
        <f>IFERROR(IF(TRUE, VLOOKUP($C17,Lists!$J$86:$O$99,5,FALSE),""),"")</f>
        <v/>
      </c>
      <c r="F17" s="170" t="str">
        <f>IFERROR(IF(TRUE, VLOOKUP($C17,Lists!$J$86:$O$99,6,FALSE),""),"")</f>
        <v/>
      </c>
      <c r="G17" s="155"/>
      <c r="H17" s="155"/>
      <c r="I17" s="170" t="str">
        <f>IFERROR(IF(TRUE, VLOOKUP($C17,Lists!$J$86:$O$99,4,FALSE),""),"")</f>
        <v/>
      </c>
      <c r="J17" s="155"/>
      <c r="K17" s="155"/>
      <c r="L17" s="155"/>
      <c r="M17" s="155"/>
      <c r="N17" s="156"/>
      <c r="O17" s="155"/>
      <c r="P17" s="156"/>
      <c r="Q17" s="156"/>
      <c r="R17" s="156"/>
      <c r="S17" s="155"/>
      <c r="T17" s="155"/>
      <c r="U17" s="155"/>
      <c r="V17" s="155"/>
    </row>
    <row r="18" spans="1:22">
      <c r="A18" s="155"/>
      <c r="B18" s="155"/>
      <c r="C18" s="156"/>
      <c r="D18" s="155"/>
      <c r="E18" s="170" t="str">
        <f>IFERROR(IF(TRUE, VLOOKUP($C18,Lists!$J$86:$O$99,5,FALSE),""),"")</f>
        <v/>
      </c>
      <c r="F18" s="170" t="str">
        <f>IFERROR(IF(TRUE, VLOOKUP($C18,Lists!$J$86:$O$99,6,FALSE),""),"")</f>
        <v/>
      </c>
      <c r="G18" s="155"/>
      <c r="H18" s="155"/>
      <c r="I18" s="170" t="str">
        <f>IFERROR(IF(TRUE, VLOOKUP($C18,Lists!$J$86:$O$99,4,FALSE),""),"")</f>
        <v/>
      </c>
      <c r="J18" s="155"/>
      <c r="K18" s="155"/>
      <c r="L18" s="155"/>
      <c r="M18" s="155"/>
      <c r="N18" s="156"/>
      <c r="O18" s="155"/>
      <c r="P18" s="156"/>
      <c r="Q18" s="156"/>
      <c r="R18" s="156"/>
      <c r="S18" s="155"/>
      <c r="T18" s="155"/>
      <c r="U18" s="155"/>
      <c r="V18" s="155"/>
    </row>
    <row r="19" spans="1:22">
      <c r="A19" s="155"/>
      <c r="B19" s="155"/>
      <c r="C19" s="156"/>
      <c r="D19" s="155"/>
      <c r="E19" s="170" t="str">
        <f>IFERROR(IF(TRUE, VLOOKUP($C19,Lists!$J$86:$O$99,5,FALSE),""),"")</f>
        <v/>
      </c>
      <c r="F19" s="170" t="str">
        <f>IFERROR(IF(TRUE, VLOOKUP($C19,Lists!$J$86:$O$99,6,FALSE),""),"")</f>
        <v/>
      </c>
      <c r="G19" s="155"/>
      <c r="H19" s="155"/>
      <c r="I19" s="170" t="str">
        <f>IFERROR(IF(TRUE, VLOOKUP($C19,Lists!$J$86:$O$99,4,FALSE),""),"")</f>
        <v/>
      </c>
      <c r="J19" s="155"/>
      <c r="K19" s="155"/>
      <c r="L19" s="155"/>
      <c r="M19" s="155"/>
      <c r="N19" s="156"/>
      <c r="O19" s="155"/>
      <c r="P19" s="156"/>
      <c r="Q19" s="156"/>
      <c r="R19" s="156"/>
      <c r="S19" s="155"/>
      <c r="T19" s="155"/>
      <c r="U19" s="155"/>
      <c r="V19" s="155"/>
    </row>
    <row r="20" spans="1:22">
      <c r="A20" s="155"/>
      <c r="B20" s="155"/>
      <c r="C20" s="156"/>
      <c r="D20" s="155"/>
      <c r="E20" s="170" t="str">
        <f>IFERROR(IF(TRUE, VLOOKUP($C20,Lists!$J$86:$O$99,5,FALSE),""),"")</f>
        <v/>
      </c>
      <c r="F20" s="170" t="str">
        <f>IFERROR(IF(TRUE, VLOOKUP($C20,Lists!$J$86:$O$99,6,FALSE),""),"")</f>
        <v/>
      </c>
      <c r="G20" s="155"/>
      <c r="H20" s="155"/>
      <c r="I20" s="170" t="str">
        <f>IFERROR(IF(TRUE, VLOOKUP($C20,Lists!$J$86:$O$99,4,FALSE),""),"")</f>
        <v/>
      </c>
      <c r="J20" s="155"/>
      <c r="K20" s="155"/>
      <c r="L20" s="155"/>
      <c r="M20" s="155"/>
      <c r="N20" s="156"/>
      <c r="O20" s="155"/>
      <c r="P20" s="156"/>
      <c r="Q20" s="156"/>
      <c r="R20" s="156"/>
      <c r="S20" s="155"/>
      <c r="T20" s="155"/>
      <c r="U20" s="155"/>
      <c r="V20" s="155"/>
    </row>
    <row r="21" spans="1:22">
      <c r="A21" s="155"/>
      <c r="B21" s="155"/>
      <c r="C21" s="156"/>
      <c r="D21" s="155"/>
      <c r="E21" s="170" t="str">
        <f>IFERROR(IF(TRUE, VLOOKUP($C21,Lists!$J$86:$O$99,5,FALSE),""),"")</f>
        <v/>
      </c>
      <c r="F21" s="170" t="str">
        <f>IFERROR(IF(TRUE, VLOOKUP($C21,Lists!$J$86:$O$99,6,FALSE),""),"")</f>
        <v/>
      </c>
      <c r="G21" s="155"/>
      <c r="H21" s="155"/>
      <c r="I21" s="170" t="str">
        <f>IFERROR(IF(TRUE, VLOOKUP($C21,Lists!$J$86:$O$99,4,FALSE),""),"")</f>
        <v/>
      </c>
      <c r="J21" s="155"/>
      <c r="K21" s="155"/>
      <c r="L21" s="155"/>
      <c r="M21" s="155"/>
      <c r="N21" s="156"/>
      <c r="O21" s="155"/>
      <c r="P21" s="156"/>
      <c r="Q21" s="156"/>
      <c r="R21" s="156"/>
      <c r="S21" s="155"/>
      <c r="T21" s="155"/>
      <c r="U21" s="155"/>
      <c r="V21" s="155"/>
    </row>
    <row r="22" spans="1:22">
      <c r="A22" s="155"/>
      <c r="B22" s="155"/>
      <c r="C22" s="156"/>
      <c r="D22" s="155"/>
      <c r="E22" s="170" t="str">
        <f>IFERROR(IF(TRUE, VLOOKUP($C22,Lists!$J$86:$O$99,5,FALSE),""),"")</f>
        <v/>
      </c>
      <c r="F22" s="170" t="str">
        <f>IFERROR(IF(TRUE, VLOOKUP($C22,Lists!$J$86:$O$99,6,FALSE),""),"")</f>
        <v/>
      </c>
      <c r="G22" s="155"/>
      <c r="H22" s="155"/>
      <c r="I22" s="170" t="str">
        <f>IFERROR(IF(TRUE, VLOOKUP($C22,Lists!$J$86:$O$99,4,FALSE),""),"")</f>
        <v/>
      </c>
      <c r="J22" s="155"/>
      <c r="K22" s="155"/>
      <c r="L22" s="155"/>
      <c r="M22" s="155"/>
      <c r="N22" s="156"/>
      <c r="O22" s="155"/>
      <c r="P22" s="156"/>
      <c r="Q22" s="156"/>
      <c r="R22" s="156"/>
      <c r="S22" s="155"/>
      <c r="T22" s="155"/>
      <c r="U22" s="155"/>
      <c r="V22" s="155"/>
    </row>
    <row r="23" spans="1:22">
      <c r="A23" s="155"/>
      <c r="B23" s="155"/>
      <c r="C23" s="156"/>
      <c r="D23" s="155"/>
      <c r="E23" s="170" t="str">
        <f>IFERROR(IF(TRUE, VLOOKUP($C23,Lists!$J$86:$O$99,5,FALSE),""),"")</f>
        <v/>
      </c>
      <c r="F23" s="170" t="str">
        <f>IFERROR(IF(TRUE, VLOOKUP($C23,Lists!$J$86:$O$99,6,FALSE),""),"")</f>
        <v/>
      </c>
      <c r="G23" s="155"/>
      <c r="H23" s="155"/>
      <c r="I23" s="170" t="str">
        <f>IFERROR(IF(TRUE, VLOOKUP($C23,Lists!$J$86:$O$99,4,FALSE),""),"")</f>
        <v/>
      </c>
      <c r="J23" s="155"/>
      <c r="K23" s="155"/>
      <c r="L23" s="155"/>
      <c r="M23" s="155"/>
      <c r="N23" s="156"/>
      <c r="O23" s="155"/>
      <c r="P23" s="156"/>
      <c r="Q23" s="156"/>
      <c r="R23" s="156"/>
      <c r="S23" s="155"/>
      <c r="T23" s="155"/>
      <c r="U23" s="155"/>
      <c r="V23" s="155"/>
    </row>
    <row r="24" spans="1:22">
      <c r="A24" s="155"/>
      <c r="B24" s="155"/>
      <c r="C24" s="156"/>
      <c r="D24" s="155"/>
      <c r="E24" s="170" t="str">
        <f>IFERROR(IF(TRUE, VLOOKUP($C24,Lists!$J$86:$O$99,5,FALSE),""),"")</f>
        <v/>
      </c>
      <c r="F24" s="170" t="str">
        <f>IFERROR(IF(TRUE, VLOOKUP($C24,Lists!$J$86:$O$99,6,FALSE),""),"")</f>
        <v/>
      </c>
      <c r="G24" s="155"/>
      <c r="H24" s="155"/>
      <c r="I24" s="170" t="str">
        <f>IFERROR(IF(TRUE, VLOOKUP($C24,Lists!$J$86:$O$99,4,FALSE),""),"")</f>
        <v/>
      </c>
      <c r="J24" s="155"/>
      <c r="K24" s="155"/>
      <c r="L24" s="155"/>
      <c r="M24" s="155"/>
      <c r="N24" s="156"/>
      <c r="O24" s="155"/>
      <c r="P24" s="156"/>
      <c r="Q24" s="156"/>
      <c r="R24" s="156"/>
      <c r="S24" s="155"/>
      <c r="T24" s="155"/>
      <c r="U24" s="155"/>
      <c r="V24" s="155"/>
    </row>
    <row r="25" spans="1:22">
      <c r="A25" s="155"/>
      <c r="B25" s="155"/>
      <c r="C25" s="156"/>
      <c r="D25" s="155"/>
      <c r="E25" s="170" t="str">
        <f>IFERROR(IF(TRUE, VLOOKUP($C25,Lists!$J$86:$O$99,5,FALSE),""),"")</f>
        <v/>
      </c>
      <c r="F25" s="170" t="str">
        <f>IFERROR(IF(TRUE, VLOOKUP($C25,Lists!$J$86:$O$99,6,FALSE),""),"")</f>
        <v/>
      </c>
      <c r="G25" s="155"/>
      <c r="H25" s="155"/>
      <c r="I25" s="170" t="str">
        <f>IFERROR(IF(TRUE, VLOOKUP($C25,Lists!$J$86:$O$99,4,FALSE),""),"")</f>
        <v/>
      </c>
      <c r="J25" s="155"/>
      <c r="K25" s="155"/>
      <c r="L25" s="155"/>
      <c r="M25" s="155"/>
      <c r="N25" s="156"/>
      <c r="O25" s="155"/>
      <c r="P25" s="156"/>
      <c r="Q25" s="156"/>
      <c r="R25" s="156"/>
      <c r="S25" s="155"/>
      <c r="T25" s="155"/>
      <c r="U25" s="155"/>
      <c r="V25" s="155"/>
    </row>
    <row r="26" spans="1:22">
      <c r="A26" s="155"/>
      <c r="B26" s="155"/>
      <c r="C26" s="156"/>
      <c r="D26" s="155"/>
      <c r="E26" s="170" t="str">
        <f>IFERROR(IF(TRUE, VLOOKUP($C26,Lists!$J$86:$O$99,5,FALSE),""),"")</f>
        <v/>
      </c>
      <c r="F26" s="170" t="str">
        <f>IFERROR(IF(TRUE, VLOOKUP($C26,Lists!$J$86:$O$99,6,FALSE),""),"")</f>
        <v/>
      </c>
      <c r="G26" s="155"/>
      <c r="H26" s="155"/>
      <c r="I26" s="170" t="str">
        <f>IFERROR(IF(TRUE, VLOOKUP($C26,Lists!$J$86:$O$99,4,FALSE),""),"")</f>
        <v/>
      </c>
      <c r="J26" s="155"/>
      <c r="K26" s="155"/>
      <c r="L26" s="155"/>
      <c r="M26" s="155"/>
      <c r="N26" s="156"/>
      <c r="O26" s="155"/>
      <c r="P26" s="156"/>
      <c r="Q26" s="156"/>
      <c r="R26" s="156"/>
      <c r="S26" s="155"/>
      <c r="T26" s="155"/>
      <c r="U26" s="155"/>
      <c r="V26" s="155"/>
    </row>
    <row r="27" spans="1:22">
      <c r="A27" s="155"/>
      <c r="B27" s="155"/>
      <c r="C27" s="156"/>
      <c r="D27" s="155"/>
      <c r="E27" s="170" t="str">
        <f>IFERROR(IF(TRUE, VLOOKUP($C27,Lists!$J$86:$O$99,5,FALSE),""),"")</f>
        <v/>
      </c>
      <c r="F27" s="170" t="str">
        <f>IFERROR(IF(TRUE, VLOOKUP($C27,Lists!$J$86:$O$99,6,FALSE),""),"")</f>
        <v/>
      </c>
      <c r="G27" s="155"/>
      <c r="H27" s="155"/>
      <c r="I27" s="170" t="str">
        <f>IFERROR(IF(TRUE, VLOOKUP($C27,Lists!$J$86:$O$99,4,FALSE),""),"")</f>
        <v/>
      </c>
      <c r="J27" s="155"/>
      <c r="K27" s="155"/>
      <c r="L27" s="155"/>
      <c r="M27" s="155"/>
      <c r="N27" s="156"/>
      <c r="O27" s="155"/>
      <c r="P27" s="156"/>
      <c r="Q27" s="156"/>
      <c r="R27" s="156"/>
      <c r="S27" s="155"/>
      <c r="T27" s="155"/>
      <c r="U27" s="155"/>
      <c r="V27" s="155"/>
    </row>
    <row r="28" spans="1:22">
      <c r="A28" s="155"/>
      <c r="B28" s="155"/>
      <c r="C28" s="156"/>
      <c r="D28" s="155"/>
      <c r="E28" s="170" t="str">
        <f>IFERROR(IF(TRUE, VLOOKUP($C28,Lists!$J$86:$O$99,5,FALSE),""),"")</f>
        <v/>
      </c>
      <c r="F28" s="170" t="str">
        <f>IFERROR(IF(TRUE, VLOOKUP($C28,Lists!$J$86:$O$99,6,FALSE),""),"")</f>
        <v/>
      </c>
      <c r="G28" s="155"/>
      <c r="H28" s="155"/>
      <c r="I28" s="170" t="str">
        <f>IFERROR(IF(TRUE, VLOOKUP($C28,Lists!$J$86:$O$99,4,FALSE),""),"")</f>
        <v/>
      </c>
      <c r="J28" s="155"/>
      <c r="K28" s="155"/>
      <c r="L28" s="155"/>
      <c r="M28" s="155"/>
      <c r="N28" s="156"/>
      <c r="O28" s="155"/>
      <c r="P28" s="156"/>
      <c r="Q28" s="156"/>
      <c r="R28" s="156"/>
      <c r="S28" s="155"/>
      <c r="T28" s="155"/>
      <c r="U28" s="155"/>
      <c r="V28" s="155"/>
    </row>
    <row r="29" spans="1:22">
      <c r="A29" s="155"/>
      <c r="B29" s="155"/>
      <c r="C29" s="156"/>
      <c r="D29" s="155"/>
      <c r="E29" s="170" t="str">
        <f>IFERROR(IF(TRUE, VLOOKUP($C29,Lists!$J$86:$O$99,5,FALSE),""),"")</f>
        <v/>
      </c>
      <c r="F29" s="170" t="str">
        <f>IFERROR(IF(TRUE, VLOOKUP($C29,Lists!$J$86:$O$99,6,FALSE),""),"")</f>
        <v/>
      </c>
      <c r="G29" s="155"/>
      <c r="H29" s="155"/>
      <c r="I29" s="170" t="str">
        <f>IFERROR(IF(TRUE, VLOOKUP($C29,Lists!$J$86:$O$99,4,FALSE),""),"")</f>
        <v/>
      </c>
      <c r="J29" s="155"/>
      <c r="K29" s="155"/>
      <c r="L29" s="155"/>
      <c r="M29" s="155"/>
      <c r="N29" s="156"/>
      <c r="O29" s="155"/>
      <c r="P29" s="156"/>
      <c r="Q29" s="156"/>
      <c r="R29" s="156"/>
      <c r="S29" s="155"/>
      <c r="T29" s="155"/>
      <c r="U29" s="155"/>
      <c r="V29" s="155"/>
    </row>
    <row r="30" spans="1:22">
      <c r="A30" s="155"/>
      <c r="B30" s="155"/>
      <c r="C30" s="156"/>
      <c r="D30" s="155"/>
      <c r="E30" s="170" t="str">
        <f>IFERROR(IF(TRUE, VLOOKUP($C30,Lists!$J$86:$O$99,5,FALSE),""),"")</f>
        <v/>
      </c>
      <c r="F30" s="170" t="str">
        <f>IFERROR(IF(TRUE, VLOOKUP($C30,Lists!$J$86:$O$99,6,FALSE),""),"")</f>
        <v/>
      </c>
      <c r="G30" s="155"/>
      <c r="H30" s="155"/>
      <c r="I30" s="170" t="str">
        <f>IFERROR(IF(TRUE, VLOOKUP($C30,Lists!$J$86:$O$99,4,FALSE),""),"")</f>
        <v/>
      </c>
      <c r="J30" s="155"/>
      <c r="K30" s="155"/>
      <c r="L30" s="155"/>
      <c r="M30" s="155"/>
      <c r="N30" s="156"/>
      <c r="O30" s="155"/>
      <c r="P30" s="156"/>
      <c r="Q30" s="156"/>
      <c r="R30" s="156"/>
      <c r="S30" s="155"/>
      <c r="T30" s="155"/>
      <c r="U30" s="155"/>
      <c r="V30" s="155"/>
    </row>
    <row r="31" spans="1:22">
      <c r="A31" s="155"/>
      <c r="B31" s="155"/>
      <c r="C31" s="156"/>
      <c r="D31" s="155"/>
      <c r="E31" s="170" t="str">
        <f>IFERROR(IF(TRUE, VLOOKUP($C31,Lists!$J$86:$O$99,5,FALSE),""),"")</f>
        <v/>
      </c>
      <c r="F31" s="170" t="str">
        <f>IFERROR(IF(TRUE, VLOOKUP($C31,Lists!$J$86:$O$99,6,FALSE),""),"")</f>
        <v/>
      </c>
      <c r="G31" s="155"/>
      <c r="H31" s="155"/>
      <c r="I31" s="170" t="str">
        <f>IFERROR(IF(TRUE, VLOOKUP($C31,Lists!$J$86:$O$99,4,FALSE),""),"")</f>
        <v/>
      </c>
      <c r="J31" s="155"/>
      <c r="K31" s="155"/>
      <c r="L31" s="155"/>
      <c r="M31" s="155"/>
      <c r="N31" s="156"/>
      <c r="O31" s="155"/>
      <c r="P31" s="156"/>
      <c r="Q31" s="156"/>
      <c r="R31" s="156"/>
      <c r="S31" s="155"/>
      <c r="T31" s="155"/>
      <c r="U31" s="155"/>
      <c r="V31" s="155"/>
    </row>
    <row r="32" spans="1:22">
      <c r="A32" s="155"/>
      <c r="B32" s="155"/>
      <c r="C32" s="156"/>
      <c r="D32" s="155"/>
      <c r="E32" s="170" t="str">
        <f>IFERROR(IF(TRUE, VLOOKUP($C32,Lists!$J$86:$O$99,5,FALSE),""),"")</f>
        <v/>
      </c>
      <c r="F32" s="170" t="str">
        <f>IFERROR(IF(TRUE, VLOOKUP($C32,Lists!$J$86:$O$99,6,FALSE),""),"")</f>
        <v/>
      </c>
      <c r="G32" s="155"/>
      <c r="H32" s="155"/>
      <c r="I32" s="170" t="str">
        <f>IFERROR(IF(TRUE, VLOOKUP($C32,Lists!$J$86:$O$99,4,FALSE),""),"")</f>
        <v/>
      </c>
      <c r="J32" s="155"/>
      <c r="K32" s="155"/>
      <c r="L32" s="155"/>
      <c r="M32" s="155"/>
      <c r="N32" s="156"/>
      <c r="O32" s="155"/>
      <c r="P32" s="156"/>
      <c r="Q32" s="156"/>
      <c r="R32" s="156"/>
      <c r="S32" s="155"/>
      <c r="T32" s="155"/>
      <c r="U32" s="155"/>
      <c r="V32" s="155"/>
    </row>
    <row r="33" spans="1:22">
      <c r="A33" s="155"/>
      <c r="B33" s="155"/>
      <c r="C33" s="156"/>
      <c r="D33" s="155"/>
      <c r="E33" s="170" t="str">
        <f>IFERROR(IF(TRUE, VLOOKUP($C33,Lists!$J$86:$O$99,5,FALSE),""),"")</f>
        <v/>
      </c>
      <c r="F33" s="170" t="str">
        <f>IFERROR(IF(TRUE, VLOOKUP($C33,Lists!$J$86:$O$99,6,FALSE),""),"")</f>
        <v/>
      </c>
      <c r="G33" s="155"/>
      <c r="H33" s="155"/>
      <c r="I33" s="170" t="str">
        <f>IFERROR(IF(TRUE, VLOOKUP($C33,Lists!$J$86:$O$99,4,FALSE),""),"")</f>
        <v/>
      </c>
      <c r="J33" s="155"/>
      <c r="K33" s="155"/>
      <c r="L33" s="155"/>
      <c r="M33" s="155"/>
      <c r="N33" s="156"/>
      <c r="O33" s="155"/>
      <c r="P33" s="156"/>
      <c r="Q33" s="156"/>
      <c r="R33" s="156"/>
      <c r="S33" s="155"/>
      <c r="T33" s="155"/>
      <c r="U33" s="155"/>
      <c r="V33" s="155"/>
    </row>
    <row r="34" spans="1:22">
      <c r="A34" s="155"/>
      <c r="B34" s="155"/>
      <c r="C34" s="156"/>
      <c r="D34" s="155"/>
      <c r="E34" s="170" t="str">
        <f>IFERROR(IF(TRUE, VLOOKUP($C34,Lists!$J$86:$O$99,5,FALSE),""),"")</f>
        <v/>
      </c>
      <c r="F34" s="170" t="str">
        <f>IFERROR(IF(TRUE, VLOOKUP($C34,Lists!$J$86:$O$99,6,FALSE),""),"")</f>
        <v/>
      </c>
      <c r="G34" s="155"/>
      <c r="H34" s="155"/>
      <c r="I34" s="170" t="str">
        <f>IFERROR(IF(TRUE, VLOOKUP($C34,Lists!$J$86:$O$99,4,FALSE),""),"")</f>
        <v/>
      </c>
      <c r="J34" s="155"/>
      <c r="K34" s="155"/>
      <c r="L34" s="155"/>
      <c r="M34" s="155"/>
      <c r="N34" s="156"/>
      <c r="O34" s="155"/>
      <c r="P34" s="156"/>
      <c r="Q34" s="156"/>
      <c r="R34" s="156"/>
      <c r="S34" s="155"/>
      <c r="T34" s="155"/>
      <c r="U34" s="155"/>
      <c r="V34" s="155"/>
    </row>
    <row r="35" spans="1:22">
      <c r="A35" s="155"/>
      <c r="B35" s="155"/>
      <c r="C35" s="156"/>
      <c r="D35" s="155"/>
      <c r="E35" s="170" t="str">
        <f>IFERROR(IF(TRUE, VLOOKUP($C35,Lists!$J$86:$O$99,5,FALSE),""),"")</f>
        <v/>
      </c>
      <c r="F35" s="170" t="str">
        <f>IFERROR(IF(TRUE, VLOOKUP($C35,Lists!$J$86:$O$99,6,FALSE),""),"")</f>
        <v/>
      </c>
      <c r="G35" s="155"/>
      <c r="H35" s="155"/>
      <c r="I35" s="170" t="str">
        <f>IFERROR(IF(TRUE, VLOOKUP($C35,Lists!$J$86:$O$99,4,FALSE),""),"")</f>
        <v/>
      </c>
      <c r="J35" s="155"/>
      <c r="K35" s="155"/>
      <c r="L35" s="155"/>
      <c r="M35" s="155"/>
      <c r="N35" s="156"/>
      <c r="O35" s="155"/>
      <c r="P35" s="156"/>
      <c r="Q35" s="156"/>
      <c r="R35" s="156"/>
      <c r="S35" s="155"/>
      <c r="T35" s="155"/>
      <c r="U35" s="155"/>
      <c r="V35" s="155"/>
    </row>
    <row r="36" spans="1:22">
      <c r="A36" s="155"/>
      <c r="B36" s="155"/>
      <c r="C36" s="156"/>
      <c r="D36" s="155"/>
      <c r="E36" s="170" t="str">
        <f>IFERROR(IF(TRUE, VLOOKUP($C36,Lists!$J$86:$O$99,5,FALSE),""),"")</f>
        <v/>
      </c>
      <c r="F36" s="170" t="str">
        <f>IFERROR(IF(TRUE, VLOOKUP($C36,Lists!$J$86:$O$99,6,FALSE),""),"")</f>
        <v/>
      </c>
      <c r="G36" s="155"/>
      <c r="H36" s="155"/>
      <c r="I36" s="170" t="str">
        <f>IFERROR(IF(TRUE, VLOOKUP($C36,Lists!$J$86:$O$99,4,FALSE),""),"")</f>
        <v/>
      </c>
      <c r="J36" s="155"/>
      <c r="K36" s="155"/>
      <c r="L36" s="155"/>
      <c r="M36" s="155"/>
      <c r="N36" s="156"/>
      <c r="O36" s="155"/>
      <c r="P36" s="156"/>
      <c r="Q36" s="156"/>
      <c r="R36" s="156"/>
      <c r="S36" s="155"/>
      <c r="T36" s="155"/>
      <c r="U36" s="155"/>
      <c r="V36" s="155"/>
    </row>
    <row r="37" spans="1:22">
      <c r="A37" s="155"/>
      <c r="B37" s="155"/>
      <c r="C37" s="156"/>
      <c r="D37" s="155"/>
      <c r="E37" s="170" t="str">
        <f>IFERROR(IF(TRUE, VLOOKUP($C37,Lists!$J$86:$O$99,5,FALSE),""),"")</f>
        <v/>
      </c>
      <c r="F37" s="170" t="str">
        <f>IFERROR(IF(TRUE, VLOOKUP($C37,Lists!$J$86:$O$99,6,FALSE),""),"")</f>
        <v/>
      </c>
      <c r="G37" s="155"/>
      <c r="H37" s="155"/>
      <c r="I37" s="170" t="str">
        <f>IFERROR(IF(TRUE, VLOOKUP($C37,Lists!$J$86:$O$99,4,FALSE),""),"")</f>
        <v/>
      </c>
      <c r="J37" s="155"/>
      <c r="K37" s="155"/>
      <c r="L37" s="155"/>
      <c r="M37" s="155"/>
      <c r="N37" s="156"/>
      <c r="O37" s="155"/>
      <c r="P37" s="156"/>
      <c r="Q37" s="156"/>
      <c r="R37" s="156"/>
      <c r="S37" s="155"/>
      <c r="T37" s="155"/>
      <c r="U37" s="155"/>
      <c r="V37" s="155"/>
    </row>
    <row r="38" spans="1:22">
      <c r="A38" s="155"/>
      <c r="B38" s="155"/>
      <c r="C38" s="156"/>
      <c r="D38" s="155"/>
      <c r="E38" s="170" t="str">
        <f>IFERROR(IF(TRUE, VLOOKUP($C38,Lists!$J$86:$O$99,5,FALSE),""),"")</f>
        <v/>
      </c>
      <c r="F38" s="170" t="str">
        <f>IFERROR(IF(TRUE, VLOOKUP($C38,Lists!$J$86:$O$99,6,FALSE),""),"")</f>
        <v/>
      </c>
      <c r="G38" s="155"/>
      <c r="H38" s="155"/>
      <c r="I38" s="170" t="str">
        <f>IFERROR(IF(TRUE, VLOOKUP($C38,Lists!$J$86:$O$99,4,FALSE),""),"")</f>
        <v/>
      </c>
      <c r="J38" s="155"/>
      <c r="K38" s="155"/>
      <c r="L38" s="155"/>
      <c r="M38" s="155"/>
      <c r="N38" s="156"/>
      <c r="O38" s="155"/>
      <c r="P38" s="156"/>
      <c r="Q38" s="156"/>
      <c r="R38" s="156"/>
      <c r="S38" s="155"/>
      <c r="T38" s="155"/>
      <c r="U38" s="155"/>
      <c r="V38" s="155"/>
    </row>
    <row r="39" spans="1:22">
      <c r="A39" s="155"/>
      <c r="B39" s="155"/>
      <c r="C39" s="156"/>
      <c r="D39" s="155"/>
      <c r="E39" s="170" t="str">
        <f>IFERROR(IF(TRUE, VLOOKUP($C39,Lists!$J$86:$O$99,5,FALSE),""),"")</f>
        <v/>
      </c>
      <c r="F39" s="170" t="str">
        <f>IFERROR(IF(TRUE, VLOOKUP($C39,Lists!$J$86:$O$99,6,FALSE),""),"")</f>
        <v/>
      </c>
      <c r="G39" s="155"/>
      <c r="H39" s="155"/>
      <c r="I39" s="170" t="str">
        <f>IFERROR(IF(TRUE, VLOOKUP($C39,Lists!$J$86:$O$99,4,FALSE),""),"")</f>
        <v/>
      </c>
      <c r="J39" s="155"/>
      <c r="K39" s="155"/>
      <c r="L39" s="155"/>
      <c r="M39" s="155"/>
      <c r="N39" s="156"/>
      <c r="O39" s="155"/>
      <c r="P39" s="156"/>
      <c r="Q39" s="156"/>
      <c r="R39" s="156"/>
      <c r="S39" s="155"/>
      <c r="T39" s="155"/>
      <c r="U39" s="155"/>
      <c r="V39" s="155"/>
    </row>
    <row r="40" spans="1:22">
      <c r="A40" s="155"/>
      <c r="B40" s="155"/>
      <c r="C40" s="156"/>
      <c r="D40" s="155"/>
      <c r="E40" s="170" t="str">
        <f>IFERROR(IF(TRUE, VLOOKUP($C40,Lists!$J$86:$O$99,5,FALSE),""),"")</f>
        <v/>
      </c>
      <c r="F40" s="170" t="str">
        <f>IFERROR(IF(TRUE, VLOOKUP($C40,Lists!$J$86:$O$99,6,FALSE),""),"")</f>
        <v/>
      </c>
      <c r="G40" s="155"/>
      <c r="H40" s="155"/>
      <c r="I40" s="170" t="str">
        <f>IFERROR(IF(TRUE, VLOOKUP($C40,Lists!$J$86:$O$99,4,FALSE),""),"")</f>
        <v/>
      </c>
      <c r="J40" s="155"/>
      <c r="K40" s="155"/>
      <c r="L40" s="155"/>
      <c r="M40" s="155"/>
      <c r="N40" s="156"/>
      <c r="O40" s="155"/>
      <c r="P40" s="156"/>
      <c r="Q40" s="156"/>
      <c r="R40" s="156"/>
      <c r="S40" s="155"/>
      <c r="T40" s="155"/>
      <c r="U40" s="155"/>
      <c r="V40" s="155"/>
    </row>
    <row r="41" spans="1:22">
      <c r="A41" s="155"/>
      <c r="B41" s="155"/>
      <c r="C41" s="156"/>
      <c r="D41" s="155"/>
      <c r="E41" s="170" t="str">
        <f>IFERROR(IF(TRUE, VLOOKUP($C41,Lists!$J$86:$O$99,5,FALSE),""),"")</f>
        <v/>
      </c>
      <c r="F41" s="170" t="str">
        <f>IFERROR(IF(TRUE, VLOOKUP($C41,Lists!$J$86:$O$99,6,FALSE),""),"")</f>
        <v/>
      </c>
      <c r="G41" s="155"/>
      <c r="H41" s="155"/>
      <c r="I41" s="170" t="str">
        <f>IFERROR(IF(TRUE, VLOOKUP($C41,Lists!$J$86:$O$99,4,FALSE),""),"")</f>
        <v/>
      </c>
      <c r="J41" s="155"/>
      <c r="K41" s="155"/>
      <c r="L41" s="155"/>
      <c r="M41" s="155"/>
      <c r="N41" s="156"/>
      <c r="O41" s="155"/>
      <c r="P41" s="156"/>
      <c r="Q41" s="156"/>
      <c r="R41" s="156"/>
      <c r="S41" s="155"/>
      <c r="T41" s="155"/>
      <c r="U41" s="155"/>
      <c r="V41" s="155"/>
    </row>
    <row r="42" spans="1:22">
      <c r="A42" s="155"/>
      <c r="B42" s="155"/>
      <c r="C42" s="156"/>
      <c r="D42" s="155"/>
      <c r="E42" s="170" t="str">
        <f>IFERROR(IF(TRUE, VLOOKUP($C42,Lists!$J$86:$O$99,5,FALSE),""),"")</f>
        <v/>
      </c>
      <c r="F42" s="170" t="str">
        <f>IFERROR(IF(TRUE, VLOOKUP($C42,Lists!$J$86:$O$99,6,FALSE),""),"")</f>
        <v/>
      </c>
      <c r="G42" s="155"/>
      <c r="H42" s="155"/>
      <c r="I42" s="170" t="str">
        <f>IFERROR(IF(TRUE, VLOOKUP($C42,Lists!$J$86:$O$99,4,FALSE),""),"")</f>
        <v/>
      </c>
      <c r="J42" s="155"/>
      <c r="K42" s="155"/>
      <c r="L42" s="155"/>
      <c r="M42" s="155"/>
      <c r="N42" s="156"/>
      <c r="O42" s="155"/>
      <c r="P42" s="156"/>
      <c r="Q42" s="156"/>
      <c r="R42" s="156"/>
      <c r="S42" s="155"/>
      <c r="T42" s="155"/>
      <c r="U42" s="155"/>
      <c r="V42" s="155"/>
    </row>
    <row r="43" spans="1:22">
      <c r="A43" s="155"/>
      <c r="B43" s="155"/>
      <c r="C43" s="156"/>
      <c r="D43" s="155"/>
      <c r="E43" s="170" t="str">
        <f>IFERROR(IF(TRUE, VLOOKUP($C43,Lists!$J$86:$O$99,5,FALSE),""),"")</f>
        <v/>
      </c>
      <c r="F43" s="170" t="str">
        <f>IFERROR(IF(TRUE, VLOOKUP($C43,Lists!$J$86:$O$99,6,FALSE),""),"")</f>
        <v/>
      </c>
      <c r="G43" s="155"/>
      <c r="H43" s="155"/>
      <c r="I43" s="170" t="str">
        <f>IFERROR(IF(TRUE, VLOOKUP($C43,Lists!$J$86:$O$99,4,FALSE),""),"")</f>
        <v/>
      </c>
      <c r="J43" s="155"/>
      <c r="K43" s="155"/>
      <c r="L43" s="155"/>
      <c r="M43" s="155"/>
      <c r="N43" s="156"/>
      <c r="O43" s="155"/>
      <c r="P43" s="156"/>
      <c r="Q43" s="156"/>
      <c r="R43" s="156"/>
      <c r="S43" s="155"/>
      <c r="T43" s="155"/>
      <c r="U43" s="155"/>
      <c r="V43" s="155"/>
    </row>
    <row r="44" spans="1:22">
      <c r="A44" s="155"/>
      <c r="B44" s="155"/>
      <c r="C44" s="156"/>
      <c r="D44" s="155"/>
      <c r="E44" s="170" t="str">
        <f>IFERROR(IF(TRUE, VLOOKUP($C44,Lists!$J$86:$O$99,5,FALSE),""),"")</f>
        <v/>
      </c>
      <c r="F44" s="170" t="str">
        <f>IFERROR(IF(TRUE, VLOOKUP($C44,Lists!$J$86:$O$99,6,FALSE),""),"")</f>
        <v/>
      </c>
      <c r="G44" s="155"/>
      <c r="H44" s="155"/>
      <c r="I44" s="170" t="str">
        <f>IFERROR(IF(TRUE, VLOOKUP($C44,Lists!$J$86:$O$99,4,FALSE),""),"")</f>
        <v/>
      </c>
      <c r="J44" s="155"/>
      <c r="K44" s="155"/>
      <c r="L44" s="155"/>
      <c r="M44" s="155"/>
      <c r="N44" s="156"/>
      <c r="O44" s="155"/>
      <c r="P44" s="156"/>
      <c r="Q44" s="156"/>
      <c r="R44" s="156"/>
      <c r="S44" s="155"/>
      <c r="T44" s="155"/>
      <c r="U44" s="155"/>
      <c r="V44" s="155"/>
    </row>
    <row r="45" spans="1:22">
      <c r="A45" s="155"/>
      <c r="B45" s="155"/>
      <c r="C45" s="156"/>
      <c r="D45" s="155"/>
      <c r="E45" s="170" t="str">
        <f>IFERROR(IF(TRUE, VLOOKUP($C45,Lists!$J$86:$O$99,5,FALSE),""),"")</f>
        <v/>
      </c>
      <c r="F45" s="170" t="str">
        <f>IFERROR(IF(TRUE, VLOOKUP($C45,Lists!$J$86:$O$99,6,FALSE),""),"")</f>
        <v/>
      </c>
      <c r="G45" s="155"/>
      <c r="H45" s="155"/>
      <c r="I45" s="170" t="str">
        <f>IFERROR(IF(TRUE, VLOOKUP($C45,Lists!$J$86:$O$99,4,FALSE),""),"")</f>
        <v/>
      </c>
      <c r="J45" s="155"/>
      <c r="K45" s="155"/>
      <c r="L45" s="155"/>
      <c r="M45" s="155"/>
      <c r="N45" s="156"/>
      <c r="O45" s="155"/>
      <c r="P45" s="156"/>
      <c r="Q45" s="156"/>
      <c r="R45" s="156"/>
      <c r="S45" s="155"/>
      <c r="T45" s="155"/>
      <c r="U45" s="155"/>
      <c r="V45" s="155"/>
    </row>
    <row r="46" spans="1:22">
      <c r="A46" s="155"/>
      <c r="B46" s="155"/>
      <c r="C46" s="156"/>
      <c r="D46" s="155"/>
      <c r="E46" s="170" t="str">
        <f>IFERROR(IF(TRUE, VLOOKUP($C46,Lists!$J$86:$O$99,5,FALSE),""),"")</f>
        <v/>
      </c>
      <c r="F46" s="170" t="str">
        <f>IFERROR(IF(TRUE, VLOOKUP($C46,Lists!$J$86:$O$99,6,FALSE),""),"")</f>
        <v/>
      </c>
      <c r="G46" s="155"/>
      <c r="H46" s="155"/>
      <c r="I46" s="170" t="str">
        <f>IFERROR(IF(TRUE, VLOOKUP($C46,Lists!$J$86:$O$99,4,FALSE),""),"")</f>
        <v/>
      </c>
      <c r="J46" s="155"/>
      <c r="K46" s="155"/>
      <c r="L46" s="155"/>
      <c r="M46" s="155"/>
      <c r="N46" s="156"/>
      <c r="O46" s="155"/>
      <c r="P46" s="156"/>
      <c r="Q46" s="156"/>
      <c r="R46" s="156"/>
      <c r="S46" s="155"/>
      <c r="T46" s="155"/>
      <c r="U46" s="155"/>
      <c r="V46" s="155"/>
    </row>
    <row r="47" spans="1:22">
      <c r="A47" s="155"/>
      <c r="B47" s="155"/>
      <c r="C47" s="156"/>
      <c r="D47" s="155"/>
      <c r="E47" s="170" t="str">
        <f>IFERROR(IF(TRUE, VLOOKUP($C47,Lists!$J$86:$O$99,5,FALSE),""),"")</f>
        <v/>
      </c>
      <c r="F47" s="170" t="str">
        <f>IFERROR(IF(TRUE, VLOOKUP($C47,Lists!$J$86:$O$99,6,FALSE),""),"")</f>
        <v/>
      </c>
      <c r="G47" s="155"/>
      <c r="H47" s="155"/>
      <c r="I47" s="170" t="str">
        <f>IFERROR(IF(TRUE, VLOOKUP($C47,Lists!$J$86:$O$99,4,FALSE),""),"")</f>
        <v/>
      </c>
      <c r="J47" s="155"/>
      <c r="K47" s="155"/>
      <c r="L47" s="155"/>
      <c r="M47" s="155"/>
      <c r="N47" s="156"/>
      <c r="O47" s="155"/>
      <c r="P47" s="156"/>
      <c r="Q47" s="156"/>
      <c r="R47" s="156"/>
      <c r="S47" s="155"/>
      <c r="T47" s="155"/>
      <c r="U47" s="155"/>
      <c r="V47" s="155"/>
    </row>
    <row r="48" spans="1:22">
      <c r="A48" s="155"/>
      <c r="B48" s="155"/>
      <c r="C48" s="156"/>
      <c r="D48" s="155"/>
      <c r="E48" s="170" t="str">
        <f>IFERROR(IF(TRUE, VLOOKUP($C48,Lists!$J$86:$O$99,5,FALSE),""),"")</f>
        <v/>
      </c>
      <c r="F48" s="170" t="str">
        <f>IFERROR(IF(TRUE, VLOOKUP($C48,Lists!$J$86:$O$99,6,FALSE),""),"")</f>
        <v/>
      </c>
      <c r="G48" s="155"/>
      <c r="H48" s="155"/>
      <c r="I48" s="170" t="str">
        <f>IFERROR(IF(TRUE, VLOOKUP($C48,Lists!$J$86:$O$99,4,FALSE),""),"")</f>
        <v/>
      </c>
      <c r="J48" s="155"/>
      <c r="K48" s="155"/>
      <c r="L48" s="155"/>
      <c r="M48" s="155"/>
      <c r="N48" s="156"/>
      <c r="O48" s="155"/>
      <c r="P48" s="156"/>
      <c r="Q48" s="156"/>
      <c r="R48" s="156"/>
      <c r="S48" s="155"/>
      <c r="T48" s="155"/>
      <c r="U48" s="155"/>
      <c r="V48" s="155"/>
    </row>
    <row r="49" spans="1:22">
      <c r="A49" s="155"/>
      <c r="B49" s="155"/>
      <c r="C49" s="156"/>
      <c r="D49" s="155"/>
      <c r="E49" s="170" t="str">
        <f>IFERROR(IF(TRUE, VLOOKUP($C49,Lists!$J$86:$O$99,5,FALSE),""),"")</f>
        <v/>
      </c>
      <c r="F49" s="170" t="str">
        <f>IFERROR(IF(TRUE, VLOOKUP($C49,Lists!$J$86:$O$99,6,FALSE),""),"")</f>
        <v/>
      </c>
      <c r="G49" s="155"/>
      <c r="H49" s="155"/>
      <c r="I49" s="170" t="str">
        <f>IFERROR(IF(TRUE, VLOOKUP($C49,Lists!$J$86:$O$99,4,FALSE),""),"")</f>
        <v/>
      </c>
      <c r="J49" s="155"/>
      <c r="K49" s="155"/>
      <c r="L49" s="155"/>
      <c r="M49" s="155"/>
      <c r="N49" s="156"/>
      <c r="O49" s="155"/>
      <c r="P49" s="156"/>
      <c r="Q49" s="156"/>
      <c r="R49" s="156"/>
      <c r="S49" s="155"/>
      <c r="T49" s="155"/>
      <c r="U49" s="155"/>
      <c r="V49" s="155"/>
    </row>
    <row r="50" spans="1:22">
      <c r="A50" s="155"/>
      <c r="B50" s="155"/>
      <c r="C50" s="156"/>
      <c r="D50" s="155"/>
      <c r="E50" s="170" t="str">
        <f>IFERROR(IF(TRUE, VLOOKUP($C50,Lists!$J$86:$O$99,5,FALSE),""),"")</f>
        <v/>
      </c>
      <c r="F50" s="170" t="str">
        <f>IFERROR(IF(TRUE, VLOOKUP($C50,Lists!$J$86:$O$99,6,FALSE),""),"")</f>
        <v/>
      </c>
      <c r="G50" s="155"/>
      <c r="H50" s="155"/>
      <c r="I50" s="170" t="str">
        <f>IFERROR(IF(TRUE, VLOOKUP($C50,Lists!$J$86:$O$99,4,FALSE),""),"")</f>
        <v/>
      </c>
      <c r="J50" s="155"/>
      <c r="K50" s="155"/>
      <c r="L50" s="155"/>
      <c r="M50" s="155"/>
      <c r="N50" s="156"/>
      <c r="O50" s="155"/>
      <c r="P50" s="156"/>
      <c r="Q50" s="156"/>
      <c r="R50" s="156"/>
      <c r="S50" s="155"/>
      <c r="T50" s="155"/>
      <c r="U50" s="155"/>
      <c r="V50" s="155"/>
    </row>
  </sheetData>
  <sheetProtection algorithmName="SHA-512" hashValue="T1A/2tELL1VNyzpNxJFBKrKUnFhnOqwPQeCYY6VFO0JILdrGEQ+73InUTOSxBy3wTVJTW4wSybQsMkvYuJgpuA==" saltValue="k6+Ys/tbGtKC2ycqQIm4Dg==" spinCount="100000" sheet="1" objects="1" scenarios="1"/>
  <mergeCells count="10">
    <mergeCell ref="U1:U2"/>
    <mergeCell ref="V1:V2"/>
    <mergeCell ref="B1:C1"/>
    <mergeCell ref="S1:S2"/>
    <mergeCell ref="T1:T2"/>
    <mergeCell ref="F1:H1"/>
    <mergeCell ref="I1:K1"/>
    <mergeCell ref="L1:O1"/>
    <mergeCell ref="P1:R1"/>
    <mergeCell ref="D1:E1"/>
  </mergeCells>
  <conditionalFormatting sqref="T3:U50">
    <cfRule type="containsBlanks" dxfId="83" priority="9">
      <formula>LEN(TRIM(T3))=0</formula>
    </cfRule>
  </conditionalFormatting>
  <conditionalFormatting sqref="S3:S50">
    <cfRule type="containsBlanks" dxfId="82" priority="8">
      <formula>LEN(TRIM(S3))=0</formula>
    </cfRule>
  </conditionalFormatting>
  <conditionalFormatting sqref="O3:O50">
    <cfRule type="containsBlanks" dxfId="81" priority="7">
      <formula>LEN(TRIM(O3))=0</formula>
    </cfRule>
  </conditionalFormatting>
  <conditionalFormatting sqref="J3:M50">
    <cfRule type="containsBlanks" dxfId="80" priority="6">
      <formula>LEN(TRIM(J3))=0</formula>
    </cfRule>
  </conditionalFormatting>
  <conditionalFormatting sqref="G3:H50">
    <cfRule type="containsBlanks" dxfId="79" priority="5">
      <formula>LEN(TRIM(G3))=0</formula>
    </cfRule>
  </conditionalFormatting>
  <conditionalFormatting sqref="D3:D50">
    <cfRule type="containsBlanks" dxfId="78" priority="4">
      <formula>LEN(TRIM(D3))=0</formula>
    </cfRule>
  </conditionalFormatting>
  <conditionalFormatting sqref="B3:B50">
    <cfRule type="containsBlanks" dxfId="77" priority="3">
      <formula>LEN(TRIM(B3))=0</formula>
    </cfRule>
  </conditionalFormatting>
  <conditionalFormatting sqref="A3:A50">
    <cfRule type="containsBlanks" dxfId="76" priority="2">
      <formula>LEN(TRIM(A3))=0</formula>
    </cfRule>
  </conditionalFormatting>
  <conditionalFormatting sqref="V3:V50">
    <cfRule type="containsBlanks" dxfId="75" priority="1">
      <formula>LEN(TRIM(V3))=0</formula>
    </cfRule>
  </conditionalFormatting>
  <dataValidations disablePrompts="1" count="1">
    <dataValidation type="list" allowBlank="1" showInputMessage="1" showErrorMessage="1" sqref="P3:R50" xr:uid="{53B4F050-E876-4E6E-B724-7D7519B919BD}">
      <formula1>Yes_No</formula1>
    </dataValidation>
  </dataValidations>
  <pageMargins left="0.4498611111111111" right="9.6805555555555561E-2" top="0.75" bottom="0.75" header="0.3" footer="0.3"/>
  <pageSetup scale="82" orientation="portrait" r:id="rId1"/>
  <headerFooter>
    <oddHeader>&amp;L&amp;G&amp;R
&amp;"Liberation Sans,Bold"&amp;14&amp;K00247DEN97A: GHG Adjustments Form</oddHeader>
    <oddFooter>&amp;LVersion 1.3&amp;RFebruary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allowBlank="1" showInputMessage="1" showErrorMessage="1" xr:uid="{F7EC6A63-F196-4DE9-8573-545FD3515767}">
          <x14:formula1>
            <xm:f>Lists!$L$1:$L$5</xm:f>
          </x14:formula1>
          <xm:sqref>S3:S50</xm:sqref>
        </x14:dataValidation>
        <x14:dataValidation type="list" allowBlank="1" showInputMessage="1" showErrorMessage="1" xr:uid="{8C320647-6B49-48C9-BFC5-788FB1D9979B}">
          <x14:formula1>
            <xm:f>Lists!$V$88:$V$90</xm:f>
          </x14:formula1>
          <xm:sqref>E3:E50</xm:sqref>
        </x14:dataValidation>
        <x14:dataValidation type="list" allowBlank="1" showInputMessage="1" showErrorMessage="1" xr:uid="{D783AF99-CA0A-4EAD-8965-CF5F24036B27}">
          <x14:formula1>
            <xm:f>Lists!$U$88:$U$90</xm:f>
          </x14:formula1>
          <xm:sqref>F3:F50</xm:sqref>
        </x14:dataValidation>
        <x14:dataValidation type="list" allowBlank="1" showInputMessage="1" showErrorMessage="1" xr:uid="{BB427397-6859-4B1A-A9A4-3D91AB51C733}">
          <x14:formula1>
            <xm:f>Lists!$T$88:$T$89</xm:f>
          </x14:formula1>
          <xm:sqref>I3:I50</xm:sqref>
        </x14:dataValidation>
        <x14:dataValidation type="list" allowBlank="1" showInputMessage="1" showErrorMessage="1" xr:uid="{811C0DC6-4024-48D4-81C9-2BB8D64A36A5}">
          <x14:formula1>
            <xm:f>Lists!$J$86:$J$98</xm:f>
          </x14:formula1>
          <xm:sqref>C3:C50</xm:sqref>
        </x14:dataValidation>
        <x14:dataValidation type="list" allowBlank="1" showInputMessage="1" showErrorMessage="1" xr:uid="{C42FB2F3-F7D9-4D55-8F44-51A5D7709893}">
          <x14:formula1>
            <xm:f>Lists!$W$1:$W$2</xm:f>
          </x14:formula1>
          <xm:sqref>N3:N50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E524E-5E14-407E-B03C-47A4B97A0C57}">
  <sheetPr codeName="Sheet43"/>
  <dimension ref="A2:O49"/>
  <sheetViews>
    <sheetView view="pageLayout" zoomScaleNormal="130" zoomScaleSheetLayoutView="89" workbookViewId="0">
      <selection activeCell="K12" sqref="K12:K13"/>
    </sheetView>
  </sheetViews>
  <sheetFormatPr defaultColWidth="8.85546875" defaultRowHeight="14.25"/>
  <cols>
    <col min="1" max="1" width="2.7109375" style="94" customWidth="1"/>
    <col min="2" max="2" width="8.42578125" style="94" customWidth="1"/>
    <col min="3" max="3" width="11" style="94" customWidth="1"/>
    <col min="4" max="4" width="19.5703125" style="94" customWidth="1"/>
    <col min="5" max="5" width="18.5703125" style="94" customWidth="1"/>
    <col min="6" max="6" width="7.5703125" style="94" customWidth="1"/>
    <col min="7" max="7" width="9.28515625" style="94" customWidth="1"/>
    <col min="8" max="8" width="10.28515625" style="94" customWidth="1"/>
    <col min="9" max="9" width="9.85546875" style="94" customWidth="1"/>
    <col min="10" max="10" width="11.140625" style="94" customWidth="1"/>
    <col min="11" max="11" width="8.5703125" style="94" customWidth="1"/>
    <col min="12" max="13" width="8.85546875" style="94"/>
    <col min="14" max="14" width="19.42578125" style="94" customWidth="1"/>
    <col min="15" max="16384" width="8.85546875" style="94"/>
  </cols>
  <sheetData>
    <row r="2" spans="1:15" s="168" customFormat="1" ht="12.75">
      <c r="B2" s="164" t="s">
        <v>811</v>
      </c>
      <c r="C2" s="459" t="s">
        <v>812</v>
      </c>
      <c r="D2" s="459"/>
      <c r="E2" s="164" t="s">
        <v>813</v>
      </c>
      <c r="F2" s="459" t="s">
        <v>814</v>
      </c>
      <c r="G2" s="459"/>
      <c r="H2" s="459"/>
      <c r="I2" s="459"/>
      <c r="J2" s="459"/>
      <c r="K2" s="484" t="s">
        <v>107</v>
      </c>
      <c r="L2" s="484" t="s">
        <v>108</v>
      </c>
      <c r="M2" s="484" t="s">
        <v>109</v>
      </c>
      <c r="N2" s="484" t="s">
        <v>795</v>
      </c>
    </row>
    <row r="3" spans="1:15" ht="45">
      <c r="A3" s="153"/>
      <c r="B3" s="154" t="s">
        <v>796</v>
      </c>
      <c r="C3" s="154" t="s">
        <v>797</v>
      </c>
      <c r="D3" s="154" t="s">
        <v>815</v>
      </c>
      <c r="E3" s="154" t="s">
        <v>816</v>
      </c>
      <c r="F3" s="154" t="s">
        <v>817</v>
      </c>
      <c r="G3" s="154" t="s">
        <v>802</v>
      </c>
      <c r="H3" s="154" t="s">
        <v>803</v>
      </c>
      <c r="I3" s="154" t="s">
        <v>818</v>
      </c>
      <c r="J3" s="154" t="s">
        <v>819</v>
      </c>
      <c r="K3" s="484"/>
      <c r="L3" s="484"/>
      <c r="M3" s="484"/>
      <c r="N3" s="484"/>
    </row>
    <row r="4" spans="1:15">
      <c r="B4" s="155"/>
      <c r="C4" s="155"/>
      <c r="D4" s="156"/>
      <c r="E4" s="155"/>
      <c r="F4" s="155"/>
      <c r="G4" s="155"/>
      <c r="H4" s="155"/>
      <c r="I4" s="155"/>
      <c r="J4" s="155"/>
      <c r="K4" s="155"/>
      <c r="L4" s="155"/>
      <c r="M4" s="155"/>
      <c r="N4" s="155"/>
    </row>
    <row r="5" spans="1:15">
      <c r="B5" s="155"/>
      <c r="C5" s="155"/>
      <c r="D5" s="156"/>
      <c r="E5" s="155"/>
      <c r="F5" s="155"/>
      <c r="G5" s="155"/>
      <c r="H5" s="155"/>
      <c r="I5" s="155"/>
      <c r="J5" s="155"/>
      <c r="K5" s="155"/>
      <c r="L5" s="155"/>
      <c r="M5" s="155"/>
      <c r="N5" s="155"/>
    </row>
    <row r="6" spans="1:15">
      <c r="B6" s="155"/>
      <c r="C6" s="155"/>
      <c r="D6" s="156"/>
      <c r="E6" s="155"/>
      <c r="F6" s="155"/>
      <c r="G6" s="155"/>
      <c r="H6" s="155"/>
      <c r="I6" s="155"/>
      <c r="J6" s="155"/>
      <c r="K6" s="155"/>
      <c r="L6" s="155"/>
      <c r="M6" s="155"/>
      <c r="N6" s="155"/>
    </row>
    <row r="7" spans="1:15">
      <c r="B7" s="155"/>
      <c r="C7" s="155"/>
      <c r="D7" s="156"/>
      <c r="E7" s="155"/>
      <c r="F7" s="155"/>
      <c r="G7" s="155"/>
      <c r="H7" s="155"/>
      <c r="I7" s="155"/>
      <c r="J7" s="155"/>
      <c r="K7" s="155"/>
      <c r="L7" s="155"/>
      <c r="M7" s="155"/>
      <c r="N7" s="155"/>
    </row>
    <row r="8" spans="1:15">
      <c r="B8" s="155"/>
      <c r="C8" s="155"/>
      <c r="D8" s="156"/>
      <c r="E8" s="155"/>
      <c r="F8" s="155"/>
      <c r="G8" s="155"/>
      <c r="H8" s="155"/>
      <c r="I8" s="155"/>
      <c r="J8" s="155"/>
      <c r="K8" s="155"/>
      <c r="L8" s="155"/>
      <c r="M8" s="155"/>
      <c r="N8" s="155"/>
    </row>
    <row r="9" spans="1:15">
      <c r="B9" s="155"/>
      <c r="C9" s="155"/>
      <c r="D9" s="156"/>
      <c r="E9" s="155"/>
      <c r="F9" s="155"/>
      <c r="G9" s="155"/>
      <c r="H9" s="155"/>
      <c r="I9" s="155"/>
      <c r="J9" s="155"/>
      <c r="K9" s="155"/>
      <c r="L9" s="155"/>
      <c r="M9" s="155"/>
      <c r="N9" s="155"/>
    </row>
    <row r="10" spans="1:15">
      <c r="B10" s="155"/>
      <c r="C10" s="155"/>
      <c r="D10" s="156"/>
      <c r="E10" s="155"/>
      <c r="F10" s="155"/>
      <c r="G10" s="155"/>
      <c r="H10" s="155"/>
      <c r="I10" s="155"/>
      <c r="J10" s="155"/>
      <c r="K10" s="155"/>
      <c r="L10" s="155"/>
      <c r="M10" s="155"/>
      <c r="N10" s="155"/>
    </row>
    <row r="11" spans="1:15">
      <c r="A11" s="149"/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8"/>
      <c r="M11" s="167"/>
      <c r="N11" s="149"/>
      <c r="O11" s="149"/>
    </row>
    <row r="12" spans="1:15" s="168" customFormat="1" ht="12.75">
      <c r="A12" s="169"/>
      <c r="B12" s="164" t="s">
        <v>820</v>
      </c>
      <c r="C12" s="459" t="s">
        <v>821</v>
      </c>
      <c r="D12" s="459"/>
      <c r="E12" s="164" t="s">
        <v>813</v>
      </c>
      <c r="F12" s="459" t="s">
        <v>822</v>
      </c>
      <c r="G12" s="459"/>
      <c r="H12" s="459"/>
      <c r="I12" s="459"/>
      <c r="J12" s="459"/>
      <c r="K12" s="484" t="s">
        <v>107</v>
      </c>
      <c r="L12" s="484" t="s">
        <v>108</v>
      </c>
      <c r="M12" s="484" t="s">
        <v>109</v>
      </c>
      <c r="N12" s="484" t="s">
        <v>795</v>
      </c>
      <c r="O12" s="169"/>
    </row>
    <row r="13" spans="1:15" ht="45">
      <c r="A13" s="149"/>
      <c r="B13" s="154" t="s">
        <v>796</v>
      </c>
      <c r="C13" s="154" t="s">
        <v>797</v>
      </c>
      <c r="D13" s="154" t="s">
        <v>823</v>
      </c>
      <c r="E13" s="154" t="s">
        <v>816</v>
      </c>
      <c r="F13" s="154" t="s">
        <v>817</v>
      </c>
      <c r="G13" s="154" t="s">
        <v>802</v>
      </c>
      <c r="H13" s="154" t="s">
        <v>803</v>
      </c>
      <c r="I13" s="154" t="s">
        <v>818</v>
      </c>
      <c r="J13" s="154" t="s">
        <v>819</v>
      </c>
      <c r="K13" s="484"/>
      <c r="L13" s="484"/>
      <c r="M13" s="484"/>
      <c r="N13" s="484"/>
    </row>
    <row r="14" spans="1:15">
      <c r="B14" s="155"/>
      <c r="C14" s="155"/>
      <c r="D14" s="156"/>
      <c r="E14" s="155"/>
      <c r="F14" s="155"/>
      <c r="G14" s="155"/>
      <c r="H14" s="155"/>
      <c r="I14" s="155"/>
      <c r="J14" s="155"/>
      <c r="K14" s="155"/>
      <c r="L14" s="155"/>
      <c r="M14" s="155"/>
      <c r="N14" s="155"/>
    </row>
    <row r="15" spans="1:15">
      <c r="B15" s="155"/>
      <c r="C15" s="155"/>
      <c r="D15" s="156"/>
      <c r="E15" s="155"/>
      <c r="F15" s="155"/>
      <c r="G15" s="155"/>
      <c r="H15" s="155"/>
      <c r="I15" s="155"/>
      <c r="J15" s="155"/>
      <c r="K15" s="155"/>
      <c r="L15" s="155"/>
      <c r="M15" s="155"/>
      <c r="N15" s="155"/>
    </row>
    <row r="16" spans="1:15">
      <c r="B16" s="155"/>
      <c r="C16" s="155"/>
      <c r="D16" s="156"/>
      <c r="E16" s="155"/>
      <c r="F16" s="155"/>
      <c r="G16" s="155"/>
      <c r="H16" s="155"/>
      <c r="I16" s="155"/>
      <c r="J16" s="155"/>
      <c r="K16" s="155"/>
      <c r="L16" s="155"/>
      <c r="M16" s="155"/>
      <c r="N16" s="155"/>
    </row>
    <row r="17" spans="2:15">
      <c r="B17" s="155"/>
      <c r="C17" s="155"/>
      <c r="D17" s="156"/>
      <c r="E17" s="155"/>
      <c r="F17" s="155"/>
      <c r="G17" s="155"/>
      <c r="H17" s="155"/>
      <c r="I17" s="155"/>
      <c r="J17" s="155"/>
      <c r="K17" s="155"/>
      <c r="L17" s="155"/>
      <c r="M17" s="155"/>
      <c r="N17" s="155"/>
    </row>
    <row r="18" spans="2:15">
      <c r="B18" s="155"/>
      <c r="C18" s="155"/>
      <c r="D18" s="156"/>
      <c r="E18" s="155"/>
      <c r="F18" s="155"/>
      <c r="G18" s="155"/>
      <c r="H18" s="155"/>
      <c r="I18" s="155"/>
      <c r="J18" s="155"/>
      <c r="K18" s="155"/>
      <c r="L18" s="155"/>
      <c r="M18" s="155"/>
      <c r="N18" s="155"/>
    </row>
    <row r="19" spans="2:15">
      <c r="B19" s="155"/>
      <c r="C19" s="155"/>
      <c r="D19" s="156"/>
      <c r="E19" s="155"/>
      <c r="F19" s="155"/>
      <c r="G19" s="155"/>
      <c r="H19" s="155"/>
      <c r="I19" s="155"/>
      <c r="J19" s="155"/>
      <c r="K19" s="155"/>
      <c r="L19" s="155"/>
      <c r="M19" s="155"/>
      <c r="N19" s="155"/>
    </row>
    <row r="20" spans="2:15"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8"/>
      <c r="M20" s="158"/>
      <c r="N20" s="149"/>
    </row>
    <row r="21" spans="2:15" s="168" customFormat="1" ht="26.25" customHeight="1">
      <c r="B21" s="164" t="s">
        <v>824</v>
      </c>
      <c r="C21" s="459" t="s">
        <v>825</v>
      </c>
      <c r="D21" s="459"/>
      <c r="E21" s="164" t="s">
        <v>826</v>
      </c>
      <c r="F21" s="459" t="s">
        <v>827</v>
      </c>
      <c r="G21" s="459"/>
      <c r="H21" s="459"/>
      <c r="I21" s="459"/>
      <c r="J21" s="459"/>
      <c r="K21" s="489" t="s">
        <v>107</v>
      </c>
      <c r="L21" s="489" t="s">
        <v>108</v>
      </c>
      <c r="M21" s="489" t="s">
        <v>109</v>
      </c>
      <c r="N21" s="489" t="s">
        <v>795</v>
      </c>
    </row>
    <row r="22" spans="2:15" ht="45">
      <c r="B22" s="154" t="s">
        <v>796</v>
      </c>
      <c r="C22" s="154" t="s">
        <v>797</v>
      </c>
      <c r="D22" s="154" t="s">
        <v>828</v>
      </c>
      <c r="E22" s="154" t="s">
        <v>816</v>
      </c>
      <c r="F22" s="154" t="s">
        <v>817</v>
      </c>
      <c r="G22" s="154" t="s">
        <v>802</v>
      </c>
      <c r="H22" s="154" t="s">
        <v>803</v>
      </c>
      <c r="I22" s="154" t="s">
        <v>829</v>
      </c>
      <c r="J22" s="154" t="s">
        <v>819</v>
      </c>
      <c r="K22" s="490"/>
      <c r="L22" s="490"/>
      <c r="M22" s="490"/>
      <c r="N22" s="490"/>
    </row>
    <row r="23" spans="2:15">
      <c r="B23" s="155"/>
      <c r="C23" s="155"/>
      <c r="D23" s="156"/>
      <c r="E23" s="155"/>
      <c r="F23" s="155"/>
      <c r="G23" s="155"/>
      <c r="H23" s="155"/>
      <c r="I23" s="156"/>
      <c r="J23" s="155"/>
      <c r="K23" s="155"/>
      <c r="L23" s="155"/>
      <c r="M23" s="155"/>
      <c r="N23" s="155"/>
    </row>
    <row r="24" spans="2:15">
      <c r="B24" s="155"/>
      <c r="C24" s="155"/>
      <c r="D24" s="156"/>
      <c r="E24" s="155"/>
      <c r="F24" s="155"/>
      <c r="G24" s="155"/>
      <c r="H24" s="155"/>
      <c r="I24" s="156"/>
      <c r="J24" s="155"/>
      <c r="K24" s="155"/>
      <c r="L24" s="155"/>
      <c r="M24" s="155"/>
      <c r="N24" s="155"/>
    </row>
    <row r="25" spans="2:15">
      <c r="B25" s="155"/>
      <c r="C25" s="155"/>
      <c r="D25" s="156"/>
      <c r="E25" s="155"/>
      <c r="F25" s="155"/>
      <c r="G25" s="155"/>
      <c r="H25" s="155"/>
      <c r="I25" s="156"/>
      <c r="J25" s="155"/>
      <c r="K25" s="155"/>
      <c r="L25" s="155"/>
      <c r="M25" s="155"/>
      <c r="N25" s="155"/>
    </row>
    <row r="26" spans="2:15">
      <c r="B26" s="155"/>
      <c r="C26" s="155"/>
      <c r="D26" s="156"/>
      <c r="E26" s="155"/>
      <c r="F26" s="155"/>
      <c r="G26" s="155"/>
      <c r="H26" s="155"/>
      <c r="I26" s="156"/>
      <c r="J26" s="155"/>
      <c r="K26" s="155"/>
      <c r="L26" s="155"/>
      <c r="M26" s="155"/>
      <c r="N26" s="155"/>
    </row>
    <row r="27" spans="2:15">
      <c r="B27" s="155"/>
      <c r="C27" s="155"/>
      <c r="D27" s="156"/>
      <c r="E27" s="155"/>
      <c r="F27" s="155"/>
      <c r="G27" s="155"/>
      <c r="H27" s="155"/>
      <c r="I27" s="156"/>
      <c r="J27" s="155"/>
      <c r="K27" s="155"/>
      <c r="L27" s="155"/>
      <c r="M27" s="155"/>
      <c r="N27" s="155"/>
    </row>
    <row r="28" spans="2:15"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8"/>
      <c r="M28" s="158"/>
      <c r="N28" s="149"/>
    </row>
    <row r="29" spans="2:15" s="168" customFormat="1" ht="14.45" customHeight="1">
      <c r="B29" s="164" t="s">
        <v>830</v>
      </c>
      <c r="C29" s="459" t="s">
        <v>831</v>
      </c>
      <c r="D29" s="459"/>
      <c r="E29" s="164"/>
      <c r="F29" s="164"/>
      <c r="G29" s="164"/>
      <c r="H29" s="164"/>
      <c r="I29" s="164"/>
      <c r="J29" s="164"/>
      <c r="K29" s="484" t="s">
        <v>107</v>
      </c>
      <c r="L29" s="484" t="s">
        <v>108</v>
      </c>
      <c r="M29" s="484" t="s">
        <v>109</v>
      </c>
      <c r="N29" s="484" t="s">
        <v>795</v>
      </c>
      <c r="O29" s="484"/>
    </row>
    <row r="30" spans="2:15" ht="33.75">
      <c r="B30" s="154" t="s">
        <v>796</v>
      </c>
      <c r="C30" s="154" t="s">
        <v>797</v>
      </c>
      <c r="D30" s="154" t="s">
        <v>832</v>
      </c>
      <c r="E30" s="154" t="s">
        <v>816</v>
      </c>
      <c r="F30" s="154" t="s">
        <v>817</v>
      </c>
      <c r="G30" s="154" t="s">
        <v>833</v>
      </c>
      <c r="H30" s="154" t="s">
        <v>834</v>
      </c>
      <c r="I30" s="154" t="s">
        <v>835</v>
      </c>
      <c r="J30" s="159" t="s">
        <v>836</v>
      </c>
      <c r="K30" s="484"/>
      <c r="L30" s="484"/>
      <c r="M30" s="484"/>
      <c r="N30" s="484"/>
      <c r="O30" s="484"/>
    </row>
    <row r="31" spans="2:15">
      <c r="B31" s="155"/>
      <c r="C31" s="155"/>
      <c r="D31" s="155"/>
      <c r="E31" s="155"/>
      <c r="F31" s="155"/>
      <c r="G31" s="155"/>
      <c r="H31" s="155"/>
      <c r="I31" s="155"/>
      <c r="J31" s="156"/>
      <c r="K31" s="155"/>
      <c r="L31" s="155"/>
      <c r="M31" s="155"/>
      <c r="N31" s="491"/>
      <c r="O31" s="492"/>
    </row>
    <row r="32" spans="2:15">
      <c r="B32" s="155"/>
      <c r="C32" s="155"/>
      <c r="D32" s="155"/>
      <c r="E32" s="155"/>
      <c r="F32" s="155"/>
      <c r="G32" s="155"/>
      <c r="H32" s="155"/>
      <c r="I32" s="155"/>
      <c r="J32" s="156"/>
      <c r="K32" s="155"/>
      <c r="L32" s="155"/>
      <c r="M32" s="155"/>
      <c r="N32" s="491"/>
      <c r="O32" s="492"/>
    </row>
    <row r="33" spans="2:15">
      <c r="B33" s="155"/>
      <c r="C33" s="155"/>
      <c r="D33" s="155"/>
      <c r="E33" s="155"/>
      <c r="F33" s="155"/>
      <c r="G33" s="155"/>
      <c r="H33" s="155"/>
      <c r="I33" s="155"/>
      <c r="J33" s="156"/>
      <c r="K33" s="155"/>
      <c r="L33" s="155"/>
      <c r="M33" s="155"/>
      <c r="N33" s="491"/>
      <c r="O33" s="492"/>
    </row>
    <row r="34" spans="2:15">
      <c r="B34" s="155"/>
      <c r="C34" s="155"/>
      <c r="D34" s="155"/>
      <c r="E34" s="155"/>
      <c r="F34" s="155"/>
      <c r="G34" s="155"/>
      <c r="H34" s="155"/>
      <c r="I34" s="155"/>
      <c r="J34" s="156"/>
      <c r="K34" s="155"/>
      <c r="L34" s="155"/>
      <c r="M34" s="155"/>
      <c r="N34" s="491"/>
      <c r="O34" s="492"/>
    </row>
    <row r="35" spans="2:15">
      <c r="B35" s="155"/>
      <c r="C35" s="155"/>
      <c r="D35" s="155"/>
      <c r="E35" s="155"/>
      <c r="F35" s="155"/>
      <c r="G35" s="155"/>
      <c r="H35" s="155"/>
      <c r="I35" s="155"/>
      <c r="J35" s="156"/>
      <c r="K35" s="155"/>
      <c r="L35" s="155"/>
      <c r="M35" s="155"/>
      <c r="N35" s="491"/>
      <c r="O35" s="492"/>
    </row>
    <row r="36" spans="2:15">
      <c r="B36" s="155"/>
      <c r="C36" s="155"/>
      <c r="D36" s="155"/>
      <c r="E36" s="155"/>
      <c r="F36" s="155"/>
      <c r="G36" s="155"/>
      <c r="H36" s="155"/>
      <c r="I36" s="155"/>
      <c r="J36" s="156"/>
      <c r="K36" s="155"/>
      <c r="L36" s="155"/>
      <c r="M36" s="155"/>
      <c r="N36" s="491"/>
      <c r="O36" s="492"/>
    </row>
    <row r="37" spans="2:15">
      <c r="B37" s="155"/>
      <c r="C37" s="155"/>
      <c r="D37" s="155"/>
      <c r="E37" s="155"/>
      <c r="F37" s="155"/>
      <c r="G37" s="155"/>
      <c r="H37" s="155"/>
      <c r="I37" s="155"/>
      <c r="J37" s="156"/>
      <c r="K37" s="155"/>
      <c r="L37" s="155"/>
      <c r="M37" s="155"/>
      <c r="N37" s="491"/>
      <c r="O37" s="492"/>
    </row>
    <row r="38" spans="2:15">
      <c r="B38" s="155"/>
      <c r="C38" s="155"/>
      <c r="D38" s="155"/>
      <c r="E38" s="155"/>
      <c r="F38" s="155"/>
      <c r="G38" s="155"/>
      <c r="H38" s="155"/>
      <c r="I38" s="155"/>
      <c r="J38" s="156"/>
      <c r="K38" s="155"/>
      <c r="L38" s="155"/>
      <c r="M38" s="155"/>
      <c r="N38" s="491"/>
      <c r="O38" s="492"/>
    </row>
    <row r="39" spans="2:15"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8"/>
      <c r="M39" s="158"/>
      <c r="N39" s="149"/>
    </row>
    <row r="40" spans="2:15" s="168" customFormat="1" ht="14.45" customHeight="1">
      <c r="B40" s="164" t="s">
        <v>837</v>
      </c>
      <c r="C40" s="459" t="s">
        <v>838</v>
      </c>
      <c r="D40" s="459"/>
      <c r="E40" s="164"/>
      <c r="F40" s="164"/>
      <c r="G40" s="164"/>
      <c r="H40" s="164"/>
      <c r="I40" s="164"/>
      <c r="J40" s="484" t="s">
        <v>107</v>
      </c>
      <c r="K40" s="484" t="s">
        <v>108</v>
      </c>
      <c r="L40" s="484" t="s">
        <v>109</v>
      </c>
      <c r="M40" s="484" t="s">
        <v>795</v>
      </c>
      <c r="N40" s="484"/>
    </row>
    <row r="41" spans="2:15" ht="33.75">
      <c r="B41" s="154" t="s">
        <v>796</v>
      </c>
      <c r="C41" s="154" t="s">
        <v>797</v>
      </c>
      <c r="D41" s="154" t="s">
        <v>839</v>
      </c>
      <c r="E41" s="154" t="s">
        <v>816</v>
      </c>
      <c r="F41" s="154" t="s">
        <v>817</v>
      </c>
      <c r="G41" s="154" t="s">
        <v>802</v>
      </c>
      <c r="H41" s="154" t="s">
        <v>840</v>
      </c>
      <c r="I41" s="159" t="s">
        <v>819</v>
      </c>
      <c r="J41" s="484"/>
      <c r="K41" s="484"/>
      <c r="L41" s="484"/>
      <c r="M41" s="484"/>
      <c r="N41" s="484"/>
    </row>
    <row r="42" spans="2:15"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491"/>
      <c r="N42" s="492"/>
    </row>
    <row r="43" spans="2:15"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491"/>
      <c r="N43" s="492"/>
    </row>
    <row r="44" spans="2:15"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491"/>
      <c r="N44" s="492"/>
    </row>
    <row r="45" spans="2:15">
      <c r="B45" s="155"/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491"/>
      <c r="N45" s="492"/>
    </row>
    <row r="46" spans="2:15"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491"/>
      <c r="N46" s="492"/>
    </row>
    <row r="47" spans="2:15">
      <c r="B47" s="155"/>
      <c r="C47" s="155"/>
      <c r="D47" s="155"/>
      <c r="E47" s="155"/>
      <c r="F47" s="155"/>
      <c r="G47" s="155"/>
      <c r="H47" s="155"/>
      <c r="I47" s="155"/>
      <c r="J47" s="155"/>
      <c r="K47" s="155"/>
      <c r="L47" s="155"/>
      <c r="M47" s="491"/>
      <c r="N47" s="492"/>
    </row>
    <row r="48" spans="2:15"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491"/>
      <c r="N48" s="492"/>
    </row>
    <row r="49" spans="2:14"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491"/>
      <c r="N49" s="492"/>
    </row>
  </sheetData>
  <sheetProtection algorithmName="SHA-512" hashValue="eyf1eUkbS55cNiAG9f8pAH3GiHGQZABwsmNrNrmuRzmTI6lVFQnxq+p/DJdHtpI6f4PeOGKcSuFQf77+BP0fQg==" saltValue="Ky3K9G/TLnZuXJhkEuF7bg==" spinCount="100000" sheet="1" objects="1" scenarios="1"/>
  <mergeCells count="44">
    <mergeCell ref="M48:N48"/>
    <mergeCell ref="M49:N49"/>
    <mergeCell ref="M42:N42"/>
    <mergeCell ref="M43:N43"/>
    <mergeCell ref="M44:N44"/>
    <mergeCell ref="M45:N45"/>
    <mergeCell ref="M46:N46"/>
    <mergeCell ref="M47:N47"/>
    <mergeCell ref="N21:N22"/>
    <mergeCell ref="M21:M22"/>
    <mergeCell ref="L21:L22"/>
    <mergeCell ref="K21:K22"/>
    <mergeCell ref="M40:N41"/>
    <mergeCell ref="L40:L41"/>
    <mergeCell ref="K40:K41"/>
    <mergeCell ref="N31:O31"/>
    <mergeCell ref="N32:O32"/>
    <mergeCell ref="N33:O33"/>
    <mergeCell ref="N34:O34"/>
    <mergeCell ref="N35:O35"/>
    <mergeCell ref="N36:O36"/>
    <mergeCell ref="N37:O37"/>
    <mergeCell ref="N38:O38"/>
    <mergeCell ref="J40:J41"/>
    <mergeCell ref="C40:D40"/>
    <mergeCell ref="C21:D21"/>
    <mergeCell ref="F21:J21"/>
    <mergeCell ref="N2:N3"/>
    <mergeCell ref="C12:D12"/>
    <mergeCell ref="F12:J12"/>
    <mergeCell ref="K12:K13"/>
    <mergeCell ref="L12:L13"/>
    <mergeCell ref="M12:M13"/>
    <mergeCell ref="N12:N13"/>
    <mergeCell ref="C2:D2"/>
    <mergeCell ref="F2:J2"/>
    <mergeCell ref="K2:K3"/>
    <mergeCell ref="L2:L3"/>
    <mergeCell ref="M2:M3"/>
    <mergeCell ref="C29:D29"/>
    <mergeCell ref="K29:K30"/>
    <mergeCell ref="L29:L30"/>
    <mergeCell ref="M29:M30"/>
    <mergeCell ref="N29:O30"/>
  </mergeCells>
  <conditionalFormatting sqref="J40:J49 L4:M10">
    <cfRule type="containsBlanks" dxfId="74" priority="33">
      <formula>LEN(TRIM(J4))=0</formula>
    </cfRule>
  </conditionalFormatting>
  <conditionalFormatting sqref="K4:K10">
    <cfRule type="containsBlanks" dxfId="73" priority="32">
      <formula>LEN(TRIM(K4))=0</formula>
    </cfRule>
  </conditionalFormatting>
  <conditionalFormatting sqref="K23:K27">
    <cfRule type="containsBlanks" dxfId="72" priority="31">
      <formula>LEN(TRIM(K23))=0</formula>
    </cfRule>
  </conditionalFormatting>
  <conditionalFormatting sqref="J42:J47">
    <cfRule type="containsBlanks" dxfId="71" priority="30">
      <formula>LEN(TRIM(J42))=0</formula>
    </cfRule>
  </conditionalFormatting>
  <conditionalFormatting sqref="K29:K38">
    <cfRule type="containsBlanks" dxfId="70" priority="29">
      <formula>LEN(TRIM(K29))=0</formula>
    </cfRule>
  </conditionalFormatting>
  <conditionalFormatting sqref="K31:K36">
    <cfRule type="containsBlanks" dxfId="69" priority="28">
      <formula>LEN(TRIM(K31))=0</formula>
    </cfRule>
  </conditionalFormatting>
  <conditionalFormatting sqref="E4:J10">
    <cfRule type="containsBlanks" dxfId="68" priority="27">
      <formula>LEN(TRIM(E4))=0</formula>
    </cfRule>
  </conditionalFormatting>
  <conditionalFormatting sqref="B4:C10">
    <cfRule type="containsBlanks" dxfId="67" priority="26">
      <formula>LEN(TRIM(B4))=0</formula>
    </cfRule>
  </conditionalFormatting>
  <conditionalFormatting sqref="N4:N10">
    <cfRule type="containsBlanks" dxfId="66" priority="24">
      <formula>LEN(TRIM(N4))=0</formula>
    </cfRule>
  </conditionalFormatting>
  <conditionalFormatting sqref="B14:C19">
    <cfRule type="containsBlanks" dxfId="65" priority="23">
      <formula>LEN(TRIM(B14))=0</formula>
    </cfRule>
  </conditionalFormatting>
  <conditionalFormatting sqref="L14:L19">
    <cfRule type="containsBlanks" dxfId="64" priority="22">
      <formula>LEN(TRIM(L14))=0</formula>
    </cfRule>
  </conditionalFormatting>
  <conditionalFormatting sqref="K14:K19">
    <cfRule type="containsBlanks" dxfId="63" priority="21">
      <formula>LEN(TRIM(K14))=0</formula>
    </cfRule>
  </conditionalFormatting>
  <conditionalFormatting sqref="E14:J19">
    <cfRule type="containsBlanks" dxfId="62" priority="20">
      <formula>LEN(TRIM(E14))=0</formula>
    </cfRule>
  </conditionalFormatting>
  <conditionalFormatting sqref="M14:M19">
    <cfRule type="containsBlanks" dxfId="61" priority="19">
      <formula>LEN(TRIM(M14))=0</formula>
    </cfRule>
  </conditionalFormatting>
  <conditionalFormatting sqref="N14:N19">
    <cfRule type="containsBlanks" dxfId="60" priority="18">
      <formula>LEN(TRIM(N14))=0</formula>
    </cfRule>
  </conditionalFormatting>
  <conditionalFormatting sqref="M23:M27">
    <cfRule type="containsBlanks" dxfId="59" priority="17">
      <formula>LEN(TRIM(M23))=0</formula>
    </cfRule>
  </conditionalFormatting>
  <conditionalFormatting sqref="N23:N27">
    <cfRule type="containsBlanks" dxfId="58" priority="16">
      <formula>LEN(TRIM(N23))=0</formula>
    </cfRule>
  </conditionalFormatting>
  <conditionalFormatting sqref="L23:L27">
    <cfRule type="containsBlanks" dxfId="57" priority="15">
      <formula>LEN(TRIM(L23))=0</formula>
    </cfRule>
  </conditionalFormatting>
  <conditionalFormatting sqref="J23:J27">
    <cfRule type="containsBlanks" dxfId="56" priority="14">
      <formula>LEN(TRIM(J23))=0</formula>
    </cfRule>
  </conditionalFormatting>
  <conditionalFormatting sqref="H23:H27">
    <cfRule type="containsBlanks" dxfId="55" priority="13">
      <formula>LEN(TRIM(H23))=0</formula>
    </cfRule>
  </conditionalFormatting>
  <conditionalFormatting sqref="E23:G27">
    <cfRule type="containsBlanks" dxfId="54" priority="12">
      <formula>LEN(TRIM(E23))=0</formula>
    </cfRule>
  </conditionalFormatting>
  <conditionalFormatting sqref="B23:C27">
    <cfRule type="containsBlanks" dxfId="53" priority="11">
      <formula>LEN(TRIM(B23))=0</formula>
    </cfRule>
  </conditionalFormatting>
  <conditionalFormatting sqref="B31:I38">
    <cfRule type="containsBlanks" dxfId="52" priority="9">
      <formula>LEN(TRIM(B31))=0</formula>
    </cfRule>
  </conditionalFormatting>
  <conditionalFormatting sqref="L31:M38">
    <cfRule type="containsBlanks" dxfId="51" priority="8">
      <formula>LEN(TRIM(L31))=0</formula>
    </cfRule>
  </conditionalFormatting>
  <conditionalFormatting sqref="N31">
    <cfRule type="containsBlanks" dxfId="50" priority="7">
      <formula>LEN(TRIM(N31))=0</formula>
    </cfRule>
  </conditionalFormatting>
  <conditionalFormatting sqref="N32">
    <cfRule type="containsBlanks" dxfId="49" priority="6">
      <formula>LEN(TRIM(N32))=0</formula>
    </cfRule>
  </conditionalFormatting>
  <conditionalFormatting sqref="N33:N38">
    <cfRule type="containsBlanks" dxfId="48" priority="5">
      <formula>LEN(TRIM(N33))=0</formula>
    </cfRule>
  </conditionalFormatting>
  <conditionalFormatting sqref="M42">
    <cfRule type="containsBlanks" dxfId="47" priority="4">
      <formula>LEN(TRIM(M42))=0</formula>
    </cfRule>
  </conditionalFormatting>
  <conditionalFormatting sqref="M43:M49">
    <cfRule type="containsBlanks" dxfId="46" priority="3">
      <formula>LEN(TRIM(M43))=0</formula>
    </cfRule>
  </conditionalFormatting>
  <conditionalFormatting sqref="B42:I49">
    <cfRule type="containsBlanks" dxfId="45" priority="2">
      <formula>LEN(TRIM(B42))=0</formula>
    </cfRule>
  </conditionalFormatting>
  <conditionalFormatting sqref="K42:L49">
    <cfRule type="containsBlanks" dxfId="44" priority="1">
      <formula>LEN(TRIM(K42))=0</formula>
    </cfRule>
  </conditionalFormatting>
  <pageMargins left="0.4498611111111111" right="0.46979166666666666" top="0.75" bottom="0.75" header="0.3" footer="0.3"/>
  <pageSetup scale="82" orientation="portrait" r:id="rId1"/>
  <headerFooter>
    <oddHeader>&amp;L&amp;G&amp;R&amp;"Liberation Sans,Bold"&amp;14&amp;K00247D
EN97A: GHG Adjustments Form</oddHeader>
    <oddFooter>&amp;L&amp;"Liberation Sans,Regular"Version 1.3&amp;R&amp;"Liberation Sans,Regular"February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E9CDA60-51E5-418E-BC76-A435C4292BC8}">
          <x14:formula1>
            <xm:f>Lists!$L$1:$L$5</xm:f>
          </x14:formula1>
          <xm:sqref>K4:K10 K14:K19 K23:K27 J42:J49 K31:K38</xm:sqref>
        </x14:dataValidation>
        <x14:dataValidation type="list" allowBlank="1" showInputMessage="1" showErrorMessage="1" xr:uid="{9DE6A965-9799-48B4-8760-4C1C5E140EEE}">
          <x14:formula1>
            <xm:f>Lists!$Y$1:$Y$9</xm:f>
          </x14:formula1>
          <xm:sqref>D4:D10</xm:sqref>
        </x14:dataValidation>
        <x14:dataValidation type="list" allowBlank="1" showInputMessage="1" showErrorMessage="1" xr:uid="{F78E09F4-9847-4F41-BA2E-4622E0CFC873}">
          <x14:formula1>
            <xm:f>Lists!$X$1:$X$10</xm:f>
          </x14:formula1>
          <xm:sqref>D14:D19</xm:sqref>
        </x14:dataValidation>
        <x14:dataValidation type="list" allowBlank="1" showInputMessage="1" showErrorMessage="1" xr:uid="{9C67C39D-A29A-4E29-B2A9-50CBEC1C9E04}">
          <x14:formula1>
            <xm:f>Lists!$Z$1:$Z$4</xm:f>
          </x14:formula1>
          <xm:sqref>D23:D27</xm:sqref>
        </x14:dataValidation>
        <x14:dataValidation type="list" allowBlank="1" showInputMessage="1" showErrorMessage="1" xr:uid="{FBAA5A42-6B1D-433A-843D-46D03482B371}">
          <x14:formula1>
            <xm:f>Lists!$AA$1:$AA$3</xm:f>
          </x14:formula1>
          <xm:sqref>I23:I27</xm:sqref>
        </x14:dataValidation>
        <x14:dataValidation type="list" allowBlank="1" showInputMessage="1" showErrorMessage="1" xr:uid="{C7504A51-6427-484B-BA42-0A53E25E497B}">
          <x14:formula1>
            <xm:f>Lists!$AC$1:$AC$4</xm:f>
          </x14:formula1>
          <xm:sqref>J31:J38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DB7E2-B15E-4DAC-8A43-E577CA680F7D}">
  <sheetPr codeName="Sheet37"/>
  <dimension ref="B1:U50"/>
  <sheetViews>
    <sheetView view="pageLayout" zoomScaleNormal="130" zoomScaleSheetLayoutView="89" workbookViewId="0">
      <selection activeCell="N4" sqref="N4"/>
    </sheetView>
  </sheetViews>
  <sheetFormatPr defaultColWidth="8.85546875" defaultRowHeight="14.25"/>
  <cols>
    <col min="1" max="1" width="2.7109375" style="94" customWidth="1"/>
    <col min="2" max="2" width="8.42578125" style="94" customWidth="1"/>
    <col min="3" max="3" width="11" style="94" customWidth="1"/>
    <col min="4" max="4" width="14.42578125" style="94" customWidth="1"/>
    <col min="5" max="5" width="11" style="94" customWidth="1"/>
    <col min="6" max="6" width="8.7109375" style="94" customWidth="1"/>
    <col min="7" max="7" width="7.140625" style="94" customWidth="1"/>
    <col min="8" max="8" width="6.85546875" style="94" customWidth="1"/>
    <col min="9" max="9" width="7.5703125" style="94" customWidth="1"/>
    <col min="10" max="10" width="7.28515625" style="94" customWidth="1"/>
    <col min="11" max="11" width="8.140625" style="94" customWidth="1"/>
    <col min="12" max="13" width="7.42578125" style="94" customWidth="1"/>
    <col min="14" max="14" width="8.7109375" style="94" customWidth="1"/>
    <col min="15" max="15" width="8.85546875" style="94" customWidth="1"/>
    <col min="16" max="16" width="12.28515625" style="94" customWidth="1"/>
    <col min="17" max="17" width="5.42578125" style="94" customWidth="1"/>
    <col min="18" max="18" width="6.28515625" style="94" customWidth="1"/>
    <col min="19" max="19" width="11.28515625" style="94" customWidth="1"/>
    <col min="20" max="20" width="12.42578125" style="94" customWidth="1"/>
    <col min="21" max="21" width="16.7109375" style="94" customWidth="1"/>
    <col min="22" max="16384" width="8.85546875" style="94"/>
  </cols>
  <sheetData>
    <row r="1" spans="2:21" s="160" customFormat="1" ht="15">
      <c r="B1" s="165" t="s">
        <v>841</v>
      </c>
      <c r="C1" s="475" t="s">
        <v>842</v>
      </c>
      <c r="D1" s="475"/>
      <c r="E1" s="485" t="s">
        <v>843</v>
      </c>
      <c r="F1" s="485"/>
      <c r="G1" s="485" t="s">
        <v>791</v>
      </c>
      <c r="H1" s="485"/>
      <c r="I1" s="485"/>
      <c r="J1" s="486" t="s">
        <v>792</v>
      </c>
      <c r="K1" s="488"/>
      <c r="L1" s="486" t="s">
        <v>793</v>
      </c>
      <c r="M1" s="487"/>
      <c r="N1" s="487"/>
      <c r="O1" s="488"/>
      <c r="P1" s="486" t="s">
        <v>794</v>
      </c>
      <c r="Q1" s="487"/>
      <c r="R1" s="487"/>
      <c r="S1" s="484" t="s">
        <v>108</v>
      </c>
      <c r="T1" s="484" t="s">
        <v>109</v>
      </c>
      <c r="U1" s="484" t="s">
        <v>795</v>
      </c>
    </row>
    <row r="2" spans="2:21" ht="45">
      <c r="B2" s="154" t="s">
        <v>796</v>
      </c>
      <c r="C2" s="154" t="s">
        <v>844</v>
      </c>
      <c r="D2" s="154" t="s">
        <v>845</v>
      </c>
      <c r="E2" s="154" t="s">
        <v>843</v>
      </c>
      <c r="F2" s="154" t="s">
        <v>846</v>
      </c>
      <c r="G2" s="154" t="s">
        <v>801</v>
      </c>
      <c r="H2" s="154" t="s">
        <v>847</v>
      </c>
      <c r="I2" s="154" t="s">
        <v>848</v>
      </c>
      <c r="J2" s="154" t="s">
        <v>847</v>
      </c>
      <c r="K2" s="154" t="s">
        <v>848</v>
      </c>
      <c r="L2" s="154" t="s">
        <v>849</v>
      </c>
      <c r="M2" s="154" t="s">
        <v>806</v>
      </c>
      <c r="N2" s="154" t="s">
        <v>850</v>
      </c>
      <c r="O2" s="154" t="s">
        <v>807</v>
      </c>
      <c r="P2" s="154" t="s">
        <v>808</v>
      </c>
      <c r="Q2" s="154" t="s">
        <v>809</v>
      </c>
      <c r="R2" s="159" t="s">
        <v>810</v>
      </c>
      <c r="S2" s="484"/>
      <c r="T2" s="484"/>
      <c r="U2" s="484"/>
    </row>
    <row r="3" spans="2:21" ht="56.25">
      <c r="B3" s="166" t="str">
        <f>IF('6i. Actual Building Zone HVAC'!A3="","",'6i. Actual Building Zone HVAC'!A3)</f>
        <v/>
      </c>
      <c r="C3" s="111" t="s">
        <v>431</v>
      </c>
      <c r="D3" s="166" t="str">
        <f>IFERROR(IF(Path="Appendix G PRM", VLOOKUP('6i. Actual Building Zone HVAC'!C3,Lists!$A$78:$B$86,2,FALSE),IFERROR(VLOOKUP(CONCATENATE('6i. Actual Building Zone HVAC'!$I$3:$I$50,'6i. Actual Building Zone HVAC'!$F$3:$F$50,'6i. Actual Building Zone HVAC'!$E$3:$E$50), Lists!$S$92:$W$109,5,FALSE),"")),"")</f>
        <v>System 5: Two-pipe fan-coil</v>
      </c>
      <c r="E3" s="166" t="str">
        <f>IFERROR(IF(Path="Appendix G PRM", VLOOKUP($C3,Lists!$A$78:$B$86,2,FALSE),D3),"")</f>
        <v>System 5: Two-pipe fan-coil</v>
      </c>
      <c r="F3" s="166" t="str">
        <f>IFERROR(IF(OR(Path="Section 11 ECB",Path="2024 GHG Limit"), VLOOKUP($E3,Lists!$W$92:$Z$109,3,FALSE),VLOOKUP($E3,Table3[#All],6,FALSE)),"")</f>
        <v xml:space="preserve">Cool: Chiller -- Heat: Electric Resistance </v>
      </c>
      <c r="G3" s="166" t="str">
        <f>IFERROR(IF(OR(Path="Section 11 ECB",Path="2024 GHG Limit"), VLOOKUP($E3,Lists!$W$92:$AA$109,5,FALSE),VLOOKUP($E3,Table3[#All],5,FALSE)),"")</f>
        <v xml:space="preserve">Electric Resistance </v>
      </c>
      <c r="H3" s="155"/>
      <c r="I3" s="155"/>
      <c r="J3" s="155"/>
      <c r="K3" s="155"/>
      <c r="L3" s="155"/>
      <c r="M3" s="155"/>
      <c r="N3" s="166" t="str">
        <f>IFERROR(IF(OR(Path="Section 11 ECB",Path="2024 GHG Limit"), VLOOKUP($E3,Lists!$W$92:$Z$109,2,FALSE),VLOOKUP($E3,Table3[#All],7,FALSE)),"")</f>
        <v xml:space="preserve">Refer to 6.5.3.1 </v>
      </c>
      <c r="O3" s="155"/>
      <c r="P3" s="155"/>
      <c r="Q3" s="155"/>
      <c r="R3" s="155"/>
      <c r="S3" s="155"/>
      <c r="T3" s="155"/>
      <c r="U3" s="155"/>
    </row>
    <row r="4" spans="2:21" ht="67.5">
      <c r="B4" s="166" t="str">
        <f>IF('6i. Actual Building Zone HVAC'!A4="","",'6i. Actual Building Zone HVAC'!A4)</f>
        <v/>
      </c>
      <c r="C4" s="111" t="s">
        <v>431</v>
      </c>
      <c r="D4" s="166" t="str">
        <f>IFERROR(IF(Path="Appendix G PRM", VLOOKUP('6i. Actual Building Zone HVAC'!C4,Lists!$A$78:$B$86,2,FALSE),IFERROR(VLOOKUP(CONCATENATE('6i. Actual Building Zone HVAC'!$I$3:$I$50,'6i. Actual Building Zone HVAC'!$F$3:$F$50,'6i. Actual Building Zone HVAC'!$E$3:$E$50), Lists!$S$92:$W$109,5,FALSE),"")),"")</f>
        <v>System 11: Packaged rooftop AC</v>
      </c>
      <c r="E4" s="166" t="str">
        <f>IFERROR(IF(Path="Appendix G PRM", VLOOKUP($C4,Lists!$A$78:$B$86,2,FALSE),D4),"")</f>
        <v>System 11: Packaged rooftop AC</v>
      </c>
      <c r="F4" s="166" t="str">
        <f>IFERROR(IF(OR(Path="Section 11 ECB",Path="2024 GHG Limit"), VLOOKUP($E4,Lists!$W$92:$Z$109,3,FALSE),VLOOKUP($E4,Table3[#All],6,FALSE)),"")</f>
        <v xml:space="preserve">Cool: Table 6.8.1-1  -- Heat: Table 6.8.1-5 </v>
      </c>
      <c r="G4" s="166" t="str">
        <f>IFERROR(IF(OR(Path="Section 11 ECB",Path="2024 GHG Limit"), VLOOKUP($E4,Lists!$W$92:$AA$109,5,FALSE),VLOOKUP($E4,Table3[#All],5,FALSE)),"")</f>
        <v>Fossil Fuel Furnace</v>
      </c>
      <c r="H4" s="155"/>
      <c r="I4" s="155"/>
      <c r="J4" s="155"/>
      <c r="K4" s="155"/>
      <c r="L4" s="155"/>
      <c r="M4" s="155"/>
      <c r="N4" s="166" t="str">
        <f>IFERROR(IF(OR(Path="Section 11 ECB",Path="2024 GHG Limit"), VLOOKUP($E4,Lists!$W$92:$Z$109,2,FALSE),VLOOKUP($E4,Table3[#All],7,FALSE)),"")</f>
        <v xml:space="preserve">Refer to 6.5.3.1 </v>
      </c>
      <c r="O4" s="155"/>
      <c r="P4" s="155"/>
      <c r="Q4" s="155"/>
      <c r="R4" s="155"/>
      <c r="S4" s="155"/>
      <c r="T4" s="155"/>
      <c r="U4" s="155"/>
    </row>
    <row r="5" spans="2:21" ht="67.5">
      <c r="B5" s="166" t="str">
        <f>IF('6i. Actual Building Zone HVAC'!A5="","",'6i. Actual Building Zone HVAC'!A5)</f>
        <v/>
      </c>
      <c r="C5" s="111" t="s">
        <v>851</v>
      </c>
      <c r="D5" s="166" t="str">
        <f>IFERROR(IF(Path="Appendix G PRM", VLOOKUP('6i. Actual Building Zone HVAC'!C5,Lists!$A$78:$B$86,2,FALSE),IFERROR(VLOOKUP(CONCATENATE('6i. Actual Building Zone HVAC'!$I$3:$I$50,'6i. Actual Building Zone HVAC'!$F$3:$F$50,'6i. Actual Building Zone HVAC'!$E$3:$E$50), Lists!$S$92:$W$109,5,FALSE),"")),"")</f>
        <v>System 3: Packaged VAV with PFP boxes</v>
      </c>
      <c r="E5" s="166" t="str">
        <f>IFERROR(IF(Path="Appendix G PRM", VLOOKUP($C5,Lists!$A$78:$B$86,2,FALSE),D5),"")</f>
        <v>System 3: Packaged VAV with PFP boxes</v>
      </c>
      <c r="F5" s="166" t="str">
        <f>IFERROR(IF(OR(Path="Section 11 ECB",Path="2024 GHG Limit"), VLOOKUP($E5,Lists!$W$92:$Z$109,3,FALSE),VLOOKUP($E5,Table3[#All],6,FALSE)),"")</f>
        <v xml:space="preserve">Cool: Table 6.8.1-1 -- Heat: Electric Resistance </v>
      </c>
      <c r="G5" s="166" t="str">
        <f>IFERROR(IF(OR(Path="Section 11 ECB",Path="2024 GHG Limit"), VLOOKUP($E5,Lists!$W$92:$AA$109,5,FALSE),VLOOKUP($E5,Table3[#All],5,FALSE)),"")</f>
        <v xml:space="preserve">Electric Resistance </v>
      </c>
      <c r="H5" s="155"/>
      <c r="I5" s="155"/>
      <c r="J5" s="155"/>
      <c r="K5" s="155"/>
      <c r="L5" s="155"/>
      <c r="M5" s="155"/>
      <c r="N5" s="166" t="str">
        <f>IFERROR(IF(OR(Path="Section 11 ECB",Path="2024 GHG Limit"), VLOOKUP($E5,Lists!$W$92:$Z$109,2,FALSE),VLOOKUP($E5,Table3[#All],7,FALSE)),"")</f>
        <v xml:space="preserve">Refer to 6.5.3.1 </v>
      </c>
      <c r="O5" s="155"/>
      <c r="P5" s="155"/>
      <c r="Q5" s="155"/>
      <c r="R5" s="155"/>
      <c r="S5" s="155"/>
      <c r="T5" s="155"/>
      <c r="U5" s="155"/>
    </row>
    <row r="6" spans="2:21" ht="56.25">
      <c r="B6" s="166" t="str">
        <f>IF('6i. Actual Building Zone HVAC'!A6="","",'6i. Actual Building Zone HVAC'!A6)</f>
        <v/>
      </c>
      <c r="C6" s="111" t="s">
        <v>852</v>
      </c>
      <c r="D6" s="166" t="str">
        <f>IFERROR(IF(Path="Appendix G PRM", VLOOKUP('6i. Actual Building Zone HVAC'!C6,Lists!$A$78:$B$86,2,FALSE),IFERROR(VLOOKUP(CONCATENATE('6i. Actual Building Zone HVAC'!$I$3:$I$50,'6i. Actual Building Zone HVAC'!$F$3:$F$50,'6i. Actual Building Zone HVAC'!$E$3:$E$50), Lists!$S$92:$W$109,5,FALSE),"")),"")</f>
        <v>System 4: Packaged VAV with reheat</v>
      </c>
      <c r="E6" s="166" t="str">
        <f>IFERROR(IF(Path="Appendix G PRM", VLOOKUP($C6,Lists!$A$78:$B$86,2,FALSE),D6),"")</f>
        <v>System 4: Packaged VAV with reheat</v>
      </c>
      <c r="F6" s="166" t="str">
        <f>IFERROR(IF(OR(Path="Section 11 ECB",Path="2024 GHG Limit"), VLOOKUP($E6,Lists!$W$92:$Z$109,3,FALSE),VLOOKUP($E6,Table3[#All],6,FALSE)),"")</f>
        <v>Cool: Table 6.8.1-1 -- Heat: Boiler</v>
      </c>
      <c r="G6" s="166" t="str">
        <f>IFERROR(IF(OR(Path="Section 11 ECB",Path="2024 GHG Limit"), VLOOKUP($E6,Lists!$W$92:$AA$109,5,FALSE),VLOOKUP($E6,Table3[#All],5,FALSE)),"")</f>
        <v>Hot-water fossil fuel boiler</v>
      </c>
      <c r="H6" s="155"/>
      <c r="I6" s="155"/>
      <c r="J6" s="155"/>
      <c r="K6" s="155"/>
      <c r="L6" s="155"/>
      <c r="M6" s="155"/>
      <c r="N6" s="166" t="str">
        <f>IFERROR(IF(OR(Path="Section 11 ECB",Path="2024 GHG Limit"), VLOOKUP($E6,Lists!$W$92:$Z$109,2,FALSE),VLOOKUP($E6,Table3[#All],7,FALSE)),"")</f>
        <v xml:space="preserve">Refer to 6.5.3.1 </v>
      </c>
      <c r="O6" s="155"/>
      <c r="P6" s="155"/>
      <c r="Q6" s="155"/>
      <c r="R6" s="155"/>
      <c r="S6" s="155"/>
      <c r="T6" s="155"/>
      <c r="U6" s="155"/>
    </row>
    <row r="7" spans="2:21" ht="45">
      <c r="B7" s="166" t="str">
        <f>IF('6i. Actual Building Zone HVAC'!A7="","",'6i. Actual Building Zone HVAC'!A7)</f>
        <v/>
      </c>
      <c r="C7" s="111" t="s">
        <v>853</v>
      </c>
      <c r="D7" s="166" t="str">
        <f>IFERROR(IF(Path="Appendix G PRM", VLOOKUP('6i. Actual Building Zone HVAC'!C7,Lists!$A$78:$B$86,2,FALSE),IFERROR(VLOOKUP(CONCATENATE('6i. Actual Building Zone HVAC'!$I$3:$I$50,'6i. Actual Building Zone HVAC'!$F$3:$F$50,'6i. Actual Building Zone HVAC'!$E$3:$E$50), Lists!$S$92:$W$109,5,FALSE),"")),"")</f>
        <v/>
      </c>
      <c r="E7" s="166" t="str">
        <f>IFERROR(IF(Path="Appendix G PRM", VLOOKUP($C7,Lists!$A$78:$B$86,2,FALSE),D7),"")</f>
        <v/>
      </c>
      <c r="F7" s="166" t="str">
        <f>IFERROR(IF(OR(Path="Section 11 ECB",Path="2024 GHG Limit"), VLOOKUP($E7,Lists!$W$92:$Z$109,3,FALSE),VLOOKUP($E7,Table3[#All],6,FALSE)),"")</f>
        <v/>
      </c>
      <c r="G7" s="166" t="str">
        <f>IFERROR(IF(OR(Path="Section 11 ECB",Path="2024 GHG Limit"), VLOOKUP($E7,Lists!$W$92:$AA$109,5,FALSE),VLOOKUP($E7,Table3[#All],5,FALSE)),"")</f>
        <v/>
      </c>
      <c r="H7" s="155"/>
      <c r="I7" s="155"/>
      <c r="J7" s="155"/>
      <c r="K7" s="155"/>
      <c r="L7" s="155"/>
      <c r="M7" s="155"/>
      <c r="N7" s="166" t="str">
        <f>IFERROR(IF(OR(Path="Section 11 ECB",Path="2024 GHG Limit"), VLOOKUP($E7,Lists!$W$92:$Z$109,2,FALSE),VLOOKUP($E7,Table3[#All],7,FALSE)),"")</f>
        <v/>
      </c>
      <c r="O7" s="155"/>
      <c r="P7" s="155"/>
      <c r="Q7" s="155"/>
      <c r="R7" s="155"/>
      <c r="S7" s="155"/>
      <c r="T7" s="155"/>
      <c r="U7" s="155"/>
    </row>
    <row r="8" spans="2:21">
      <c r="B8" s="166" t="str">
        <f>IF('6i. Actual Building Zone HVAC'!A8="","",'6i. Actual Building Zone HVAC'!A8)</f>
        <v/>
      </c>
      <c r="C8" s="111"/>
      <c r="D8" s="166" t="str">
        <f>IFERROR(IF(Path="Appendix G PRM", VLOOKUP('6i. Actual Building Zone HVAC'!C8,Lists!$A$78:$B$86,2,FALSE),IFERROR(VLOOKUP(CONCATENATE('6i. Actual Building Zone HVAC'!$I$3:$I$50,'6i. Actual Building Zone HVAC'!$F$3:$F$50,'6i. Actual Building Zone HVAC'!$E$3:$E$50), Lists!$S$92:$W$109,5,FALSE),"")),"")</f>
        <v/>
      </c>
      <c r="E8" s="166" t="str">
        <f>IFERROR(IF(Path="Appendix G PRM", VLOOKUP($C8,Lists!$A$78:$B$86,2,FALSE),D8),"")</f>
        <v/>
      </c>
      <c r="F8" s="166" t="str">
        <f>IFERROR(IF(OR(Path="Section 11 ECB",Path="2024 GHG Limit"), VLOOKUP($E8,Lists!$W$92:$Z$109,3,FALSE),VLOOKUP($E8,Table3[#All],6,FALSE)),"")</f>
        <v/>
      </c>
      <c r="G8" s="166" t="str">
        <f>IFERROR(IF(OR(Path="Section 11 ECB",Path="2024 GHG Limit"), VLOOKUP($E8,Lists!$W$92:$AA$109,5,FALSE),VLOOKUP($E8,Table3[#All],5,FALSE)),"")</f>
        <v/>
      </c>
      <c r="H8" s="155"/>
      <c r="I8" s="155"/>
      <c r="J8" s="155"/>
      <c r="K8" s="155"/>
      <c r="L8" s="155"/>
      <c r="M8" s="155"/>
      <c r="N8" s="166" t="str">
        <f>IFERROR(IF(OR(Path="Section 11 ECB",Path="2024 GHG Limit"), VLOOKUP($E8,Lists!$W$92:$Z$109,2,FALSE),VLOOKUP($E8,Table3[#All],7,FALSE)),"")</f>
        <v/>
      </c>
      <c r="O8" s="155"/>
      <c r="P8" s="155"/>
      <c r="Q8" s="155"/>
      <c r="R8" s="155"/>
      <c r="S8" s="155"/>
      <c r="T8" s="155"/>
      <c r="U8" s="155"/>
    </row>
    <row r="9" spans="2:21">
      <c r="B9" s="166" t="str">
        <f>IF('6i. Actual Building Zone HVAC'!A9="","",'6i. Actual Building Zone HVAC'!A9)</f>
        <v/>
      </c>
      <c r="C9" s="111"/>
      <c r="D9" s="166" t="str">
        <f>IFERROR(IF(Path="Appendix G PRM", VLOOKUP('6i. Actual Building Zone HVAC'!C9,Lists!$A$78:$B$86,2,FALSE),IFERROR(VLOOKUP(CONCATENATE('6i. Actual Building Zone HVAC'!$I$3:$I$50,'6i. Actual Building Zone HVAC'!$F$3:$F$50,'6i. Actual Building Zone HVAC'!$E$3:$E$50), Lists!$S$92:$W$109,5,FALSE),"")),"")</f>
        <v/>
      </c>
      <c r="E9" s="166" t="str">
        <f>IFERROR(IF(Path="Appendix G PRM", VLOOKUP($C9,Lists!$A$78:$B$86,2,FALSE),D9),"")</f>
        <v/>
      </c>
      <c r="F9" s="166" t="str">
        <f>IFERROR(IF(OR(Path="Section 11 ECB",Path="2024 GHG Limit"), VLOOKUP($E9,Lists!$W$92:$Z$109,3,FALSE),VLOOKUP($E9,Table3[#All],6,FALSE)),"")</f>
        <v/>
      </c>
      <c r="G9" s="166" t="str">
        <f>IFERROR(IF(OR(Path="Section 11 ECB",Path="2024 GHG Limit"), VLOOKUP($E9,Lists!$W$92:$AA$109,5,FALSE),VLOOKUP($E9,Table3[#All],5,FALSE)),"")</f>
        <v/>
      </c>
      <c r="H9" s="155"/>
      <c r="I9" s="155"/>
      <c r="J9" s="155"/>
      <c r="K9" s="155"/>
      <c r="L9" s="155"/>
      <c r="M9" s="155"/>
      <c r="N9" s="166" t="str">
        <f>IFERROR(IF(OR(Path="Section 11 ECB",Path="2024 GHG Limit"), VLOOKUP($E9,Lists!$W$92:$Z$109,2,FALSE),VLOOKUP($E9,Table3[#All],7,FALSE)),"")</f>
        <v/>
      </c>
      <c r="O9" s="155"/>
      <c r="P9" s="155"/>
      <c r="Q9" s="155"/>
      <c r="R9" s="155"/>
      <c r="S9" s="155"/>
      <c r="T9" s="155"/>
      <c r="U9" s="155"/>
    </row>
    <row r="10" spans="2:21">
      <c r="B10" s="166" t="str">
        <f>IF('6i. Actual Building Zone HVAC'!A10="","",'6i. Actual Building Zone HVAC'!A10)</f>
        <v/>
      </c>
      <c r="C10" s="111"/>
      <c r="D10" s="166" t="str">
        <f>IFERROR(IF(Path="Appendix G PRM", VLOOKUP('6i. Actual Building Zone HVAC'!C10,Lists!$A$78:$B$86,2,FALSE),IFERROR(VLOOKUP(CONCATENATE('6i. Actual Building Zone HVAC'!$I$3:$I$50,'6i. Actual Building Zone HVAC'!$F$3:$F$50,'6i. Actual Building Zone HVAC'!$E$3:$E$50), Lists!$S$92:$W$109,5,FALSE),"")),"")</f>
        <v/>
      </c>
      <c r="E10" s="166" t="str">
        <f>IFERROR(IF(Path="Appendix G PRM", VLOOKUP($C10,Lists!$A$78:$B$86,2,FALSE),D10),"")</f>
        <v/>
      </c>
      <c r="F10" s="166" t="str">
        <f>IFERROR(IF(OR(Path="Section 11 ECB",Path="2024 GHG Limit"), VLOOKUP($E10,Lists!$W$92:$Z$109,3,FALSE),VLOOKUP($E10,Table3[#All],6,FALSE)),"")</f>
        <v/>
      </c>
      <c r="G10" s="166" t="str">
        <f>IFERROR(IF(OR(Path="Section 11 ECB",Path="2024 GHG Limit"), VLOOKUP($E10,Lists!$W$92:$AA$109,5,FALSE),VLOOKUP($E10,Table3[#All],5,FALSE)),"")</f>
        <v/>
      </c>
      <c r="H10" s="155"/>
      <c r="I10" s="155"/>
      <c r="J10" s="155"/>
      <c r="K10" s="155"/>
      <c r="L10" s="155"/>
      <c r="M10" s="155"/>
      <c r="N10" s="166" t="str">
        <f>IFERROR(IF(OR(Path="Section 11 ECB",Path="2024 GHG Limit"), VLOOKUP($E10,Lists!$W$92:$Z$109,2,FALSE),VLOOKUP($E10,Table3[#All],7,FALSE)),"")</f>
        <v/>
      </c>
      <c r="O10" s="155"/>
      <c r="P10" s="155"/>
      <c r="Q10" s="155"/>
      <c r="R10" s="155"/>
      <c r="S10" s="155"/>
      <c r="T10" s="155"/>
      <c r="U10" s="155"/>
    </row>
    <row r="11" spans="2:21">
      <c r="B11" s="166" t="str">
        <f>IF('6i. Actual Building Zone HVAC'!A11="","",'6i. Actual Building Zone HVAC'!A11)</f>
        <v/>
      </c>
      <c r="C11" s="111"/>
      <c r="D11" s="166" t="str">
        <f>IFERROR(IF(Path="Appendix G PRM", VLOOKUP('6i. Actual Building Zone HVAC'!C11,Lists!$A$78:$B$86,2,FALSE),IFERROR(VLOOKUP(CONCATENATE('6i. Actual Building Zone HVAC'!$I$3:$I$50,'6i. Actual Building Zone HVAC'!$F$3:$F$50,'6i. Actual Building Zone HVAC'!$E$3:$E$50), Lists!$S$92:$W$109,5,FALSE),"")),"")</f>
        <v/>
      </c>
      <c r="E11" s="166" t="str">
        <f>IFERROR(IF(Path="Appendix G PRM", VLOOKUP($C11,Lists!$A$78:$B$86,2,FALSE),D11),"")</f>
        <v/>
      </c>
      <c r="F11" s="166" t="str">
        <f>IFERROR(IF(OR(Path="Section 11 ECB",Path="2024 GHG Limit"), VLOOKUP($E11,Lists!$W$92:$Z$109,3,FALSE),VLOOKUP($E11,Table3[#All],6,FALSE)),"")</f>
        <v/>
      </c>
      <c r="G11" s="166" t="str">
        <f>IFERROR(IF(OR(Path="Section 11 ECB",Path="2024 GHG Limit"), VLOOKUP($E11,Lists!$W$92:$AA$109,5,FALSE),VLOOKUP($E11,Table3[#All],5,FALSE)),"")</f>
        <v/>
      </c>
      <c r="H11" s="155"/>
      <c r="I11" s="155"/>
      <c r="J11" s="155"/>
      <c r="K11" s="155"/>
      <c r="L11" s="155"/>
      <c r="M11" s="155"/>
      <c r="N11" s="166" t="str">
        <f>IFERROR(IF(OR(Path="Section 11 ECB",Path="2024 GHG Limit"), VLOOKUP($E11,Lists!$W$92:$Z$109,2,FALSE),VLOOKUP($E11,Table3[#All],7,FALSE)),"")</f>
        <v/>
      </c>
      <c r="O11" s="155"/>
      <c r="P11" s="155"/>
      <c r="Q11" s="155"/>
      <c r="R11" s="155"/>
      <c r="S11" s="155"/>
      <c r="T11" s="155"/>
      <c r="U11" s="155"/>
    </row>
    <row r="12" spans="2:21">
      <c r="B12" s="166" t="str">
        <f>IF('6i. Actual Building Zone HVAC'!A12="","",'6i. Actual Building Zone HVAC'!A12)</f>
        <v/>
      </c>
      <c r="C12" s="111"/>
      <c r="D12" s="166" t="str">
        <f>IFERROR(IF(Path="Appendix G PRM", VLOOKUP('6i. Actual Building Zone HVAC'!C12,Lists!$A$78:$B$86,2,FALSE),IFERROR(VLOOKUP(CONCATENATE('6i. Actual Building Zone HVAC'!$I$3:$I$50,'6i. Actual Building Zone HVAC'!$F$3:$F$50,'6i. Actual Building Zone HVAC'!$E$3:$E$50), Lists!$S$92:$W$109,5,FALSE),"")),"")</f>
        <v/>
      </c>
      <c r="E12" s="166" t="str">
        <f>IFERROR(IF(Path="Appendix G PRM", VLOOKUP($C12,Lists!$A$78:$B$86,2,FALSE),D12),"")</f>
        <v/>
      </c>
      <c r="F12" s="166" t="str">
        <f>IFERROR(IF(OR(Path="Section 11 ECB",Path="2024 GHG Limit"), VLOOKUP($E12,Lists!$W$92:$Z$109,3,FALSE),VLOOKUP($E12,Table3[#All],6,FALSE)),"")</f>
        <v/>
      </c>
      <c r="G12" s="166" t="str">
        <f>IFERROR(IF(OR(Path="Section 11 ECB",Path="2024 GHG Limit"), VLOOKUP($E12,Lists!$W$92:$AA$109,5,FALSE),VLOOKUP($E12,Table3[#All],5,FALSE)),"")</f>
        <v/>
      </c>
      <c r="H12" s="155"/>
      <c r="I12" s="155"/>
      <c r="J12" s="155"/>
      <c r="K12" s="155"/>
      <c r="L12" s="155"/>
      <c r="M12" s="155"/>
      <c r="N12" s="166" t="str">
        <f>IFERROR(IF(OR(Path="Section 11 ECB",Path="2024 GHG Limit"), VLOOKUP($E12,Lists!$W$92:$Z$109,2,FALSE),VLOOKUP($E12,Table3[#All],7,FALSE)),"")</f>
        <v/>
      </c>
      <c r="O12" s="155"/>
      <c r="P12" s="155"/>
      <c r="Q12" s="155"/>
      <c r="R12" s="155"/>
      <c r="S12" s="155"/>
      <c r="T12" s="155"/>
      <c r="U12" s="155"/>
    </row>
    <row r="13" spans="2:21">
      <c r="B13" s="166" t="str">
        <f>IF('6i. Actual Building Zone HVAC'!A13="","",'6i. Actual Building Zone HVAC'!A13)</f>
        <v/>
      </c>
      <c r="C13" s="111"/>
      <c r="D13" s="166" t="str">
        <f>IFERROR(IF(Path="Appendix G PRM", VLOOKUP('6i. Actual Building Zone HVAC'!C13,Lists!$A$78:$B$86,2,FALSE),IFERROR(VLOOKUP(CONCATENATE('6i. Actual Building Zone HVAC'!$I$3:$I$50,'6i. Actual Building Zone HVAC'!$F$3:$F$50,'6i. Actual Building Zone HVAC'!$E$3:$E$50), Lists!$S$92:$W$109,5,FALSE),"")),"")</f>
        <v/>
      </c>
      <c r="E13" s="166" t="str">
        <f>IFERROR(IF(Path="Appendix G PRM", VLOOKUP($C13,Lists!$A$78:$B$86,2,FALSE),D13),"")</f>
        <v/>
      </c>
      <c r="F13" s="166" t="str">
        <f>IFERROR(IF(OR(Path="Section 11 ECB",Path="2024 GHG Limit"), VLOOKUP($E13,Lists!$W$92:$Z$109,3,FALSE),VLOOKUP($E13,Table3[#All],6,FALSE)),"")</f>
        <v/>
      </c>
      <c r="G13" s="166" t="str">
        <f>IFERROR(IF(OR(Path="Section 11 ECB",Path="2024 GHG Limit"), VLOOKUP($E13,Lists!$W$92:$AA$109,5,FALSE),VLOOKUP($E13,Table3[#All],5,FALSE)),"")</f>
        <v/>
      </c>
      <c r="H13" s="155"/>
      <c r="I13" s="155"/>
      <c r="J13" s="155"/>
      <c r="K13" s="155"/>
      <c r="L13" s="155"/>
      <c r="M13" s="155"/>
      <c r="N13" s="166" t="str">
        <f>IFERROR(IF(OR(Path="Section 11 ECB",Path="2024 GHG Limit"), VLOOKUP($E13,Lists!$W$92:$Z$109,2,FALSE),VLOOKUP($E13,Table3[#All],7,FALSE)),"")</f>
        <v/>
      </c>
      <c r="O13" s="155"/>
      <c r="P13" s="155"/>
      <c r="Q13" s="155"/>
      <c r="R13" s="155"/>
      <c r="S13" s="155"/>
      <c r="T13" s="155"/>
      <c r="U13" s="155"/>
    </row>
    <row r="14" spans="2:21">
      <c r="B14" s="166" t="str">
        <f>IF('6i. Actual Building Zone HVAC'!A14="","",'6i. Actual Building Zone HVAC'!A14)</f>
        <v/>
      </c>
      <c r="C14" s="111"/>
      <c r="D14" s="166" t="str">
        <f>IFERROR(IF(Path="Appendix G PRM", VLOOKUP('6i. Actual Building Zone HVAC'!C14,Lists!$A$78:$B$86,2,FALSE),IFERROR(VLOOKUP(CONCATENATE('6i. Actual Building Zone HVAC'!$I$3:$I$50,'6i. Actual Building Zone HVAC'!$F$3:$F$50,'6i. Actual Building Zone HVAC'!$E$3:$E$50), Lists!$S$92:$W$109,5,FALSE),"")),"")</f>
        <v/>
      </c>
      <c r="E14" s="166" t="str">
        <f>IFERROR(IF(Path="Appendix G PRM", VLOOKUP($C14,Lists!$A$78:$B$86,2,FALSE),D14),"")</f>
        <v/>
      </c>
      <c r="F14" s="166" t="str">
        <f>IFERROR(IF(OR(Path="Section 11 ECB",Path="2024 GHG Limit"), VLOOKUP($E14,Lists!$W$92:$Z$109,3,FALSE),VLOOKUP($E14,Table3[#All],6,FALSE)),"")</f>
        <v/>
      </c>
      <c r="G14" s="166" t="str">
        <f>IFERROR(IF(OR(Path="Section 11 ECB",Path="2024 GHG Limit"), VLOOKUP($E14,Lists!$W$92:$AA$109,5,FALSE),VLOOKUP($E14,Table3[#All],5,FALSE)),"")</f>
        <v/>
      </c>
      <c r="H14" s="155"/>
      <c r="I14" s="155"/>
      <c r="J14" s="155"/>
      <c r="K14" s="155"/>
      <c r="L14" s="155"/>
      <c r="M14" s="155"/>
      <c r="N14" s="166" t="str">
        <f>IFERROR(IF(OR(Path="Section 11 ECB",Path="2024 GHG Limit"), VLOOKUP($E14,Lists!$W$92:$Z$109,2,FALSE),VLOOKUP($E14,Table3[#All],7,FALSE)),"")</f>
        <v/>
      </c>
      <c r="O14" s="155"/>
      <c r="P14" s="155"/>
      <c r="Q14" s="155"/>
      <c r="R14" s="155"/>
      <c r="S14" s="155"/>
      <c r="T14" s="155"/>
      <c r="U14" s="155"/>
    </row>
    <row r="15" spans="2:21">
      <c r="B15" s="166" t="str">
        <f>IF('6i. Actual Building Zone HVAC'!A15="","",'6i. Actual Building Zone HVAC'!A15)</f>
        <v/>
      </c>
      <c r="C15" s="111"/>
      <c r="D15" s="166" t="str">
        <f>IFERROR(IF(Path="Appendix G PRM", VLOOKUP('6i. Actual Building Zone HVAC'!C15,Lists!$A$78:$B$86,2,FALSE),IFERROR(VLOOKUP(CONCATENATE('6i. Actual Building Zone HVAC'!$I$3:$I$50,'6i. Actual Building Zone HVAC'!$F$3:$F$50,'6i. Actual Building Zone HVAC'!$E$3:$E$50), Lists!$S$92:$W$109,5,FALSE),"")),"")</f>
        <v/>
      </c>
      <c r="E15" s="166" t="str">
        <f>IFERROR(IF(Path="Appendix G PRM", VLOOKUP($C15,Lists!$A$78:$B$86,2,FALSE),D15),"")</f>
        <v/>
      </c>
      <c r="F15" s="166" t="str">
        <f>IFERROR(IF(OR(Path="Section 11 ECB",Path="2024 GHG Limit"), VLOOKUP($E15,Lists!$W$92:$Z$109,3,FALSE),VLOOKUP($E15,Table3[#All],6,FALSE)),"")</f>
        <v/>
      </c>
      <c r="G15" s="166" t="str">
        <f>IFERROR(IF(OR(Path="Section 11 ECB",Path="2024 GHG Limit"), VLOOKUP($E15,Lists!$W$92:$AA$109,5,FALSE),VLOOKUP($E15,Table3[#All],5,FALSE)),"")</f>
        <v/>
      </c>
      <c r="H15" s="155"/>
      <c r="I15" s="155"/>
      <c r="J15" s="155"/>
      <c r="K15" s="155"/>
      <c r="L15" s="155"/>
      <c r="M15" s="155"/>
      <c r="N15" s="166" t="str">
        <f>IFERROR(IF(OR(Path="Section 11 ECB",Path="2024 GHG Limit"), VLOOKUP($E15,Lists!$W$92:$Z$109,2,FALSE),VLOOKUP($E15,Table3[#All],7,FALSE)),"")</f>
        <v/>
      </c>
      <c r="O15" s="155"/>
      <c r="P15" s="155"/>
      <c r="Q15" s="155"/>
      <c r="R15" s="155"/>
      <c r="S15" s="155"/>
      <c r="T15" s="155"/>
      <c r="U15" s="155"/>
    </row>
    <row r="16" spans="2:21">
      <c r="B16" s="166" t="str">
        <f>IF('6i. Actual Building Zone HVAC'!A16="","",'6i. Actual Building Zone HVAC'!A16)</f>
        <v/>
      </c>
      <c r="C16" s="111"/>
      <c r="D16" s="166" t="str">
        <f>IFERROR(IF(Path="Appendix G PRM", VLOOKUP('6i. Actual Building Zone HVAC'!C16,Lists!$A$78:$B$86,2,FALSE),IFERROR(VLOOKUP(CONCATENATE('6i. Actual Building Zone HVAC'!$I$3:$I$50,'6i. Actual Building Zone HVAC'!$F$3:$F$50,'6i. Actual Building Zone HVAC'!$E$3:$E$50), Lists!$S$92:$W$109,5,FALSE),"")),"")</f>
        <v/>
      </c>
      <c r="E16" s="166" t="str">
        <f>IFERROR(IF(Path="Appendix G PRM", VLOOKUP($C16,Lists!$A$78:$B$86,2,FALSE),D16),"")</f>
        <v/>
      </c>
      <c r="F16" s="166" t="str">
        <f>IFERROR(IF(OR(Path="Section 11 ECB",Path="2024 GHG Limit"), VLOOKUP($E16,Lists!$W$92:$Z$109,3,FALSE),VLOOKUP($E16,Table3[#All],6,FALSE)),"")</f>
        <v/>
      </c>
      <c r="G16" s="166" t="str">
        <f>IFERROR(IF(OR(Path="Section 11 ECB",Path="2024 GHG Limit"), VLOOKUP($E16,Lists!$W$92:$AA$109,5,FALSE),VLOOKUP($E16,Table3[#All],5,FALSE)),"")</f>
        <v/>
      </c>
      <c r="H16" s="155"/>
      <c r="I16" s="155"/>
      <c r="J16" s="155"/>
      <c r="K16" s="155"/>
      <c r="L16" s="155"/>
      <c r="M16" s="155"/>
      <c r="N16" s="166" t="str">
        <f>IFERROR(IF(OR(Path="Section 11 ECB",Path="2024 GHG Limit"), VLOOKUP($E16,Lists!$W$92:$Z$109,2,FALSE),VLOOKUP($E16,Table3[#All],7,FALSE)),"")</f>
        <v/>
      </c>
      <c r="O16" s="155"/>
      <c r="P16" s="155"/>
      <c r="Q16" s="155"/>
      <c r="R16" s="155"/>
      <c r="S16" s="155"/>
      <c r="T16" s="155"/>
      <c r="U16" s="155"/>
    </row>
    <row r="17" spans="2:21">
      <c r="B17" s="166" t="str">
        <f>IF('6i. Actual Building Zone HVAC'!A17="","",'6i. Actual Building Zone HVAC'!A17)</f>
        <v/>
      </c>
      <c r="C17" s="111"/>
      <c r="D17" s="166" t="str">
        <f>IFERROR(IF(Path="Appendix G PRM", VLOOKUP('6i. Actual Building Zone HVAC'!C17,Lists!$A$78:$B$86,2,FALSE),IFERROR(VLOOKUP(CONCATENATE('6i. Actual Building Zone HVAC'!$I$3:$I$50,'6i. Actual Building Zone HVAC'!$F$3:$F$50,'6i. Actual Building Zone HVAC'!$E$3:$E$50), Lists!$S$92:$W$109,5,FALSE),"")),"")</f>
        <v/>
      </c>
      <c r="E17" s="166" t="str">
        <f>IFERROR(IF(Path="Appendix G PRM", VLOOKUP($C17,Lists!$A$78:$B$86,2,FALSE),D17),"")</f>
        <v/>
      </c>
      <c r="F17" s="166" t="str">
        <f>IFERROR(IF(OR(Path="Section 11 ECB",Path="2024 GHG Limit"), VLOOKUP($E17,Lists!$W$92:$Z$109,3,FALSE),VLOOKUP($E17,Table3[#All],6,FALSE)),"")</f>
        <v/>
      </c>
      <c r="G17" s="166" t="str">
        <f>IFERROR(IF(OR(Path="Section 11 ECB",Path="2024 GHG Limit"), VLOOKUP($E17,Lists!$W$92:$AA$109,5,FALSE),VLOOKUP($E17,Table3[#All],5,FALSE)),"")</f>
        <v/>
      </c>
      <c r="H17" s="155"/>
      <c r="I17" s="155"/>
      <c r="J17" s="155"/>
      <c r="K17" s="155"/>
      <c r="L17" s="155"/>
      <c r="M17" s="155"/>
      <c r="N17" s="166" t="str">
        <f>IFERROR(IF(OR(Path="Section 11 ECB",Path="2024 GHG Limit"), VLOOKUP($E17,Lists!$W$92:$Z$109,2,FALSE),VLOOKUP($E17,Table3[#All],7,FALSE)),"")</f>
        <v/>
      </c>
      <c r="O17" s="155"/>
      <c r="P17" s="155"/>
      <c r="Q17" s="155"/>
      <c r="R17" s="155"/>
      <c r="S17" s="155"/>
      <c r="T17" s="155"/>
      <c r="U17" s="155"/>
    </row>
    <row r="18" spans="2:21">
      <c r="B18" s="166" t="str">
        <f>IF('6i. Actual Building Zone HVAC'!A18="","",'6i. Actual Building Zone HVAC'!A18)</f>
        <v/>
      </c>
      <c r="C18" s="111"/>
      <c r="D18" s="166" t="str">
        <f>IFERROR(IF(Path="Appendix G PRM", VLOOKUP('6i. Actual Building Zone HVAC'!C18,Lists!$A$78:$B$86,2,FALSE),IFERROR(VLOOKUP(CONCATENATE('6i. Actual Building Zone HVAC'!$I$3:$I$50,'6i. Actual Building Zone HVAC'!$F$3:$F$50,'6i. Actual Building Zone HVAC'!$E$3:$E$50), Lists!$S$92:$W$109,5,FALSE),"")),"")</f>
        <v/>
      </c>
      <c r="E18" s="166" t="str">
        <f>IFERROR(IF(Path="Appendix G PRM", VLOOKUP($C18,Lists!$A$78:$B$86,2,FALSE),D18),"")</f>
        <v/>
      </c>
      <c r="F18" s="166" t="str">
        <f>IFERROR(IF(OR(Path="Section 11 ECB",Path="2024 GHG Limit"), VLOOKUP($E18,Lists!$W$92:$Z$109,3,FALSE),VLOOKUP($E18,Table3[#All],6,FALSE)),"")</f>
        <v/>
      </c>
      <c r="G18" s="166" t="str">
        <f>IFERROR(IF(OR(Path="Section 11 ECB",Path="2024 GHG Limit"), VLOOKUP($E18,Lists!$W$92:$AA$109,5,FALSE),VLOOKUP($E18,Table3[#All],5,FALSE)),"")</f>
        <v/>
      </c>
      <c r="H18" s="155"/>
      <c r="I18" s="155"/>
      <c r="J18" s="155"/>
      <c r="K18" s="155"/>
      <c r="L18" s="155"/>
      <c r="M18" s="155"/>
      <c r="N18" s="166" t="str">
        <f>IFERROR(IF(OR(Path="Section 11 ECB",Path="2024 GHG Limit"), VLOOKUP($E18,Lists!$W$92:$Z$109,2,FALSE),VLOOKUP($E18,Table3[#All],7,FALSE)),"")</f>
        <v/>
      </c>
      <c r="O18" s="155"/>
      <c r="P18" s="155"/>
      <c r="Q18" s="155"/>
      <c r="R18" s="155"/>
      <c r="S18" s="155"/>
      <c r="T18" s="155"/>
      <c r="U18" s="155"/>
    </row>
    <row r="19" spans="2:21">
      <c r="B19" s="166" t="str">
        <f>IF('6i. Actual Building Zone HVAC'!A19="","",'6i. Actual Building Zone HVAC'!A19)</f>
        <v/>
      </c>
      <c r="C19" s="111"/>
      <c r="D19" s="166" t="str">
        <f>IFERROR(IF(Path="Appendix G PRM", VLOOKUP('6i. Actual Building Zone HVAC'!C19,Lists!$A$78:$B$86,2,FALSE),IFERROR(VLOOKUP(CONCATENATE('6i. Actual Building Zone HVAC'!$I$3:$I$50,'6i. Actual Building Zone HVAC'!$F$3:$F$50,'6i. Actual Building Zone HVAC'!$E$3:$E$50), Lists!$S$92:$W$109,5,FALSE),"")),"")</f>
        <v/>
      </c>
      <c r="E19" s="166" t="str">
        <f>IFERROR(IF(Path="Appendix G PRM", VLOOKUP($C19,Lists!$A$78:$B$86,2,FALSE),D19),"")</f>
        <v/>
      </c>
      <c r="F19" s="166" t="str">
        <f>IFERROR(IF(OR(Path="Section 11 ECB",Path="2024 GHG Limit"), VLOOKUP($E19,Lists!$W$92:$Z$109,3,FALSE),VLOOKUP($E19,Table3[#All],6,FALSE)),"")</f>
        <v/>
      </c>
      <c r="G19" s="166" t="str">
        <f>IFERROR(IF(OR(Path="Section 11 ECB",Path="2024 GHG Limit"), VLOOKUP($E19,Lists!$W$92:$AA$109,5,FALSE),VLOOKUP($E19,Table3[#All],5,FALSE)),"")</f>
        <v/>
      </c>
      <c r="H19" s="155"/>
      <c r="I19" s="155"/>
      <c r="J19" s="155"/>
      <c r="K19" s="155"/>
      <c r="L19" s="155"/>
      <c r="M19" s="155"/>
      <c r="N19" s="166" t="str">
        <f>IFERROR(IF(OR(Path="Section 11 ECB",Path="2024 GHG Limit"), VLOOKUP($E19,Lists!$W$92:$Z$109,2,FALSE),VLOOKUP($E19,Table3[#All],7,FALSE)),"")</f>
        <v/>
      </c>
      <c r="O19" s="155"/>
      <c r="P19" s="155"/>
      <c r="Q19" s="155"/>
      <c r="R19" s="155"/>
      <c r="S19" s="155"/>
      <c r="T19" s="155"/>
      <c r="U19" s="155"/>
    </row>
    <row r="20" spans="2:21">
      <c r="B20" s="166" t="str">
        <f>IF('6i. Actual Building Zone HVAC'!A20="","",'6i. Actual Building Zone HVAC'!A20)</f>
        <v/>
      </c>
      <c r="C20" s="111"/>
      <c r="D20" s="166" t="str">
        <f>IFERROR(IF(Path="Appendix G PRM", VLOOKUP('6i. Actual Building Zone HVAC'!C20,Lists!$A$78:$B$86,2,FALSE),IFERROR(VLOOKUP(CONCATENATE('6i. Actual Building Zone HVAC'!$I$3:$I$50,'6i. Actual Building Zone HVAC'!$F$3:$F$50,'6i. Actual Building Zone HVAC'!$E$3:$E$50), Lists!$S$92:$W$109,5,FALSE),"")),"")</f>
        <v/>
      </c>
      <c r="E20" s="166" t="str">
        <f>IFERROR(IF(Path="Appendix G PRM", VLOOKUP($C20,Lists!$A$78:$B$86,2,FALSE),D20),"")</f>
        <v/>
      </c>
      <c r="F20" s="166" t="str">
        <f>IFERROR(IF(OR(Path="Section 11 ECB",Path="2024 GHG Limit"), VLOOKUP($E20,Lists!$W$92:$Z$109,3,FALSE),VLOOKUP($E20,Table3[#All],6,FALSE)),"")</f>
        <v/>
      </c>
      <c r="G20" s="166" t="str">
        <f>IFERROR(IF(OR(Path="Section 11 ECB",Path="2024 GHG Limit"), VLOOKUP($E20,Lists!$W$92:$AA$109,5,FALSE),VLOOKUP($E20,Table3[#All],5,FALSE)),"")</f>
        <v/>
      </c>
      <c r="H20" s="155"/>
      <c r="I20" s="155"/>
      <c r="J20" s="155"/>
      <c r="K20" s="155"/>
      <c r="L20" s="155"/>
      <c r="M20" s="155"/>
      <c r="N20" s="166" t="str">
        <f>IFERROR(IF(OR(Path="Section 11 ECB",Path="2024 GHG Limit"), VLOOKUP($E20,Lists!$W$92:$Z$109,2,FALSE),VLOOKUP($E20,Table3[#All],7,FALSE)),"")</f>
        <v/>
      </c>
      <c r="O20" s="155"/>
      <c r="P20" s="155"/>
      <c r="Q20" s="155"/>
      <c r="R20" s="155"/>
      <c r="S20" s="155"/>
      <c r="T20" s="155"/>
      <c r="U20" s="155"/>
    </row>
    <row r="21" spans="2:21">
      <c r="B21" s="166" t="str">
        <f>IF('6i. Actual Building Zone HVAC'!A21="","",'6i. Actual Building Zone HVAC'!A21)</f>
        <v/>
      </c>
      <c r="C21" s="111"/>
      <c r="D21" s="166" t="str">
        <f>IFERROR(IF(Path="Appendix G PRM", VLOOKUP('6i. Actual Building Zone HVAC'!C21,Lists!$A$78:$B$86,2,FALSE),IFERROR(VLOOKUP(CONCATENATE('6i. Actual Building Zone HVAC'!$I$3:$I$50,'6i. Actual Building Zone HVAC'!$F$3:$F$50,'6i. Actual Building Zone HVAC'!$E$3:$E$50), Lists!$S$92:$W$109,5,FALSE),"")),"")</f>
        <v/>
      </c>
      <c r="E21" s="166" t="str">
        <f>IFERROR(IF(Path="Appendix G PRM", VLOOKUP($C21,Lists!$A$78:$B$86,2,FALSE),D21),"")</f>
        <v/>
      </c>
      <c r="F21" s="166" t="str">
        <f>IFERROR(IF(OR(Path="Section 11 ECB",Path="2024 GHG Limit"), VLOOKUP($E21,Lists!$W$92:$Z$109,3,FALSE),VLOOKUP($E21,Table3[#All],6,FALSE)),"")</f>
        <v/>
      </c>
      <c r="G21" s="166" t="str">
        <f>IFERROR(IF(OR(Path="Section 11 ECB",Path="2024 GHG Limit"), VLOOKUP($E21,Lists!$W$92:$AA$109,5,FALSE),VLOOKUP($E21,Table3[#All],5,FALSE)),"")</f>
        <v/>
      </c>
      <c r="H21" s="155"/>
      <c r="I21" s="155"/>
      <c r="J21" s="155"/>
      <c r="K21" s="155"/>
      <c r="L21" s="155"/>
      <c r="M21" s="155"/>
      <c r="N21" s="166" t="str">
        <f>IFERROR(IF(OR(Path="Section 11 ECB",Path="2024 GHG Limit"), VLOOKUP($E21,Lists!$W$92:$Z$109,2,FALSE),VLOOKUP($E21,Table3[#All],7,FALSE)),"")</f>
        <v/>
      </c>
      <c r="O21" s="155"/>
      <c r="P21" s="155"/>
      <c r="Q21" s="155"/>
      <c r="R21" s="155"/>
      <c r="S21" s="155"/>
      <c r="T21" s="155"/>
      <c r="U21" s="155"/>
    </row>
    <row r="22" spans="2:21">
      <c r="B22" s="166" t="str">
        <f>IF('6i. Actual Building Zone HVAC'!A22="","",'6i. Actual Building Zone HVAC'!A22)</f>
        <v/>
      </c>
      <c r="C22" s="111"/>
      <c r="D22" s="166" t="str">
        <f>IFERROR(IF(Path="Appendix G PRM", VLOOKUP('6i. Actual Building Zone HVAC'!C22,Lists!$A$78:$B$86,2,FALSE),IFERROR(VLOOKUP(CONCATENATE('6i. Actual Building Zone HVAC'!$I$3:$I$50,'6i. Actual Building Zone HVAC'!$F$3:$F$50,'6i. Actual Building Zone HVAC'!$E$3:$E$50), Lists!$S$92:$W$109,5,FALSE),"")),"")</f>
        <v/>
      </c>
      <c r="E22" s="166" t="str">
        <f>IFERROR(IF(Path="Appendix G PRM", VLOOKUP($C22,Lists!$A$78:$B$86,2,FALSE),D22),"")</f>
        <v/>
      </c>
      <c r="F22" s="166" t="str">
        <f>IFERROR(IF(OR(Path="Section 11 ECB",Path="2024 GHG Limit"), VLOOKUP($E22,Lists!$W$92:$Z$109,3,FALSE),VLOOKUP($E22,Table3[#All],6,FALSE)),"")</f>
        <v/>
      </c>
      <c r="G22" s="166" t="str">
        <f>IFERROR(IF(OR(Path="Section 11 ECB",Path="2024 GHG Limit"), VLOOKUP($E22,Lists!$W$92:$AA$109,5,FALSE),VLOOKUP($E22,Table3[#All],5,FALSE)),"")</f>
        <v/>
      </c>
      <c r="H22" s="155"/>
      <c r="I22" s="155"/>
      <c r="J22" s="155"/>
      <c r="K22" s="155"/>
      <c r="L22" s="155"/>
      <c r="M22" s="155"/>
      <c r="N22" s="166" t="str">
        <f>IFERROR(IF(OR(Path="Section 11 ECB",Path="2024 GHG Limit"), VLOOKUP($E22,Lists!$W$92:$Z$109,2,FALSE),VLOOKUP($E22,Table3[#All],7,FALSE)),"")</f>
        <v/>
      </c>
      <c r="O22" s="155"/>
      <c r="P22" s="155"/>
      <c r="Q22" s="155"/>
      <c r="R22" s="155"/>
      <c r="S22" s="155"/>
      <c r="T22" s="155"/>
      <c r="U22" s="155"/>
    </row>
    <row r="23" spans="2:21">
      <c r="B23" s="166" t="str">
        <f>IF('6i. Actual Building Zone HVAC'!A23="","",'6i. Actual Building Zone HVAC'!A23)</f>
        <v/>
      </c>
      <c r="C23" s="111"/>
      <c r="D23" s="166" t="str">
        <f>IFERROR(IF(Path="Appendix G PRM", VLOOKUP('6i. Actual Building Zone HVAC'!C23,Lists!$A$78:$B$86,2,FALSE),IFERROR(VLOOKUP(CONCATENATE('6i. Actual Building Zone HVAC'!$I$3:$I$50,'6i. Actual Building Zone HVAC'!$F$3:$F$50,'6i. Actual Building Zone HVAC'!$E$3:$E$50), Lists!$S$92:$W$109,5,FALSE),"")),"")</f>
        <v/>
      </c>
      <c r="E23" s="166" t="str">
        <f>IFERROR(IF(Path="Appendix G PRM", VLOOKUP($C23,Lists!$A$78:$B$86,2,FALSE),D23),"")</f>
        <v/>
      </c>
      <c r="F23" s="166" t="str">
        <f>IFERROR(IF(OR(Path="Section 11 ECB",Path="2024 GHG Limit"), VLOOKUP($E23,Lists!$W$92:$Z$109,3,FALSE),VLOOKUP($E23,Table3[#All],6,FALSE)),"")</f>
        <v/>
      </c>
      <c r="G23" s="166" t="str">
        <f>IFERROR(IF(OR(Path="Section 11 ECB",Path="2024 GHG Limit"), VLOOKUP($E23,Lists!$W$92:$AA$109,5,FALSE),VLOOKUP($E23,Table3[#All],5,FALSE)),"")</f>
        <v/>
      </c>
      <c r="H23" s="155"/>
      <c r="I23" s="155"/>
      <c r="J23" s="155"/>
      <c r="K23" s="155"/>
      <c r="L23" s="155"/>
      <c r="M23" s="155"/>
      <c r="N23" s="166" t="str">
        <f>IFERROR(IF(OR(Path="Section 11 ECB",Path="2024 GHG Limit"), VLOOKUP($E23,Lists!$W$92:$Z$109,2,FALSE),VLOOKUP($E23,Table3[#All],7,FALSE)),"")</f>
        <v/>
      </c>
      <c r="O23" s="155"/>
      <c r="P23" s="155"/>
      <c r="Q23" s="155"/>
      <c r="R23" s="155"/>
      <c r="S23" s="155"/>
      <c r="T23" s="155"/>
      <c r="U23" s="155"/>
    </row>
    <row r="24" spans="2:21">
      <c r="B24" s="166" t="str">
        <f>IF('6i. Actual Building Zone HVAC'!A24="","",'6i. Actual Building Zone HVAC'!A24)</f>
        <v/>
      </c>
      <c r="C24" s="111"/>
      <c r="D24" s="166" t="str">
        <f>IFERROR(IF(Path="Appendix G PRM", VLOOKUP('6i. Actual Building Zone HVAC'!C24,Lists!$A$78:$B$86,2,FALSE),IFERROR(VLOOKUP(CONCATENATE('6i. Actual Building Zone HVAC'!$I$3:$I$50,'6i. Actual Building Zone HVAC'!$F$3:$F$50,'6i. Actual Building Zone HVAC'!$E$3:$E$50), Lists!$S$92:$W$109,5,FALSE),"")),"")</f>
        <v/>
      </c>
      <c r="E24" s="166" t="str">
        <f>IFERROR(IF(Path="Appendix G PRM", VLOOKUP($C24,Lists!$A$78:$B$86,2,FALSE),D24),"")</f>
        <v/>
      </c>
      <c r="F24" s="166" t="str">
        <f>IFERROR(IF(OR(Path="Section 11 ECB",Path="2024 GHG Limit"), VLOOKUP($E24,Lists!$W$92:$Z$109,3,FALSE),VLOOKUP($E24,Table3[#All],6,FALSE)),"")</f>
        <v/>
      </c>
      <c r="G24" s="166" t="str">
        <f>IFERROR(IF(OR(Path="Section 11 ECB",Path="2024 GHG Limit"), VLOOKUP($E24,Lists!$W$92:$AA$109,5,FALSE),VLOOKUP($E24,Table3[#All],5,FALSE)),"")</f>
        <v/>
      </c>
      <c r="H24" s="155"/>
      <c r="I24" s="155"/>
      <c r="J24" s="155"/>
      <c r="K24" s="155"/>
      <c r="L24" s="155"/>
      <c r="M24" s="155"/>
      <c r="N24" s="166" t="str">
        <f>IFERROR(IF(OR(Path="Section 11 ECB",Path="2024 GHG Limit"), VLOOKUP($E24,Lists!$W$92:$Z$109,2,FALSE),VLOOKUP($E24,Table3[#All],7,FALSE)),"")</f>
        <v/>
      </c>
      <c r="O24" s="155"/>
      <c r="P24" s="155"/>
      <c r="Q24" s="155"/>
      <c r="R24" s="155"/>
      <c r="S24" s="155"/>
      <c r="T24" s="155"/>
      <c r="U24" s="155"/>
    </row>
    <row r="25" spans="2:21">
      <c r="B25" s="166" t="str">
        <f>IF('6i. Actual Building Zone HVAC'!A25="","",'6i. Actual Building Zone HVAC'!A25)</f>
        <v/>
      </c>
      <c r="C25" s="111"/>
      <c r="D25" s="166" t="str">
        <f>IFERROR(IF(Path="Appendix G PRM", VLOOKUP('6i. Actual Building Zone HVAC'!C25,Lists!$A$78:$B$86,2,FALSE),IFERROR(VLOOKUP(CONCATENATE('6i. Actual Building Zone HVAC'!$I$3:$I$50,'6i. Actual Building Zone HVAC'!$F$3:$F$50,'6i. Actual Building Zone HVAC'!$E$3:$E$50), Lists!$S$92:$W$109,5,FALSE),"")),"")</f>
        <v/>
      </c>
      <c r="E25" s="166" t="str">
        <f>IFERROR(IF(Path="Appendix G PRM", VLOOKUP($C25,Lists!$A$78:$B$86,2,FALSE),D25),"")</f>
        <v/>
      </c>
      <c r="F25" s="166" t="str">
        <f>IFERROR(IF(OR(Path="Section 11 ECB",Path="2024 GHG Limit"), VLOOKUP($E25,Lists!$W$92:$Z$109,3,FALSE),VLOOKUP($E25,Table3[#All],6,FALSE)),"")</f>
        <v/>
      </c>
      <c r="G25" s="166" t="str">
        <f>IFERROR(IF(OR(Path="Section 11 ECB",Path="2024 GHG Limit"), VLOOKUP($E25,Lists!$W$92:$AA$109,5,FALSE),VLOOKUP($E25,Table3[#All],5,FALSE)),"")</f>
        <v/>
      </c>
      <c r="H25" s="155"/>
      <c r="I25" s="155"/>
      <c r="J25" s="155"/>
      <c r="K25" s="155"/>
      <c r="L25" s="155"/>
      <c r="M25" s="155"/>
      <c r="N25" s="166" t="str">
        <f>IFERROR(IF(OR(Path="Section 11 ECB",Path="2024 GHG Limit"), VLOOKUP($E25,Lists!$W$92:$Z$109,2,FALSE),VLOOKUP($E25,Table3[#All],7,FALSE)),"")</f>
        <v/>
      </c>
      <c r="O25" s="155"/>
      <c r="P25" s="155"/>
      <c r="Q25" s="155"/>
      <c r="R25" s="155"/>
      <c r="S25" s="155"/>
      <c r="T25" s="155"/>
      <c r="U25" s="155"/>
    </row>
    <row r="26" spans="2:21">
      <c r="B26" s="166" t="str">
        <f>IF('6i. Actual Building Zone HVAC'!A26="","",'6i. Actual Building Zone HVAC'!A26)</f>
        <v/>
      </c>
      <c r="C26" s="111"/>
      <c r="D26" s="166" t="str">
        <f>IFERROR(IF(Path="Appendix G PRM", VLOOKUP('6i. Actual Building Zone HVAC'!C26,Lists!$A$78:$B$86,2,FALSE),IFERROR(VLOOKUP(CONCATENATE('6i. Actual Building Zone HVAC'!$I$3:$I$50,'6i. Actual Building Zone HVAC'!$F$3:$F$50,'6i. Actual Building Zone HVAC'!$E$3:$E$50), Lists!$S$92:$W$109,5,FALSE),"")),"")</f>
        <v/>
      </c>
      <c r="E26" s="166" t="str">
        <f>IFERROR(IF(Path="Appendix G PRM", VLOOKUP($C26,Lists!$A$78:$B$86,2,FALSE),D26),"")</f>
        <v/>
      </c>
      <c r="F26" s="166" t="str">
        <f>IFERROR(IF(OR(Path="Section 11 ECB",Path="2024 GHG Limit"), VLOOKUP($E26,Lists!$W$92:$Z$109,3,FALSE),VLOOKUP($E26,Table3[#All],6,FALSE)),"")</f>
        <v/>
      </c>
      <c r="G26" s="166" t="str">
        <f>IFERROR(IF(OR(Path="Section 11 ECB",Path="2024 GHG Limit"), VLOOKUP($E26,Lists!$W$92:$AA$109,5,FALSE),VLOOKUP($E26,Table3[#All],5,FALSE)),"")</f>
        <v/>
      </c>
      <c r="H26" s="155"/>
      <c r="I26" s="155"/>
      <c r="J26" s="155"/>
      <c r="K26" s="155"/>
      <c r="L26" s="155"/>
      <c r="M26" s="155"/>
      <c r="N26" s="166" t="str">
        <f>IFERROR(IF(OR(Path="Section 11 ECB",Path="2024 GHG Limit"), VLOOKUP($E26,Lists!$W$92:$Z$109,2,FALSE),VLOOKUP($E26,Table3[#All],7,FALSE)),"")</f>
        <v/>
      </c>
      <c r="O26" s="155"/>
      <c r="P26" s="155"/>
      <c r="Q26" s="155"/>
      <c r="R26" s="155"/>
      <c r="S26" s="155"/>
      <c r="T26" s="155"/>
      <c r="U26" s="155"/>
    </row>
    <row r="27" spans="2:21">
      <c r="B27" s="166" t="str">
        <f>IF('6i. Actual Building Zone HVAC'!A27="","",'6i. Actual Building Zone HVAC'!A27)</f>
        <v/>
      </c>
      <c r="C27" s="111"/>
      <c r="D27" s="166" t="str">
        <f>IFERROR(IF(Path="Appendix G PRM", VLOOKUP('6i. Actual Building Zone HVAC'!C27,Lists!$A$78:$B$86,2,FALSE),IFERROR(VLOOKUP(CONCATENATE('6i. Actual Building Zone HVAC'!$I$3:$I$50,'6i. Actual Building Zone HVAC'!$F$3:$F$50,'6i. Actual Building Zone HVAC'!$E$3:$E$50), Lists!$S$92:$W$109,5,FALSE),"")),"")</f>
        <v/>
      </c>
      <c r="E27" s="166" t="str">
        <f>IFERROR(IF(Path="Appendix G PRM", VLOOKUP($C27,Lists!$A$78:$B$86,2,FALSE),D27),"")</f>
        <v/>
      </c>
      <c r="F27" s="166" t="str">
        <f>IFERROR(IF(OR(Path="Section 11 ECB",Path="2024 GHG Limit"), VLOOKUP($E27,Lists!$W$92:$Z$109,3,FALSE),VLOOKUP($E27,Table3[#All],6,FALSE)),"")</f>
        <v/>
      </c>
      <c r="G27" s="166" t="str">
        <f>IFERROR(IF(OR(Path="Section 11 ECB",Path="2024 GHG Limit"), VLOOKUP($E27,Lists!$W$92:$AA$109,5,FALSE),VLOOKUP($E27,Table3[#All],5,FALSE)),"")</f>
        <v/>
      </c>
      <c r="H27" s="155"/>
      <c r="I27" s="155"/>
      <c r="J27" s="155"/>
      <c r="K27" s="155"/>
      <c r="L27" s="155"/>
      <c r="M27" s="155"/>
      <c r="N27" s="166" t="str">
        <f>IFERROR(IF(OR(Path="Section 11 ECB",Path="2024 GHG Limit"), VLOOKUP($E27,Lists!$W$92:$Z$109,2,FALSE),VLOOKUP($E27,Table3[#All],7,FALSE)),"")</f>
        <v/>
      </c>
      <c r="O27" s="155"/>
      <c r="P27" s="155"/>
      <c r="Q27" s="155"/>
      <c r="R27" s="155"/>
      <c r="S27" s="155"/>
      <c r="T27" s="155"/>
      <c r="U27" s="155"/>
    </row>
    <row r="28" spans="2:21">
      <c r="B28" s="166" t="str">
        <f>IF('6i. Actual Building Zone HVAC'!A28="","",'6i. Actual Building Zone HVAC'!A28)</f>
        <v/>
      </c>
      <c r="C28" s="111"/>
      <c r="D28" s="166" t="str">
        <f>IFERROR(IF(Path="Appendix G PRM", VLOOKUP('6i. Actual Building Zone HVAC'!C28,Lists!$A$78:$B$86,2,FALSE),IFERROR(VLOOKUP(CONCATENATE('6i. Actual Building Zone HVAC'!$I$3:$I$50,'6i. Actual Building Zone HVAC'!$F$3:$F$50,'6i. Actual Building Zone HVAC'!$E$3:$E$50), Lists!$S$92:$W$109,5,FALSE),"")),"")</f>
        <v/>
      </c>
      <c r="E28" s="166" t="str">
        <f>IFERROR(IF(Path="Appendix G PRM", VLOOKUP($C28,Lists!$A$78:$B$86,2,FALSE),D28),"")</f>
        <v/>
      </c>
      <c r="F28" s="166" t="str">
        <f>IFERROR(IF(OR(Path="Section 11 ECB",Path="2024 GHG Limit"), VLOOKUP($E28,Lists!$W$92:$Z$109,3,FALSE),VLOOKUP($E28,Table3[#All],6,FALSE)),"")</f>
        <v/>
      </c>
      <c r="G28" s="166" t="str">
        <f>IFERROR(IF(OR(Path="Section 11 ECB",Path="2024 GHG Limit"), VLOOKUP($E28,Lists!$W$92:$AA$109,5,FALSE),VLOOKUP($E28,Table3[#All],5,FALSE)),"")</f>
        <v/>
      </c>
      <c r="H28" s="155"/>
      <c r="I28" s="155"/>
      <c r="J28" s="155"/>
      <c r="K28" s="155"/>
      <c r="L28" s="155"/>
      <c r="M28" s="155"/>
      <c r="N28" s="166" t="str">
        <f>IFERROR(IF(OR(Path="Section 11 ECB",Path="2024 GHG Limit"), VLOOKUP($E28,Lists!$W$92:$Z$109,2,FALSE),VLOOKUP($E28,Table3[#All],7,FALSE)),"")</f>
        <v/>
      </c>
      <c r="O28" s="155"/>
      <c r="P28" s="155"/>
      <c r="Q28" s="155"/>
      <c r="R28" s="155"/>
      <c r="S28" s="155"/>
      <c r="T28" s="155"/>
      <c r="U28" s="155"/>
    </row>
    <row r="29" spans="2:21">
      <c r="B29" s="166" t="str">
        <f>IF('6i. Actual Building Zone HVAC'!A29="","",'6i. Actual Building Zone HVAC'!A29)</f>
        <v/>
      </c>
      <c r="C29" s="111"/>
      <c r="D29" s="166" t="str">
        <f>IFERROR(IF(Path="Appendix G PRM", VLOOKUP('6i. Actual Building Zone HVAC'!C29,Lists!$A$78:$B$86,2,FALSE),IFERROR(VLOOKUP(CONCATENATE('6i. Actual Building Zone HVAC'!$I$3:$I$50,'6i. Actual Building Zone HVAC'!$F$3:$F$50,'6i. Actual Building Zone HVAC'!$E$3:$E$50), Lists!$S$92:$W$109,5,FALSE),"")),"")</f>
        <v/>
      </c>
      <c r="E29" s="166" t="str">
        <f>IFERROR(IF(Path="Appendix G PRM", VLOOKUP($C29,Lists!$A$78:$B$86,2,FALSE),D29),"")</f>
        <v/>
      </c>
      <c r="F29" s="166" t="str">
        <f>IFERROR(IF(OR(Path="Section 11 ECB",Path="2024 GHG Limit"), VLOOKUP($E29,Lists!$W$92:$Z$109,3,FALSE),VLOOKUP($E29,Table3[#All],6,FALSE)),"")</f>
        <v/>
      </c>
      <c r="G29" s="166" t="str">
        <f>IFERROR(IF(OR(Path="Section 11 ECB",Path="2024 GHG Limit"), VLOOKUP($E29,Lists!$W$92:$AA$109,5,FALSE),VLOOKUP($E29,Table3[#All],5,FALSE)),"")</f>
        <v/>
      </c>
      <c r="H29" s="155"/>
      <c r="I29" s="155"/>
      <c r="J29" s="155"/>
      <c r="K29" s="155"/>
      <c r="L29" s="155"/>
      <c r="M29" s="155"/>
      <c r="N29" s="166" t="str">
        <f>IFERROR(IF(OR(Path="Section 11 ECB",Path="2024 GHG Limit"), VLOOKUP($E29,Lists!$W$92:$Z$109,2,FALSE),VLOOKUP($E29,Table3[#All],7,FALSE)),"")</f>
        <v/>
      </c>
      <c r="O29" s="155"/>
      <c r="P29" s="155"/>
      <c r="Q29" s="155"/>
      <c r="R29" s="155"/>
      <c r="S29" s="155"/>
      <c r="T29" s="155"/>
      <c r="U29" s="155"/>
    </row>
    <row r="30" spans="2:21">
      <c r="B30" s="166" t="str">
        <f>IF('6i. Actual Building Zone HVAC'!A30="","",'6i. Actual Building Zone HVAC'!A30)</f>
        <v/>
      </c>
      <c r="C30" s="111"/>
      <c r="D30" s="166" t="str">
        <f>IFERROR(IF(Path="Appendix G PRM", VLOOKUP('6i. Actual Building Zone HVAC'!C30,Lists!$A$78:$B$86,2,FALSE),IFERROR(VLOOKUP(CONCATENATE('6i. Actual Building Zone HVAC'!$I$3:$I$50,'6i. Actual Building Zone HVAC'!$F$3:$F$50,'6i. Actual Building Zone HVAC'!$E$3:$E$50), Lists!$S$92:$W$109,5,FALSE),"")),"")</f>
        <v/>
      </c>
      <c r="E30" s="166" t="str">
        <f>IFERROR(IF(Path="Appendix G PRM", VLOOKUP($C30,Lists!$A$78:$B$86,2,FALSE),D30),"")</f>
        <v/>
      </c>
      <c r="F30" s="166" t="str">
        <f>IFERROR(IF(OR(Path="Section 11 ECB",Path="2024 GHG Limit"), VLOOKUP($E30,Lists!$W$92:$Z$109,3,FALSE),VLOOKUP($E30,Table3[#All],6,FALSE)),"")</f>
        <v/>
      </c>
      <c r="G30" s="166" t="str">
        <f>IFERROR(IF(OR(Path="Section 11 ECB",Path="2024 GHG Limit"), VLOOKUP($E30,Lists!$W$92:$AA$109,5,FALSE),VLOOKUP($E30,Table3[#All],5,FALSE)),"")</f>
        <v/>
      </c>
      <c r="H30" s="155"/>
      <c r="I30" s="155"/>
      <c r="J30" s="155"/>
      <c r="K30" s="155"/>
      <c r="L30" s="155"/>
      <c r="M30" s="155"/>
      <c r="N30" s="166" t="str">
        <f>IFERROR(IF(OR(Path="Section 11 ECB",Path="2024 GHG Limit"), VLOOKUP($E30,Lists!$W$92:$Z$109,2,FALSE),VLOOKUP($E30,Table3[#All],7,FALSE)),"")</f>
        <v/>
      </c>
      <c r="O30" s="155"/>
      <c r="P30" s="155"/>
      <c r="Q30" s="155"/>
      <c r="R30" s="155"/>
      <c r="S30" s="155"/>
      <c r="T30" s="155"/>
      <c r="U30" s="155"/>
    </row>
    <row r="31" spans="2:21">
      <c r="B31" s="166" t="str">
        <f>IF('6i. Actual Building Zone HVAC'!A31="","",'6i. Actual Building Zone HVAC'!A31)</f>
        <v/>
      </c>
      <c r="C31" s="111"/>
      <c r="D31" s="166" t="str">
        <f>IFERROR(IF(Path="Appendix G PRM", VLOOKUP('6i. Actual Building Zone HVAC'!C31,Lists!$A$78:$B$86,2,FALSE),IFERROR(VLOOKUP(CONCATENATE('6i. Actual Building Zone HVAC'!$I$3:$I$50,'6i. Actual Building Zone HVAC'!$F$3:$F$50,'6i. Actual Building Zone HVAC'!$E$3:$E$50), Lists!$S$92:$W$109,5,FALSE),"")),"")</f>
        <v/>
      </c>
      <c r="E31" s="166" t="str">
        <f>IFERROR(IF(Path="Appendix G PRM", VLOOKUP($C31,Lists!$A$78:$B$86,2,FALSE),D31),"")</f>
        <v/>
      </c>
      <c r="F31" s="166" t="str">
        <f>IFERROR(IF(OR(Path="Section 11 ECB",Path="2024 GHG Limit"), VLOOKUP($E31,Lists!$W$92:$Z$109,3,FALSE),VLOOKUP($E31,Table3[#All],6,FALSE)),"")</f>
        <v/>
      </c>
      <c r="G31" s="166" t="str">
        <f>IFERROR(IF(OR(Path="Section 11 ECB",Path="2024 GHG Limit"), VLOOKUP($E31,Lists!$W$92:$AA$109,5,FALSE),VLOOKUP($E31,Table3[#All],5,FALSE)),"")</f>
        <v/>
      </c>
      <c r="H31" s="155"/>
      <c r="I31" s="155"/>
      <c r="J31" s="155"/>
      <c r="K31" s="155"/>
      <c r="L31" s="155"/>
      <c r="M31" s="155"/>
      <c r="N31" s="166" t="str">
        <f>IFERROR(IF(OR(Path="Section 11 ECB",Path="2024 GHG Limit"), VLOOKUP($E31,Lists!$W$92:$Z$109,2,FALSE),VLOOKUP($E31,Table3[#All],7,FALSE)),"")</f>
        <v/>
      </c>
      <c r="O31" s="155"/>
      <c r="P31" s="155"/>
      <c r="Q31" s="155"/>
      <c r="R31" s="155"/>
      <c r="S31" s="155"/>
      <c r="T31" s="155"/>
      <c r="U31" s="155"/>
    </row>
    <row r="32" spans="2:21">
      <c r="B32" s="166" t="str">
        <f>IF('6i. Actual Building Zone HVAC'!A32="","",'6i. Actual Building Zone HVAC'!A32)</f>
        <v/>
      </c>
      <c r="C32" s="111"/>
      <c r="D32" s="166" t="str">
        <f>IFERROR(IF(Path="Appendix G PRM", VLOOKUP('6i. Actual Building Zone HVAC'!C32,Lists!$A$78:$B$86,2,FALSE),IFERROR(VLOOKUP(CONCATENATE('6i. Actual Building Zone HVAC'!$I$3:$I$50,'6i. Actual Building Zone HVAC'!$F$3:$F$50,'6i. Actual Building Zone HVAC'!$E$3:$E$50), Lists!$S$92:$W$109,5,FALSE),"")),"")</f>
        <v/>
      </c>
      <c r="E32" s="166" t="str">
        <f>IFERROR(IF(Path="Appendix G PRM", VLOOKUP($C32,Lists!$A$78:$B$86,2,FALSE),D32),"")</f>
        <v/>
      </c>
      <c r="F32" s="166" t="str">
        <f>IFERROR(IF(OR(Path="Section 11 ECB",Path="2024 GHG Limit"), VLOOKUP($E32,Lists!$W$92:$Z$109,3,FALSE),VLOOKUP($E32,Table3[#All],6,FALSE)),"")</f>
        <v/>
      </c>
      <c r="G32" s="166" t="str">
        <f>IFERROR(IF(OR(Path="Section 11 ECB",Path="2024 GHG Limit"), VLOOKUP($E32,Lists!$W$92:$AA$109,5,FALSE),VLOOKUP($E32,Table3[#All],5,FALSE)),"")</f>
        <v/>
      </c>
      <c r="H32" s="155"/>
      <c r="I32" s="155"/>
      <c r="J32" s="155"/>
      <c r="K32" s="155"/>
      <c r="L32" s="155"/>
      <c r="M32" s="155"/>
      <c r="N32" s="166" t="str">
        <f>IFERROR(IF(OR(Path="Section 11 ECB",Path="2024 GHG Limit"), VLOOKUP($E32,Lists!$W$92:$Z$109,2,FALSE),VLOOKUP($E32,Table3[#All],7,FALSE)),"")</f>
        <v/>
      </c>
      <c r="O32" s="155"/>
      <c r="P32" s="155"/>
      <c r="Q32" s="155"/>
      <c r="R32" s="155"/>
      <c r="S32" s="155"/>
      <c r="T32" s="155"/>
      <c r="U32" s="155"/>
    </row>
    <row r="33" spans="2:21">
      <c r="B33" s="166" t="str">
        <f>IF('6i. Actual Building Zone HVAC'!A33="","",'6i. Actual Building Zone HVAC'!A33)</f>
        <v/>
      </c>
      <c r="C33" s="111"/>
      <c r="D33" s="166" t="str">
        <f>IFERROR(IF(Path="Appendix G PRM", VLOOKUP('6i. Actual Building Zone HVAC'!C33,Lists!$A$78:$B$86,2,FALSE),IFERROR(VLOOKUP(CONCATENATE('6i. Actual Building Zone HVAC'!$I$3:$I$50,'6i. Actual Building Zone HVAC'!$F$3:$F$50,'6i. Actual Building Zone HVAC'!$E$3:$E$50), Lists!$S$92:$W$109,5,FALSE),"")),"")</f>
        <v/>
      </c>
      <c r="E33" s="166" t="str">
        <f>IFERROR(IF(Path="Appendix G PRM", VLOOKUP($C33,Lists!$A$78:$B$86,2,FALSE),D33),"")</f>
        <v/>
      </c>
      <c r="F33" s="166" t="str">
        <f>IFERROR(IF(OR(Path="Section 11 ECB",Path="2024 GHG Limit"), VLOOKUP($E33,Lists!$W$92:$Z$109,3,FALSE),VLOOKUP($E33,Table3[#All],6,FALSE)),"")</f>
        <v/>
      </c>
      <c r="G33" s="166" t="str">
        <f>IFERROR(IF(OR(Path="Section 11 ECB",Path="2024 GHG Limit"), VLOOKUP($E33,Lists!$W$92:$AA$109,5,FALSE),VLOOKUP($E33,Table3[#All],5,FALSE)),"")</f>
        <v/>
      </c>
      <c r="H33" s="155"/>
      <c r="I33" s="155"/>
      <c r="J33" s="155"/>
      <c r="K33" s="155"/>
      <c r="L33" s="155"/>
      <c r="M33" s="155"/>
      <c r="N33" s="166" t="str">
        <f>IFERROR(IF(OR(Path="Section 11 ECB",Path="2024 GHG Limit"), VLOOKUP($E33,Lists!$W$92:$Z$109,2,FALSE),VLOOKUP($E33,Table3[#All],7,FALSE)),"")</f>
        <v/>
      </c>
      <c r="O33" s="155"/>
      <c r="P33" s="155"/>
      <c r="Q33" s="155"/>
      <c r="R33" s="155"/>
      <c r="S33" s="155"/>
      <c r="T33" s="155"/>
      <c r="U33" s="155"/>
    </row>
    <row r="34" spans="2:21">
      <c r="B34" s="166" t="str">
        <f>IF('6i. Actual Building Zone HVAC'!A34="","",'6i. Actual Building Zone HVAC'!A34)</f>
        <v/>
      </c>
      <c r="C34" s="111"/>
      <c r="D34" s="166" t="str">
        <f>IFERROR(IF(Path="Appendix G PRM", VLOOKUP('6i. Actual Building Zone HVAC'!C34,Lists!$A$78:$B$86,2,FALSE),IFERROR(VLOOKUP(CONCATENATE('6i. Actual Building Zone HVAC'!$I$3:$I$50,'6i. Actual Building Zone HVAC'!$F$3:$F$50,'6i. Actual Building Zone HVAC'!$E$3:$E$50), Lists!$S$92:$W$109,5,FALSE),"")),"")</f>
        <v/>
      </c>
      <c r="E34" s="166" t="str">
        <f>IFERROR(IF(Path="Appendix G PRM", VLOOKUP($C34,Lists!$A$78:$B$86,2,FALSE),D34),"")</f>
        <v/>
      </c>
      <c r="F34" s="166" t="str">
        <f>IFERROR(IF(OR(Path="Section 11 ECB",Path="2024 GHG Limit"), VLOOKUP($E34,Lists!$W$92:$Z$109,3,FALSE),VLOOKUP($E34,Table3[#All],6,FALSE)),"")</f>
        <v/>
      </c>
      <c r="G34" s="166" t="str">
        <f>IFERROR(IF(OR(Path="Section 11 ECB",Path="2024 GHG Limit"), VLOOKUP($E34,Lists!$W$92:$AA$109,5,FALSE),VLOOKUP($E34,Table3[#All],5,FALSE)),"")</f>
        <v/>
      </c>
      <c r="H34" s="155"/>
      <c r="I34" s="155"/>
      <c r="J34" s="155"/>
      <c r="K34" s="155"/>
      <c r="L34" s="155"/>
      <c r="M34" s="155"/>
      <c r="N34" s="166" t="str">
        <f>IFERROR(IF(OR(Path="Section 11 ECB",Path="2024 GHG Limit"), VLOOKUP($E34,Lists!$W$92:$Z$109,2,FALSE),VLOOKUP($E34,Table3[#All],7,FALSE)),"")</f>
        <v/>
      </c>
      <c r="O34" s="155"/>
      <c r="P34" s="155"/>
      <c r="Q34" s="155"/>
      <c r="R34" s="155"/>
      <c r="S34" s="155"/>
      <c r="T34" s="155"/>
      <c r="U34" s="155"/>
    </row>
    <row r="35" spans="2:21">
      <c r="B35" s="166" t="str">
        <f>IF('6i. Actual Building Zone HVAC'!A35="","",'6i. Actual Building Zone HVAC'!A35)</f>
        <v/>
      </c>
      <c r="C35" s="111"/>
      <c r="D35" s="166" t="str">
        <f>IFERROR(IF(Path="Appendix G PRM", VLOOKUP('6i. Actual Building Zone HVAC'!C35,Lists!$A$78:$B$86,2,FALSE),IFERROR(VLOOKUP(CONCATENATE('6i. Actual Building Zone HVAC'!$I$3:$I$50,'6i. Actual Building Zone HVAC'!$F$3:$F$50,'6i. Actual Building Zone HVAC'!$E$3:$E$50), Lists!$S$92:$W$109,5,FALSE),"")),"")</f>
        <v/>
      </c>
      <c r="E35" s="166" t="str">
        <f>IFERROR(IF(Path="Appendix G PRM", VLOOKUP($C35,Lists!$A$78:$B$86,2,FALSE),D35),"")</f>
        <v/>
      </c>
      <c r="F35" s="166" t="str">
        <f>IFERROR(IF(OR(Path="Section 11 ECB",Path="2024 GHG Limit"), VLOOKUP($E35,Lists!$W$92:$Z$109,3,FALSE),VLOOKUP($E35,Table3[#All],6,FALSE)),"")</f>
        <v/>
      </c>
      <c r="G35" s="166" t="str">
        <f>IFERROR(IF(OR(Path="Section 11 ECB",Path="2024 GHG Limit"), VLOOKUP($E35,Lists!$W$92:$AA$109,5,FALSE),VLOOKUP($E35,Table3[#All],5,FALSE)),"")</f>
        <v/>
      </c>
      <c r="H35" s="155"/>
      <c r="I35" s="155"/>
      <c r="J35" s="155"/>
      <c r="K35" s="155"/>
      <c r="L35" s="155"/>
      <c r="M35" s="155"/>
      <c r="N35" s="166" t="str">
        <f>IFERROR(IF(OR(Path="Section 11 ECB",Path="2024 GHG Limit"), VLOOKUP($E35,Lists!$W$92:$Z$109,2,FALSE),VLOOKUP($E35,Table3[#All],7,FALSE)),"")</f>
        <v/>
      </c>
      <c r="O35" s="155"/>
      <c r="P35" s="155"/>
      <c r="Q35" s="155"/>
      <c r="R35" s="155"/>
      <c r="S35" s="155"/>
      <c r="T35" s="155"/>
      <c r="U35" s="155"/>
    </row>
    <row r="36" spans="2:21">
      <c r="B36" s="166" t="str">
        <f>IF('6i. Actual Building Zone HVAC'!A36="","",'6i. Actual Building Zone HVAC'!A36)</f>
        <v/>
      </c>
      <c r="C36" s="111"/>
      <c r="D36" s="166" t="str">
        <f>IFERROR(IF(Path="Appendix G PRM", VLOOKUP('6i. Actual Building Zone HVAC'!C36,Lists!$A$78:$B$86,2,FALSE),IFERROR(VLOOKUP(CONCATENATE('6i. Actual Building Zone HVAC'!$I$3:$I$50,'6i. Actual Building Zone HVAC'!$F$3:$F$50,'6i. Actual Building Zone HVAC'!$E$3:$E$50), Lists!$S$92:$W$109,5,FALSE),"")),"")</f>
        <v/>
      </c>
      <c r="E36" s="166" t="str">
        <f>IFERROR(IF(Path="Appendix G PRM", VLOOKUP($C36,Lists!$A$78:$B$86,2,FALSE),D36),"")</f>
        <v/>
      </c>
      <c r="F36" s="166" t="str">
        <f>IFERROR(IF(OR(Path="Section 11 ECB",Path="2024 GHG Limit"), VLOOKUP($E36,Lists!$W$92:$Z$109,3,FALSE),VLOOKUP($E36,Table3[#All],6,FALSE)),"")</f>
        <v/>
      </c>
      <c r="G36" s="166" t="str">
        <f>IFERROR(IF(OR(Path="Section 11 ECB",Path="2024 GHG Limit"), VLOOKUP($E36,Lists!$W$92:$AA$109,5,FALSE),VLOOKUP($E36,Table3[#All],5,FALSE)),"")</f>
        <v/>
      </c>
      <c r="H36" s="155"/>
      <c r="I36" s="155"/>
      <c r="J36" s="155"/>
      <c r="K36" s="155"/>
      <c r="L36" s="155"/>
      <c r="M36" s="155"/>
      <c r="N36" s="166" t="str">
        <f>IFERROR(IF(OR(Path="Section 11 ECB",Path="2024 GHG Limit"), VLOOKUP($E36,Lists!$W$92:$Z$109,2,FALSE),VLOOKUP($E36,Table3[#All],7,FALSE)),"")</f>
        <v/>
      </c>
      <c r="O36" s="155"/>
      <c r="P36" s="155"/>
      <c r="Q36" s="155"/>
      <c r="R36" s="155"/>
      <c r="S36" s="155"/>
      <c r="T36" s="155"/>
      <c r="U36" s="155"/>
    </row>
    <row r="37" spans="2:21">
      <c r="B37" s="166" t="str">
        <f>IF('6i. Actual Building Zone HVAC'!A37="","",'6i. Actual Building Zone HVAC'!A37)</f>
        <v/>
      </c>
      <c r="C37" s="111"/>
      <c r="D37" s="166" t="str">
        <f>IFERROR(IF(Path="Appendix G PRM", VLOOKUP('6i. Actual Building Zone HVAC'!C37,Lists!$A$78:$B$86,2,FALSE),IFERROR(VLOOKUP(CONCATENATE('6i. Actual Building Zone HVAC'!$I$3:$I$50,'6i. Actual Building Zone HVAC'!$F$3:$F$50,'6i. Actual Building Zone HVAC'!$E$3:$E$50), Lists!$S$92:$W$109,5,FALSE),"")),"")</f>
        <v/>
      </c>
      <c r="E37" s="166" t="str">
        <f>IFERROR(IF(Path="Appendix G PRM", VLOOKUP($C37,Lists!$A$78:$B$86,2,FALSE),D37),"")</f>
        <v/>
      </c>
      <c r="F37" s="166" t="str">
        <f>IFERROR(IF(OR(Path="Section 11 ECB",Path="2024 GHG Limit"), VLOOKUP($E37,Lists!$W$92:$Z$109,3,FALSE),VLOOKUP($E37,Table3[#All],6,FALSE)),"")</f>
        <v/>
      </c>
      <c r="G37" s="166" t="str">
        <f>IFERROR(IF(OR(Path="Section 11 ECB",Path="2024 GHG Limit"), VLOOKUP($E37,Lists!$W$92:$AA$109,5,FALSE),VLOOKUP($E37,Table3[#All],5,FALSE)),"")</f>
        <v/>
      </c>
      <c r="H37" s="155"/>
      <c r="I37" s="155"/>
      <c r="J37" s="155"/>
      <c r="K37" s="155"/>
      <c r="L37" s="155"/>
      <c r="M37" s="155"/>
      <c r="N37" s="166" t="str">
        <f>IFERROR(IF(OR(Path="Section 11 ECB",Path="2024 GHG Limit"), VLOOKUP($E37,Lists!$W$92:$Z$109,2,FALSE),VLOOKUP($E37,Table3[#All],7,FALSE)),"")</f>
        <v/>
      </c>
      <c r="O37" s="155"/>
      <c r="P37" s="155"/>
      <c r="Q37" s="155"/>
      <c r="R37" s="155"/>
      <c r="S37" s="155"/>
      <c r="T37" s="155"/>
      <c r="U37" s="155"/>
    </row>
    <row r="38" spans="2:21">
      <c r="B38" s="166" t="str">
        <f>IF('6i. Actual Building Zone HVAC'!A38="","",'6i. Actual Building Zone HVAC'!A38)</f>
        <v/>
      </c>
      <c r="C38" s="111"/>
      <c r="D38" s="166" t="str">
        <f>IFERROR(IF(Path="Appendix G PRM", VLOOKUP('6i. Actual Building Zone HVAC'!C38,Lists!$A$78:$B$86,2,FALSE),IFERROR(VLOOKUP(CONCATENATE('6i. Actual Building Zone HVAC'!$I$3:$I$50,'6i. Actual Building Zone HVAC'!$F$3:$F$50,'6i. Actual Building Zone HVAC'!$E$3:$E$50), Lists!$S$92:$W$109,5,FALSE),"")),"")</f>
        <v/>
      </c>
      <c r="E38" s="166" t="str">
        <f>IFERROR(IF(Path="Appendix G PRM", VLOOKUP($C38,Lists!$A$78:$B$86,2,FALSE),D38),"")</f>
        <v/>
      </c>
      <c r="F38" s="166" t="str">
        <f>IFERROR(IF(OR(Path="Section 11 ECB",Path="2024 GHG Limit"), VLOOKUP($E38,Lists!$W$92:$Z$109,3,FALSE),VLOOKUP($E38,Table3[#All],6,FALSE)),"")</f>
        <v/>
      </c>
      <c r="G38" s="166" t="str">
        <f>IFERROR(IF(OR(Path="Section 11 ECB",Path="2024 GHG Limit"), VLOOKUP($E38,Lists!$W$92:$AA$109,5,FALSE),VLOOKUP($E38,Table3[#All],5,FALSE)),"")</f>
        <v/>
      </c>
      <c r="H38" s="155"/>
      <c r="I38" s="155"/>
      <c r="J38" s="155"/>
      <c r="K38" s="155"/>
      <c r="L38" s="155"/>
      <c r="M38" s="155"/>
      <c r="N38" s="166" t="str">
        <f>IFERROR(IF(OR(Path="Section 11 ECB",Path="2024 GHG Limit"), VLOOKUP($E38,Lists!$W$92:$Z$109,2,FALSE),VLOOKUP($E38,Table3[#All],7,FALSE)),"")</f>
        <v/>
      </c>
      <c r="O38" s="155"/>
      <c r="P38" s="155"/>
      <c r="Q38" s="155"/>
      <c r="R38" s="155"/>
      <c r="S38" s="155"/>
      <c r="T38" s="155"/>
      <c r="U38" s="155"/>
    </row>
    <row r="39" spans="2:21">
      <c r="B39" s="166" t="str">
        <f>IF('6i. Actual Building Zone HVAC'!A39="","",'6i. Actual Building Zone HVAC'!A39)</f>
        <v/>
      </c>
      <c r="C39" s="111"/>
      <c r="D39" s="166" t="str">
        <f>IFERROR(IF(Path="Appendix G PRM", VLOOKUP('6i. Actual Building Zone HVAC'!C39,Lists!$A$78:$B$86,2,FALSE),IFERROR(VLOOKUP(CONCATENATE('6i. Actual Building Zone HVAC'!$I$3:$I$50,'6i. Actual Building Zone HVAC'!$F$3:$F$50,'6i. Actual Building Zone HVAC'!$E$3:$E$50), Lists!$S$92:$W$109,5,FALSE),"")),"")</f>
        <v/>
      </c>
      <c r="E39" s="166" t="str">
        <f>IFERROR(IF(Path="Appendix G PRM", VLOOKUP($C39,Lists!$A$78:$B$86,2,FALSE),D39),"")</f>
        <v/>
      </c>
      <c r="F39" s="166" t="str">
        <f>IFERROR(IF(OR(Path="Section 11 ECB",Path="2024 GHG Limit"), VLOOKUP($E39,Lists!$W$92:$Z$109,3,FALSE),VLOOKUP($E39,Table3[#All],6,FALSE)),"")</f>
        <v/>
      </c>
      <c r="G39" s="166" t="str">
        <f>IFERROR(IF(OR(Path="Section 11 ECB",Path="2024 GHG Limit"), VLOOKUP($E39,Lists!$W$92:$AA$109,5,FALSE),VLOOKUP($E39,Table3[#All],5,FALSE)),"")</f>
        <v/>
      </c>
      <c r="H39" s="155"/>
      <c r="I39" s="155"/>
      <c r="J39" s="155"/>
      <c r="K39" s="155"/>
      <c r="L39" s="155"/>
      <c r="M39" s="155"/>
      <c r="N39" s="166" t="str">
        <f>IFERROR(IF(OR(Path="Section 11 ECB",Path="2024 GHG Limit"), VLOOKUP($E39,Lists!$W$92:$Z$109,2,FALSE),VLOOKUP($E39,Table3[#All],7,FALSE)),"")</f>
        <v/>
      </c>
      <c r="O39" s="155"/>
      <c r="P39" s="155"/>
      <c r="Q39" s="155"/>
      <c r="R39" s="155"/>
      <c r="S39" s="155"/>
      <c r="T39" s="155"/>
      <c r="U39" s="155"/>
    </row>
    <row r="40" spans="2:21">
      <c r="B40" s="166" t="str">
        <f>IF('6i. Actual Building Zone HVAC'!A40="","",'6i. Actual Building Zone HVAC'!A40)</f>
        <v/>
      </c>
      <c r="C40" s="111"/>
      <c r="D40" s="166" t="str">
        <f>IFERROR(IF(Path="Appendix G PRM", VLOOKUP('6i. Actual Building Zone HVAC'!C40,Lists!$A$78:$B$86,2,FALSE),IFERROR(VLOOKUP(CONCATENATE('6i. Actual Building Zone HVAC'!$I$3:$I$50,'6i. Actual Building Zone HVAC'!$F$3:$F$50,'6i. Actual Building Zone HVAC'!$E$3:$E$50), Lists!$S$92:$W$109,5,FALSE),"")),"")</f>
        <v/>
      </c>
      <c r="E40" s="166" t="str">
        <f>IFERROR(IF(Path="Appendix G PRM", VLOOKUP($C40,Lists!$A$78:$B$86,2,FALSE),D40),"")</f>
        <v/>
      </c>
      <c r="F40" s="166" t="str">
        <f>IFERROR(IF(OR(Path="Section 11 ECB",Path="2024 GHG Limit"), VLOOKUP($E40,Lists!$W$92:$Z$109,3,FALSE),VLOOKUP($E40,Table3[#All],6,FALSE)),"")</f>
        <v/>
      </c>
      <c r="G40" s="166" t="str">
        <f>IFERROR(IF(OR(Path="Section 11 ECB",Path="2024 GHG Limit"), VLOOKUP($E40,Lists!$W$92:$AA$109,5,FALSE),VLOOKUP($E40,Table3[#All],5,FALSE)),"")</f>
        <v/>
      </c>
      <c r="H40" s="155"/>
      <c r="I40" s="155"/>
      <c r="J40" s="155"/>
      <c r="K40" s="155"/>
      <c r="L40" s="155"/>
      <c r="M40" s="155"/>
      <c r="N40" s="166" t="str">
        <f>IFERROR(IF(OR(Path="Section 11 ECB",Path="2024 GHG Limit"), VLOOKUP($E40,Lists!$W$92:$Z$109,2,FALSE),VLOOKUP($E40,Table3[#All],7,FALSE)),"")</f>
        <v/>
      </c>
      <c r="O40" s="155"/>
      <c r="P40" s="155"/>
      <c r="Q40" s="155"/>
      <c r="R40" s="155"/>
      <c r="S40" s="155"/>
      <c r="T40" s="155"/>
      <c r="U40" s="155"/>
    </row>
    <row r="41" spans="2:21">
      <c r="B41" s="166" t="str">
        <f>IF('6i. Actual Building Zone HVAC'!A41="","",'6i. Actual Building Zone HVAC'!A41)</f>
        <v/>
      </c>
      <c r="C41" s="111"/>
      <c r="D41" s="166" t="str">
        <f>IFERROR(IF(Path="Appendix G PRM", VLOOKUP('6i. Actual Building Zone HVAC'!C41,Lists!$A$78:$B$86,2,FALSE),IFERROR(VLOOKUP(CONCATENATE('6i. Actual Building Zone HVAC'!$I$3:$I$50,'6i. Actual Building Zone HVAC'!$F$3:$F$50,'6i. Actual Building Zone HVAC'!$E$3:$E$50), Lists!$S$92:$W$109,5,FALSE),"")),"")</f>
        <v/>
      </c>
      <c r="E41" s="166" t="str">
        <f>IFERROR(IF(Path="Appendix G PRM", VLOOKUP($C41,Lists!$A$78:$B$86,2,FALSE),D41),"")</f>
        <v/>
      </c>
      <c r="F41" s="166" t="str">
        <f>IFERROR(IF(OR(Path="Section 11 ECB",Path="2024 GHG Limit"), VLOOKUP($E41,Lists!$W$92:$Z$109,3,FALSE),VLOOKUP($E41,Table3[#All],6,FALSE)),"")</f>
        <v/>
      </c>
      <c r="G41" s="166" t="str">
        <f>IFERROR(IF(OR(Path="Section 11 ECB",Path="2024 GHG Limit"), VLOOKUP($E41,Lists!$W$92:$AA$109,5,FALSE),VLOOKUP($E41,Table3[#All],5,FALSE)),"")</f>
        <v/>
      </c>
      <c r="H41" s="155"/>
      <c r="I41" s="155"/>
      <c r="J41" s="155"/>
      <c r="K41" s="155"/>
      <c r="L41" s="155"/>
      <c r="M41" s="155"/>
      <c r="N41" s="166" t="str">
        <f>IFERROR(IF(OR(Path="Section 11 ECB",Path="2024 GHG Limit"), VLOOKUP($E41,Lists!$W$92:$Z$109,2,FALSE),VLOOKUP($E41,Table3[#All],7,FALSE)),"")</f>
        <v/>
      </c>
      <c r="O41" s="155"/>
      <c r="P41" s="155"/>
      <c r="Q41" s="155"/>
      <c r="R41" s="155"/>
      <c r="S41" s="155"/>
      <c r="T41" s="155"/>
      <c r="U41" s="155"/>
    </row>
    <row r="42" spans="2:21">
      <c r="B42" s="166" t="str">
        <f>IF('6i. Actual Building Zone HVAC'!A42="","",'6i. Actual Building Zone HVAC'!A42)</f>
        <v/>
      </c>
      <c r="C42" s="111"/>
      <c r="D42" s="166" t="str">
        <f>IFERROR(IF(Path="Appendix G PRM", VLOOKUP('6i. Actual Building Zone HVAC'!C42,Lists!$A$78:$B$86,2,FALSE),IFERROR(VLOOKUP(CONCATENATE('6i. Actual Building Zone HVAC'!$I$3:$I$50,'6i. Actual Building Zone HVAC'!$F$3:$F$50,'6i. Actual Building Zone HVAC'!$E$3:$E$50), Lists!$S$92:$W$109,5,FALSE),"")),"")</f>
        <v/>
      </c>
      <c r="E42" s="166" t="str">
        <f>IFERROR(IF(Path="Appendix G PRM", VLOOKUP($C42,Lists!$A$78:$B$86,2,FALSE),D42),"")</f>
        <v/>
      </c>
      <c r="F42" s="166" t="str">
        <f>IFERROR(IF(OR(Path="Section 11 ECB",Path="2024 GHG Limit"), VLOOKUP($E42,Lists!$W$92:$Z$109,3,FALSE),VLOOKUP($E42,Table3[#All],6,FALSE)),"")</f>
        <v/>
      </c>
      <c r="G42" s="166" t="str">
        <f>IFERROR(IF(OR(Path="Section 11 ECB",Path="2024 GHG Limit"), VLOOKUP($E42,Lists!$W$92:$AA$109,5,FALSE),VLOOKUP($E42,Table3[#All],5,FALSE)),"")</f>
        <v/>
      </c>
      <c r="H42" s="155"/>
      <c r="I42" s="155"/>
      <c r="J42" s="155"/>
      <c r="K42" s="155"/>
      <c r="L42" s="155"/>
      <c r="M42" s="155"/>
      <c r="N42" s="166" t="str">
        <f>IFERROR(IF(OR(Path="Section 11 ECB",Path="2024 GHG Limit"), VLOOKUP($E42,Lists!$W$92:$Z$109,2,FALSE),VLOOKUP($E42,Table3[#All],7,FALSE)),"")</f>
        <v/>
      </c>
      <c r="O42" s="155"/>
      <c r="P42" s="155"/>
      <c r="Q42" s="155"/>
      <c r="R42" s="155"/>
      <c r="S42" s="155"/>
      <c r="T42" s="155"/>
      <c r="U42" s="155"/>
    </row>
    <row r="43" spans="2:21">
      <c r="B43" s="166" t="str">
        <f>IF('6i. Actual Building Zone HVAC'!A43="","",'6i. Actual Building Zone HVAC'!A43)</f>
        <v/>
      </c>
      <c r="C43" s="111"/>
      <c r="D43" s="166" t="str">
        <f>IFERROR(IF(Path="Appendix G PRM", VLOOKUP('6i. Actual Building Zone HVAC'!C43,Lists!$A$78:$B$86,2,FALSE),IFERROR(VLOOKUP(CONCATENATE('6i. Actual Building Zone HVAC'!$I$3:$I$50,'6i. Actual Building Zone HVAC'!$F$3:$F$50,'6i. Actual Building Zone HVAC'!$E$3:$E$50), Lists!$S$92:$W$109,5,FALSE),"")),"")</f>
        <v/>
      </c>
      <c r="E43" s="166" t="str">
        <f>IFERROR(IF(Path="Appendix G PRM", VLOOKUP($C43,Lists!$A$78:$B$86,2,FALSE),D43),"")</f>
        <v/>
      </c>
      <c r="F43" s="166" t="str">
        <f>IFERROR(IF(OR(Path="Section 11 ECB",Path="2024 GHG Limit"), VLOOKUP($E43,Lists!$W$92:$Z$109,3,FALSE),VLOOKUP($E43,Table3[#All],6,FALSE)),"")</f>
        <v/>
      </c>
      <c r="G43" s="166" t="str">
        <f>IFERROR(IF(OR(Path="Section 11 ECB",Path="2024 GHG Limit"), VLOOKUP($E43,Lists!$W$92:$AA$109,5,FALSE),VLOOKUP($E43,Table3[#All],5,FALSE)),"")</f>
        <v/>
      </c>
      <c r="H43" s="155"/>
      <c r="I43" s="155"/>
      <c r="J43" s="155"/>
      <c r="K43" s="155"/>
      <c r="L43" s="155"/>
      <c r="M43" s="155"/>
      <c r="N43" s="166" t="str">
        <f>IFERROR(IF(OR(Path="Section 11 ECB",Path="2024 GHG Limit"), VLOOKUP($E43,Lists!$W$92:$Z$109,2,FALSE),VLOOKUP($E43,Table3[#All],7,FALSE)),"")</f>
        <v/>
      </c>
      <c r="O43" s="155"/>
      <c r="P43" s="155"/>
      <c r="Q43" s="155"/>
      <c r="R43" s="155"/>
      <c r="S43" s="155"/>
      <c r="T43" s="155"/>
      <c r="U43" s="155"/>
    </row>
    <row r="44" spans="2:21">
      <c r="B44" s="166" t="str">
        <f>IF('6i. Actual Building Zone HVAC'!A44="","",'6i. Actual Building Zone HVAC'!A44)</f>
        <v/>
      </c>
      <c r="C44" s="111"/>
      <c r="D44" s="166" t="str">
        <f>IFERROR(IF(Path="Appendix G PRM", VLOOKUP('6i. Actual Building Zone HVAC'!C44,Lists!$A$78:$B$86,2,FALSE),IFERROR(VLOOKUP(CONCATENATE('6i. Actual Building Zone HVAC'!$I$3:$I$50,'6i. Actual Building Zone HVAC'!$F$3:$F$50,'6i. Actual Building Zone HVAC'!$E$3:$E$50), Lists!$S$92:$W$109,5,FALSE),"")),"")</f>
        <v/>
      </c>
      <c r="E44" s="166" t="str">
        <f>IFERROR(IF(Path="Appendix G PRM", VLOOKUP($C44,Lists!$A$78:$B$86,2,FALSE),D44),"")</f>
        <v/>
      </c>
      <c r="F44" s="166" t="str">
        <f>IFERROR(IF(OR(Path="Section 11 ECB",Path="2024 GHG Limit"), VLOOKUP($E44,Lists!$W$92:$Z$109,3,FALSE),VLOOKUP($E44,Table3[#All],6,FALSE)),"")</f>
        <v/>
      </c>
      <c r="G44" s="166" t="str">
        <f>IFERROR(IF(OR(Path="Section 11 ECB",Path="2024 GHG Limit"), VLOOKUP($E44,Lists!$W$92:$AA$109,5,FALSE),VLOOKUP($E44,Table3[#All],5,FALSE)),"")</f>
        <v/>
      </c>
      <c r="H44" s="155"/>
      <c r="I44" s="155"/>
      <c r="J44" s="155"/>
      <c r="K44" s="155"/>
      <c r="L44" s="155"/>
      <c r="M44" s="155"/>
      <c r="N44" s="166" t="str">
        <f>IFERROR(IF(OR(Path="Section 11 ECB",Path="2024 GHG Limit"), VLOOKUP($E44,Lists!$W$92:$Z$109,2,FALSE),VLOOKUP($E44,Table3[#All],7,FALSE)),"")</f>
        <v/>
      </c>
      <c r="O44" s="155"/>
      <c r="P44" s="155"/>
      <c r="Q44" s="155"/>
      <c r="R44" s="155"/>
      <c r="S44" s="155"/>
      <c r="T44" s="155"/>
      <c r="U44" s="155"/>
    </row>
    <row r="45" spans="2:21">
      <c r="B45" s="166" t="str">
        <f>IF('6i. Actual Building Zone HVAC'!A45="","",'6i. Actual Building Zone HVAC'!A45)</f>
        <v/>
      </c>
      <c r="C45" s="111"/>
      <c r="D45" s="166" t="str">
        <f>IFERROR(IF(Path="Appendix G PRM", VLOOKUP('6i. Actual Building Zone HVAC'!C45,Lists!$A$78:$B$86,2,FALSE),IFERROR(VLOOKUP(CONCATENATE('6i. Actual Building Zone HVAC'!$I$3:$I$50,'6i. Actual Building Zone HVAC'!$F$3:$F$50,'6i. Actual Building Zone HVAC'!$E$3:$E$50), Lists!$S$92:$W$109,5,FALSE),"")),"")</f>
        <v/>
      </c>
      <c r="E45" s="166" t="str">
        <f>IFERROR(IF(Path="Appendix G PRM", VLOOKUP($C45,Lists!$A$78:$B$86,2,FALSE),D45),"")</f>
        <v/>
      </c>
      <c r="F45" s="166" t="str">
        <f>IFERROR(IF(OR(Path="Section 11 ECB",Path="2024 GHG Limit"), VLOOKUP($E45,Lists!$W$92:$Z$109,3,FALSE),VLOOKUP($E45,Table3[#All],6,FALSE)),"")</f>
        <v/>
      </c>
      <c r="G45" s="166" t="str">
        <f>IFERROR(IF(OR(Path="Section 11 ECB",Path="2024 GHG Limit"), VLOOKUP($E45,Lists!$W$92:$AA$109,5,FALSE),VLOOKUP($E45,Table3[#All],5,FALSE)),"")</f>
        <v/>
      </c>
      <c r="H45" s="155"/>
      <c r="I45" s="155"/>
      <c r="J45" s="155"/>
      <c r="K45" s="155"/>
      <c r="L45" s="155"/>
      <c r="M45" s="155"/>
      <c r="N45" s="166" t="str">
        <f>IFERROR(IF(OR(Path="Section 11 ECB",Path="2024 GHG Limit"), VLOOKUP($E45,Lists!$W$92:$Z$109,2,FALSE),VLOOKUP($E45,Table3[#All],7,FALSE)),"")</f>
        <v/>
      </c>
      <c r="O45" s="155"/>
      <c r="P45" s="155"/>
      <c r="Q45" s="155"/>
      <c r="R45" s="155"/>
      <c r="S45" s="155"/>
      <c r="T45" s="155"/>
      <c r="U45" s="155"/>
    </row>
    <row r="46" spans="2:21">
      <c r="B46" s="166" t="str">
        <f>IF('6i. Actual Building Zone HVAC'!A46="","",'6i. Actual Building Zone HVAC'!A46)</f>
        <v/>
      </c>
      <c r="C46" s="111"/>
      <c r="D46" s="166" t="str">
        <f>IFERROR(IF(Path="Appendix G PRM", VLOOKUP('6i. Actual Building Zone HVAC'!C46,Lists!$A$78:$B$86,2,FALSE),IFERROR(VLOOKUP(CONCATENATE('6i. Actual Building Zone HVAC'!$I$3:$I$50,'6i. Actual Building Zone HVAC'!$F$3:$F$50,'6i. Actual Building Zone HVAC'!$E$3:$E$50), Lists!$S$92:$W$109,5,FALSE),"")),"")</f>
        <v/>
      </c>
      <c r="E46" s="166" t="str">
        <f>IFERROR(IF(Path="Appendix G PRM", VLOOKUP($C46,Lists!$A$78:$B$86,2,FALSE),D46),"")</f>
        <v/>
      </c>
      <c r="F46" s="166" t="str">
        <f>IFERROR(IF(OR(Path="Section 11 ECB",Path="2024 GHG Limit"), VLOOKUP($E46,Lists!$W$92:$Z$109,3,FALSE),VLOOKUP($E46,Table3[#All],6,FALSE)),"")</f>
        <v/>
      </c>
      <c r="G46" s="166" t="str">
        <f>IFERROR(IF(OR(Path="Section 11 ECB",Path="2024 GHG Limit"), VLOOKUP($E46,Lists!$W$92:$AA$109,5,FALSE),VLOOKUP($E46,Table3[#All],5,FALSE)),"")</f>
        <v/>
      </c>
      <c r="H46" s="155"/>
      <c r="I46" s="155"/>
      <c r="J46" s="155"/>
      <c r="K46" s="155"/>
      <c r="L46" s="155"/>
      <c r="M46" s="155"/>
      <c r="N46" s="166" t="str">
        <f>IFERROR(IF(OR(Path="Section 11 ECB",Path="2024 GHG Limit"), VLOOKUP($E46,Lists!$W$92:$Z$109,2,FALSE),VLOOKUP($E46,Table3[#All],7,FALSE)),"")</f>
        <v/>
      </c>
      <c r="O46" s="155"/>
      <c r="P46" s="155"/>
      <c r="Q46" s="155"/>
      <c r="R46" s="155"/>
      <c r="S46" s="155"/>
      <c r="T46" s="155"/>
      <c r="U46" s="155"/>
    </row>
    <row r="47" spans="2:21">
      <c r="B47" s="166" t="str">
        <f>IF('6i. Actual Building Zone HVAC'!A47="","",'6i. Actual Building Zone HVAC'!A47)</f>
        <v/>
      </c>
      <c r="C47" s="111"/>
      <c r="D47" s="166" t="str">
        <f>IFERROR(IF(Path="Appendix G PRM", VLOOKUP('6i. Actual Building Zone HVAC'!C47,Lists!$A$78:$B$86,2,FALSE),IFERROR(VLOOKUP(CONCATENATE('6i. Actual Building Zone HVAC'!$I$3:$I$50,'6i. Actual Building Zone HVAC'!$F$3:$F$50,'6i. Actual Building Zone HVAC'!$E$3:$E$50), Lists!$S$92:$W$109,5,FALSE),"")),"")</f>
        <v/>
      </c>
      <c r="E47" s="166" t="str">
        <f>IFERROR(IF(Path="Appendix G PRM", VLOOKUP($C47,Lists!$A$78:$B$86,2,FALSE),D47),"")</f>
        <v/>
      </c>
      <c r="F47" s="166" t="str">
        <f>IFERROR(IF(OR(Path="Section 11 ECB",Path="2024 GHG Limit"), VLOOKUP($E47,Lists!$W$92:$Z$109,3,FALSE),VLOOKUP($E47,Table3[#All],6,FALSE)),"")</f>
        <v/>
      </c>
      <c r="G47" s="166" t="str">
        <f>IFERROR(IF(OR(Path="Section 11 ECB",Path="2024 GHG Limit"), VLOOKUP($E47,Lists!$W$92:$AA$109,5,FALSE),VLOOKUP($E47,Table3[#All],5,FALSE)),"")</f>
        <v/>
      </c>
      <c r="H47" s="155"/>
      <c r="I47" s="155"/>
      <c r="J47" s="155"/>
      <c r="K47" s="155"/>
      <c r="L47" s="155"/>
      <c r="M47" s="155"/>
      <c r="N47" s="166" t="str">
        <f>IFERROR(IF(OR(Path="Section 11 ECB",Path="2024 GHG Limit"), VLOOKUP($E47,Lists!$W$92:$Z$109,2,FALSE),VLOOKUP($E47,Table3[#All],7,FALSE)),"")</f>
        <v/>
      </c>
      <c r="O47" s="155"/>
      <c r="P47" s="155"/>
      <c r="Q47" s="155"/>
      <c r="R47" s="155"/>
      <c r="S47" s="155"/>
      <c r="T47" s="155"/>
      <c r="U47" s="155"/>
    </row>
    <row r="48" spans="2:21">
      <c r="B48" s="166" t="str">
        <f>IF('6i. Actual Building Zone HVAC'!A48="","",'6i. Actual Building Zone HVAC'!A48)</f>
        <v/>
      </c>
      <c r="C48" s="111"/>
      <c r="D48" s="166" t="str">
        <f>IFERROR(IF(Path="Appendix G PRM", VLOOKUP('6i. Actual Building Zone HVAC'!C48,Lists!$A$78:$B$86,2,FALSE),IFERROR(VLOOKUP(CONCATENATE('6i. Actual Building Zone HVAC'!$I$3:$I$50,'6i. Actual Building Zone HVAC'!$F$3:$F$50,'6i. Actual Building Zone HVAC'!$E$3:$E$50), Lists!$S$92:$W$109,5,FALSE),"")),"")</f>
        <v/>
      </c>
      <c r="E48" s="166" t="str">
        <f>IFERROR(IF(Path="Appendix G PRM", VLOOKUP($C48,Lists!$A$78:$B$86,2,FALSE),D48),"")</f>
        <v/>
      </c>
      <c r="F48" s="166" t="str">
        <f>IFERROR(IF(OR(Path="Section 11 ECB",Path="2024 GHG Limit"), VLOOKUP($E48,Lists!$W$92:$Z$109,3,FALSE),VLOOKUP($E48,Table3[#All],6,FALSE)),"")</f>
        <v/>
      </c>
      <c r="G48" s="166" t="str">
        <f>IFERROR(IF(OR(Path="Section 11 ECB",Path="2024 GHG Limit"), VLOOKUP($E48,Lists!$W$92:$AA$109,5,FALSE),VLOOKUP($E48,Table3[#All],5,FALSE)),"")</f>
        <v/>
      </c>
      <c r="H48" s="155"/>
      <c r="I48" s="155"/>
      <c r="J48" s="155"/>
      <c r="K48" s="155"/>
      <c r="L48" s="155"/>
      <c r="M48" s="155"/>
      <c r="N48" s="166" t="str">
        <f>IFERROR(IF(OR(Path="Section 11 ECB",Path="2024 GHG Limit"), VLOOKUP($E48,Lists!$W$92:$Z$109,2,FALSE),VLOOKUP($E48,Table3[#All],7,FALSE)),"")</f>
        <v/>
      </c>
      <c r="O48" s="155"/>
      <c r="P48" s="155"/>
      <c r="Q48" s="155"/>
      <c r="R48" s="155"/>
      <c r="S48" s="155"/>
      <c r="T48" s="155"/>
      <c r="U48" s="155"/>
    </row>
    <row r="49" spans="2:21">
      <c r="B49" s="166" t="str">
        <f>IF('6i. Actual Building Zone HVAC'!A49="","",'6i. Actual Building Zone HVAC'!A49)</f>
        <v/>
      </c>
      <c r="C49" s="111"/>
      <c r="D49" s="166" t="str">
        <f>IFERROR(IF(Path="Appendix G PRM", VLOOKUP('6i. Actual Building Zone HVAC'!C49,Lists!$A$78:$B$86,2,FALSE),IFERROR(VLOOKUP(CONCATENATE('6i. Actual Building Zone HVAC'!$I$3:$I$50,'6i. Actual Building Zone HVAC'!$F$3:$F$50,'6i. Actual Building Zone HVAC'!$E$3:$E$50), Lists!$S$92:$W$109,5,FALSE),"")),"")</f>
        <v/>
      </c>
      <c r="E49" s="166" t="str">
        <f>IFERROR(IF(Path="Appendix G PRM", VLOOKUP($C49,Lists!$A$78:$B$86,2,FALSE),D49),"")</f>
        <v/>
      </c>
      <c r="F49" s="166" t="str">
        <f>IFERROR(IF(OR(Path="Section 11 ECB",Path="2024 GHG Limit"), VLOOKUP($E49,Lists!$W$92:$Z$109,3,FALSE),VLOOKUP($E49,Table3[#All],6,FALSE)),"")</f>
        <v/>
      </c>
      <c r="G49" s="166" t="str">
        <f>IFERROR(IF(OR(Path="Section 11 ECB",Path="2024 GHG Limit"), VLOOKUP($E49,Lists!$W$92:$AA$109,5,FALSE),VLOOKUP($E49,Table3[#All],5,FALSE)),"")</f>
        <v/>
      </c>
      <c r="H49" s="155"/>
      <c r="I49" s="155"/>
      <c r="J49" s="155"/>
      <c r="K49" s="155"/>
      <c r="L49" s="155"/>
      <c r="M49" s="155"/>
      <c r="N49" s="166" t="str">
        <f>IFERROR(IF(OR(Path="Section 11 ECB",Path="2024 GHG Limit"), VLOOKUP($E49,Lists!$W$92:$Z$109,2,FALSE),VLOOKUP($E49,Table3[#All],7,FALSE)),"")</f>
        <v/>
      </c>
      <c r="O49" s="155"/>
      <c r="P49" s="155"/>
      <c r="Q49" s="155"/>
      <c r="R49" s="155"/>
      <c r="S49" s="155"/>
      <c r="T49" s="155"/>
      <c r="U49" s="155"/>
    </row>
    <row r="50" spans="2:21">
      <c r="B50" s="166" t="str">
        <f>IF('6i. Actual Building Zone HVAC'!A50="","",'6i. Actual Building Zone HVAC'!A50)</f>
        <v/>
      </c>
      <c r="C50" s="111"/>
      <c r="D50" s="166" t="str">
        <f>IFERROR(IF(Path="Appendix G PRM", VLOOKUP('6i. Actual Building Zone HVAC'!C50,Lists!$A$78:$B$86,2,FALSE),IFERROR(VLOOKUP(CONCATENATE('6i. Actual Building Zone HVAC'!$I$3:$I$50,'6i. Actual Building Zone HVAC'!$F$3:$F$50,'6i. Actual Building Zone HVAC'!$E$3:$E$50), Lists!$S$92:$W$109,5,FALSE),"")),"")</f>
        <v/>
      </c>
      <c r="E50" s="166" t="str">
        <f>IFERROR(IF(Path="Appendix G PRM", VLOOKUP($C50,Lists!$A$78:$B$86,2,FALSE),D50),"")</f>
        <v/>
      </c>
      <c r="F50" s="166" t="str">
        <f>IFERROR(IF(OR(Path="Section 11 ECB",Path="2024 GHG Limit"), VLOOKUP($E50,Lists!$W$92:$Z$109,3,FALSE),VLOOKUP($E50,Table3[#All],6,FALSE)),"")</f>
        <v/>
      </c>
      <c r="G50" s="166" t="str">
        <f>IFERROR(IF(OR(Path="Section 11 ECB",Path="2024 GHG Limit"), VLOOKUP($E50,Lists!$W$92:$AA$109,5,FALSE),VLOOKUP($E50,Table3[#All],5,FALSE)),"")</f>
        <v/>
      </c>
      <c r="H50" s="155"/>
      <c r="I50" s="155"/>
      <c r="J50" s="155"/>
      <c r="K50" s="155"/>
      <c r="L50" s="155"/>
      <c r="M50" s="155"/>
      <c r="N50" s="166" t="str">
        <f>IFERROR(IF(OR(Path="Section 11 ECB",Path="2024 GHG Limit"), VLOOKUP($E50,Lists!$W$92:$Z$109,2,FALSE),VLOOKUP($E50,Table3[#All],7,FALSE)),"")</f>
        <v/>
      </c>
      <c r="O50" s="155"/>
      <c r="P50" s="155"/>
      <c r="Q50" s="155"/>
      <c r="R50" s="155"/>
      <c r="S50" s="155"/>
      <c r="T50" s="155"/>
      <c r="U50" s="155"/>
    </row>
  </sheetData>
  <sheetProtection algorithmName="SHA-512" hashValue="9fYgLEuflG2dVgncnhtDvXX+1b4E07epYZOKUAp9mkMWi2ZtXCAtOfWfkCXMXv6ovaHk2PgJBp4XNGiqIjE8Zw==" saltValue="GWCTBISdFQ46mV74VeU9XQ==" spinCount="100000" sheet="1" objects="1" scenarios="1"/>
  <mergeCells count="9">
    <mergeCell ref="C1:D1"/>
    <mergeCell ref="E1:F1"/>
    <mergeCell ref="S1:S2"/>
    <mergeCell ref="T1:T2"/>
    <mergeCell ref="U1:U2"/>
    <mergeCell ref="J1:K1"/>
    <mergeCell ref="P1:R1"/>
    <mergeCell ref="G1:I1"/>
    <mergeCell ref="L1:O1"/>
  </mergeCells>
  <conditionalFormatting sqref="S3:T50">
    <cfRule type="containsBlanks" dxfId="43" priority="5">
      <formula>LEN(TRIM(S3))=0</formula>
    </cfRule>
  </conditionalFormatting>
  <conditionalFormatting sqref="C3:C50">
    <cfRule type="expression" dxfId="42" priority="6">
      <formula>"$D$2=""Section 11 ECB"""</formula>
    </cfRule>
  </conditionalFormatting>
  <conditionalFormatting sqref="H3:M50">
    <cfRule type="containsBlanks" dxfId="41" priority="3">
      <formula>LEN(TRIM(H3))=0</formula>
    </cfRule>
  </conditionalFormatting>
  <conditionalFormatting sqref="O3:R50">
    <cfRule type="containsBlanks" dxfId="40" priority="2">
      <formula>LEN(TRIM(O3))=0</formula>
    </cfRule>
  </conditionalFormatting>
  <conditionalFormatting sqref="U3:U50">
    <cfRule type="containsBlanks" dxfId="39" priority="1">
      <formula>LEN(TRIM(U3))=0</formula>
    </cfRule>
  </conditionalFormatting>
  <pageMargins left="0.4498611111111111" right="9.6805555555555561E-2" top="0.75" bottom="0.75" header="0.3" footer="0.3"/>
  <pageSetup scale="82" orientation="portrait" r:id="rId1"/>
  <headerFooter>
    <oddHeader>&amp;L&amp;G&amp;R&amp;"Liberation Sans,Bold"&amp;14&amp;K00247D
EN97A: GHG Adjustments Form</oddHeader>
    <oddFooter>&amp;L&amp;"Liberation Sans,Regular"Version 1.3&amp;R&amp;"Liberation Sans,Regular"February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76C980A8-96F6-41C0-BCE5-D98B59AE8524}">
          <x14:formula1>
            <xm:f>Lists!$A$78:$A$86</xm:f>
          </x14:formula1>
          <xm:sqref>C3:C50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961EA-B4E2-426A-A301-F9B92E33E29B}">
  <sheetPr codeName="Sheet45"/>
  <dimension ref="A1:O49"/>
  <sheetViews>
    <sheetView view="pageLayout" zoomScaleNormal="130" zoomScaleSheetLayoutView="89" workbookViewId="0">
      <selection activeCell="I4" sqref="I4"/>
    </sheetView>
  </sheetViews>
  <sheetFormatPr defaultColWidth="8.85546875" defaultRowHeight="14.25"/>
  <cols>
    <col min="1" max="1" width="2.7109375" style="94" customWidth="1"/>
    <col min="2" max="2" width="10.5703125" style="94" customWidth="1"/>
    <col min="3" max="3" width="11" style="94" customWidth="1"/>
    <col min="4" max="4" width="23.42578125" style="94" customWidth="1"/>
    <col min="5" max="5" width="18.28515625" style="94" customWidth="1"/>
    <col min="6" max="6" width="7" style="94" customWidth="1"/>
    <col min="7" max="7" width="11.42578125" style="94" customWidth="1"/>
    <col min="8" max="8" width="11.85546875" style="94" customWidth="1"/>
    <col min="9" max="9" width="14.42578125" style="94" customWidth="1"/>
    <col min="10" max="10" width="10.5703125" style="94" customWidth="1"/>
    <col min="11" max="13" width="8.85546875" style="94"/>
    <col min="14" max="14" width="19.42578125" style="94" customWidth="1"/>
    <col min="15" max="16384" width="8.85546875" style="94"/>
  </cols>
  <sheetData>
    <row r="1" spans="1:15" ht="15">
      <c r="B1" s="160"/>
      <c r="C1" s="160"/>
      <c r="D1" s="160"/>
      <c r="E1" s="160"/>
      <c r="F1" s="160"/>
      <c r="G1" s="160"/>
      <c r="H1" s="160"/>
      <c r="I1" s="160"/>
      <c r="J1" s="160"/>
    </row>
    <row r="2" spans="1:15">
      <c r="A2" s="153"/>
      <c r="B2" s="164" t="s">
        <v>854</v>
      </c>
      <c r="C2" s="459" t="s">
        <v>812</v>
      </c>
      <c r="D2" s="459"/>
      <c r="E2" s="164" t="s">
        <v>813</v>
      </c>
      <c r="F2" s="493" t="s">
        <v>814</v>
      </c>
      <c r="G2" s="493"/>
      <c r="H2" s="493"/>
      <c r="I2" s="493"/>
      <c r="J2" s="493"/>
      <c r="K2" s="484" t="s">
        <v>107</v>
      </c>
      <c r="L2" s="484" t="s">
        <v>108</v>
      </c>
      <c r="M2" s="484" t="s">
        <v>109</v>
      </c>
      <c r="N2" s="484" t="s">
        <v>795</v>
      </c>
    </row>
    <row r="3" spans="1:15" ht="33.75">
      <c r="A3" s="153"/>
      <c r="B3" s="154" t="s">
        <v>796</v>
      </c>
      <c r="C3" s="154" t="s">
        <v>797</v>
      </c>
      <c r="D3" s="154" t="s">
        <v>815</v>
      </c>
      <c r="E3" s="154" t="s">
        <v>816</v>
      </c>
      <c r="F3" s="154" t="s">
        <v>817</v>
      </c>
      <c r="G3" s="154" t="s">
        <v>802</v>
      </c>
      <c r="H3" s="154" t="s">
        <v>803</v>
      </c>
      <c r="I3" s="154" t="s">
        <v>818</v>
      </c>
      <c r="J3" s="154" t="s">
        <v>819</v>
      </c>
      <c r="K3" s="484"/>
      <c r="L3" s="484"/>
      <c r="M3" s="484"/>
      <c r="N3" s="484"/>
    </row>
    <row r="4" spans="1:15">
      <c r="B4" s="155"/>
      <c r="C4" s="155"/>
      <c r="D4" s="156"/>
      <c r="E4" s="155"/>
      <c r="F4" s="155"/>
      <c r="G4" s="155"/>
      <c r="H4" s="155"/>
      <c r="I4" s="155"/>
      <c r="J4" s="155"/>
      <c r="K4" s="155"/>
      <c r="L4" s="155"/>
      <c r="M4" s="155"/>
      <c r="N4" s="155"/>
    </row>
    <row r="5" spans="1:15">
      <c r="B5" s="155"/>
      <c r="C5" s="155"/>
      <c r="D5" s="156"/>
      <c r="E5" s="155"/>
      <c r="F5" s="155"/>
      <c r="G5" s="155"/>
      <c r="H5" s="155"/>
      <c r="I5" s="155"/>
      <c r="J5" s="155"/>
      <c r="K5" s="155"/>
      <c r="L5" s="155"/>
      <c r="M5" s="155"/>
      <c r="N5" s="155"/>
    </row>
    <row r="6" spans="1:15">
      <c r="B6" s="155"/>
      <c r="C6" s="155"/>
      <c r="D6" s="156"/>
      <c r="E6" s="155"/>
      <c r="F6" s="155"/>
      <c r="G6" s="155"/>
      <c r="H6" s="155"/>
      <c r="I6" s="155"/>
      <c r="J6" s="155"/>
      <c r="K6" s="155"/>
      <c r="L6" s="155"/>
      <c r="M6" s="155"/>
      <c r="N6" s="155"/>
    </row>
    <row r="7" spans="1:15">
      <c r="B7" s="155"/>
      <c r="C7" s="155"/>
      <c r="D7" s="156"/>
      <c r="E7" s="155"/>
      <c r="F7" s="155"/>
      <c r="G7" s="155"/>
      <c r="H7" s="155"/>
      <c r="I7" s="155"/>
      <c r="J7" s="155"/>
      <c r="K7" s="155"/>
      <c r="L7" s="155"/>
      <c r="M7" s="155"/>
      <c r="N7" s="155"/>
    </row>
    <row r="8" spans="1:15">
      <c r="B8" s="155"/>
      <c r="C8" s="155"/>
      <c r="D8" s="156"/>
      <c r="E8" s="155"/>
      <c r="F8" s="155"/>
      <c r="G8" s="155"/>
      <c r="H8" s="155"/>
      <c r="I8" s="155"/>
      <c r="J8" s="155"/>
      <c r="K8" s="155"/>
      <c r="L8" s="155"/>
      <c r="M8" s="155"/>
      <c r="N8" s="155"/>
    </row>
    <row r="9" spans="1:15">
      <c r="B9" s="155"/>
      <c r="C9" s="155"/>
      <c r="D9" s="156"/>
      <c r="E9" s="155"/>
      <c r="F9" s="155"/>
      <c r="G9" s="155"/>
      <c r="H9" s="155"/>
      <c r="I9" s="155"/>
      <c r="J9" s="155"/>
      <c r="K9" s="155"/>
      <c r="L9" s="155"/>
      <c r="M9" s="155"/>
      <c r="N9" s="155"/>
    </row>
    <row r="10" spans="1:15">
      <c r="B10" s="155"/>
      <c r="C10" s="155"/>
      <c r="D10" s="156"/>
      <c r="E10" s="155"/>
      <c r="F10" s="155"/>
      <c r="G10" s="155"/>
      <c r="H10" s="155"/>
      <c r="I10" s="155"/>
      <c r="J10" s="155"/>
      <c r="K10" s="155"/>
      <c r="L10" s="155"/>
      <c r="M10" s="155"/>
      <c r="N10" s="155"/>
    </row>
    <row r="11" spans="1:15">
      <c r="A11" s="149"/>
      <c r="B11" s="161"/>
      <c r="C11" s="161"/>
      <c r="D11" s="161"/>
      <c r="E11" s="161"/>
      <c r="F11" s="161"/>
      <c r="G11" s="161"/>
      <c r="H11" s="161"/>
      <c r="I11" s="161"/>
      <c r="J11" s="161"/>
      <c r="K11" s="157"/>
      <c r="L11" s="158"/>
      <c r="M11" s="158"/>
      <c r="N11" s="149"/>
      <c r="O11" s="149"/>
    </row>
    <row r="12" spans="1:15">
      <c r="A12" s="149"/>
      <c r="B12" s="164" t="s">
        <v>855</v>
      </c>
      <c r="C12" s="459" t="s">
        <v>821</v>
      </c>
      <c r="D12" s="459"/>
      <c r="E12" s="164" t="s">
        <v>813</v>
      </c>
      <c r="F12" s="493" t="s">
        <v>822</v>
      </c>
      <c r="G12" s="493"/>
      <c r="H12" s="493"/>
      <c r="I12" s="493"/>
      <c r="J12" s="493"/>
      <c r="K12" s="484" t="s">
        <v>107</v>
      </c>
      <c r="L12" s="484" t="s">
        <v>108</v>
      </c>
      <c r="M12" s="484" t="s">
        <v>109</v>
      </c>
      <c r="N12" s="484" t="s">
        <v>795</v>
      </c>
      <c r="O12" s="149"/>
    </row>
    <row r="13" spans="1:15" ht="33.75">
      <c r="A13" s="149"/>
      <c r="B13" s="154" t="s">
        <v>796</v>
      </c>
      <c r="C13" s="154" t="s">
        <v>797</v>
      </c>
      <c r="D13" s="154" t="s">
        <v>823</v>
      </c>
      <c r="E13" s="154" t="s">
        <v>816</v>
      </c>
      <c r="F13" s="154" t="s">
        <v>817</v>
      </c>
      <c r="G13" s="154" t="s">
        <v>802</v>
      </c>
      <c r="H13" s="154" t="s">
        <v>803</v>
      </c>
      <c r="I13" s="154" t="s">
        <v>818</v>
      </c>
      <c r="J13" s="154" t="s">
        <v>819</v>
      </c>
      <c r="K13" s="484"/>
      <c r="L13" s="484"/>
      <c r="M13" s="484"/>
      <c r="N13" s="484"/>
    </row>
    <row r="14" spans="1:15">
      <c r="B14" s="155"/>
      <c r="C14" s="155"/>
      <c r="D14" s="156"/>
      <c r="E14" s="155"/>
      <c r="F14" s="155"/>
      <c r="G14" s="155"/>
      <c r="H14" s="155"/>
      <c r="I14" s="155"/>
      <c r="J14" s="155"/>
      <c r="K14" s="155"/>
      <c r="L14" s="155"/>
      <c r="M14" s="155"/>
      <c r="N14" s="155"/>
    </row>
    <row r="15" spans="1:15">
      <c r="B15" s="155"/>
      <c r="C15" s="155"/>
      <c r="D15" s="156"/>
      <c r="E15" s="155"/>
      <c r="F15" s="155"/>
      <c r="G15" s="155"/>
      <c r="H15" s="155"/>
      <c r="I15" s="155"/>
      <c r="J15" s="155"/>
      <c r="K15" s="155"/>
      <c r="L15" s="155"/>
      <c r="M15" s="155"/>
      <c r="N15" s="155"/>
    </row>
    <row r="16" spans="1:15">
      <c r="B16" s="155"/>
      <c r="C16" s="155"/>
      <c r="D16" s="156"/>
      <c r="E16" s="155"/>
      <c r="F16" s="155"/>
      <c r="G16" s="155"/>
      <c r="H16" s="155"/>
      <c r="I16" s="155"/>
      <c r="J16" s="155"/>
      <c r="K16" s="155"/>
      <c r="L16" s="155"/>
      <c r="M16" s="155"/>
      <c r="N16" s="155"/>
    </row>
    <row r="17" spans="2:15">
      <c r="B17" s="155"/>
      <c r="C17" s="155"/>
      <c r="D17" s="156"/>
      <c r="E17" s="155"/>
      <c r="F17" s="155"/>
      <c r="G17" s="155"/>
      <c r="H17" s="155"/>
      <c r="I17" s="155"/>
      <c r="J17" s="155"/>
      <c r="K17" s="155"/>
      <c r="L17" s="155"/>
      <c r="M17" s="155"/>
      <c r="N17" s="155"/>
    </row>
    <row r="18" spans="2:15">
      <c r="B18" s="155"/>
      <c r="C18" s="155"/>
      <c r="D18" s="156"/>
      <c r="E18" s="155"/>
      <c r="F18" s="155"/>
      <c r="G18" s="155"/>
      <c r="H18" s="155"/>
      <c r="I18" s="155"/>
      <c r="J18" s="155"/>
      <c r="K18" s="155"/>
      <c r="L18" s="155"/>
      <c r="M18" s="155"/>
      <c r="N18" s="155"/>
    </row>
    <row r="19" spans="2:15">
      <c r="B19" s="155"/>
      <c r="C19" s="155"/>
      <c r="D19" s="156"/>
      <c r="E19" s="155"/>
      <c r="F19" s="155"/>
      <c r="G19" s="155"/>
      <c r="H19" s="155"/>
      <c r="I19" s="155"/>
      <c r="J19" s="155"/>
      <c r="K19" s="155"/>
      <c r="L19" s="155"/>
      <c r="M19" s="155"/>
      <c r="N19" s="155"/>
    </row>
    <row r="20" spans="2:15"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8"/>
      <c r="M20" s="158"/>
      <c r="N20" s="149"/>
    </row>
    <row r="21" spans="2:15" ht="14.45" customHeight="1">
      <c r="B21" s="164" t="s">
        <v>856</v>
      </c>
      <c r="C21" s="459" t="s">
        <v>825</v>
      </c>
      <c r="D21" s="459"/>
      <c r="E21" s="164" t="s">
        <v>826</v>
      </c>
      <c r="F21" s="493" t="s">
        <v>827</v>
      </c>
      <c r="G21" s="493"/>
      <c r="H21" s="493"/>
      <c r="I21" s="493"/>
      <c r="J21" s="493"/>
      <c r="K21" s="489" t="s">
        <v>107</v>
      </c>
      <c r="L21" s="489" t="s">
        <v>108</v>
      </c>
      <c r="M21" s="489" t="s">
        <v>109</v>
      </c>
      <c r="N21" s="489" t="s">
        <v>795</v>
      </c>
    </row>
    <row r="22" spans="2:15" ht="33.75">
      <c r="B22" s="154" t="s">
        <v>796</v>
      </c>
      <c r="C22" s="154" t="s">
        <v>797</v>
      </c>
      <c r="D22" s="154" t="s">
        <v>828</v>
      </c>
      <c r="E22" s="154" t="s">
        <v>816</v>
      </c>
      <c r="F22" s="154" t="s">
        <v>817</v>
      </c>
      <c r="G22" s="154" t="s">
        <v>802</v>
      </c>
      <c r="H22" s="154" t="s">
        <v>803</v>
      </c>
      <c r="I22" s="154" t="s">
        <v>829</v>
      </c>
      <c r="J22" s="154" t="s">
        <v>819</v>
      </c>
      <c r="K22" s="490"/>
      <c r="L22" s="490"/>
      <c r="M22" s="490"/>
      <c r="N22" s="490"/>
    </row>
    <row r="23" spans="2:15">
      <c r="B23" s="155"/>
      <c r="C23" s="155"/>
      <c r="D23" s="156"/>
      <c r="E23" s="155"/>
      <c r="F23" s="155"/>
      <c r="G23" s="155"/>
      <c r="H23" s="155"/>
      <c r="I23" s="156"/>
      <c r="J23" s="155"/>
      <c r="K23" s="155"/>
      <c r="L23" s="155"/>
      <c r="M23" s="155"/>
      <c r="N23" s="155"/>
    </row>
    <row r="24" spans="2:15">
      <c r="B24" s="155"/>
      <c r="C24" s="155"/>
      <c r="D24" s="156"/>
      <c r="E24" s="155"/>
      <c r="F24" s="155"/>
      <c r="G24" s="155"/>
      <c r="H24" s="155"/>
      <c r="I24" s="156"/>
      <c r="J24" s="155"/>
      <c r="K24" s="155"/>
      <c r="L24" s="155"/>
      <c r="M24" s="155"/>
      <c r="N24" s="155"/>
    </row>
    <row r="25" spans="2:15">
      <c r="B25" s="155"/>
      <c r="C25" s="155"/>
      <c r="D25" s="156"/>
      <c r="E25" s="155"/>
      <c r="F25" s="155"/>
      <c r="G25" s="155"/>
      <c r="H25" s="155"/>
      <c r="I25" s="156"/>
      <c r="J25" s="155"/>
      <c r="K25" s="155"/>
      <c r="L25" s="155"/>
      <c r="M25" s="155"/>
      <c r="N25" s="155"/>
    </row>
    <row r="26" spans="2:15">
      <c r="B26" s="155"/>
      <c r="C26" s="155"/>
      <c r="D26" s="156"/>
      <c r="E26" s="155"/>
      <c r="F26" s="155"/>
      <c r="G26" s="155"/>
      <c r="H26" s="155"/>
      <c r="I26" s="156"/>
      <c r="J26" s="155"/>
      <c r="K26" s="155"/>
      <c r="L26" s="155"/>
      <c r="M26" s="155"/>
      <c r="N26" s="155"/>
    </row>
    <row r="27" spans="2:15">
      <c r="B27" s="155"/>
      <c r="C27" s="155"/>
      <c r="D27" s="156"/>
      <c r="E27" s="155"/>
      <c r="F27" s="155"/>
      <c r="G27" s="155"/>
      <c r="H27" s="155"/>
      <c r="I27" s="156"/>
      <c r="J27" s="155"/>
      <c r="K27" s="155"/>
      <c r="L27" s="155"/>
      <c r="M27" s="155"/>
      <c r="N27" s="155"/>
    </row>
    <row r="28" spans="2:15"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8"/>
      <c r="M28" s="158"/>
      <c r="N28" s="149"/>
    </row>
    <row r="29" spans="2:15" ht="14.45" customHeight="1">
      <c r="B29" s="164" t="s">
        <v>857</v>
      </c>
      <c r="C29" s="459" t="s">
        <v>831</v>
      </c>
      <c r="D29" s="459"/>
      <c r="E29" s="154"/>
      <c r="F29" s="154"/>
      <c r="G29" s="154"/>
      <c r="H29" s="154"/>
      <c r="I29" s="154"/>
      <c r="J29" s="154"/>
      <c r="K29" s="484" t="s">
        <v>107</v>
      </c>
      <c r="L29" s="484" t="s">
        <v>108</v>
      </c>
      <c r="M29" s="484" t="s">
        <v>109</v>
      </c>
      <c r="N29" s="484" t="s">
        <v>795</v>
      </c>
      <c r="O29" s="484"/>
    </row>
    <row r="30" spans="2:15" ht="33.75">
      <c r="B30" s="154" t="s">
        <v>796</v>
      </c>
      <c r="C30" s="154" t="s">
        <v>797</v>
      </c>
      <c r="D30" s="154" t="s">
        <v>832</v>
      </c>
      <c r="E30" s="154" t="s">
        <v>816</v>
      </c>
      <c r="F30" s="154" t="s">
        <v>817</v>
      </c>
      <c r="G30" s="154" t="s">
        <v>833</v>
      </c>
      <c r="H30" s="154" t="s">
        <v>834</v>
      </c>
      <c r="I30" s="154" t="s">
        <v>835</v>
      </c>
      <c r="J30" s="159" t="s">
        <v>836</v>
      </c>
      <c r="K30" s="484"/>
      <c r="L30" s="484"/>
      <c r="M30" s="484"/>
      <c r="N30" s="484"/>
      <c r="O30" s="484"/>
    </row>
    <row r="31" spans="2:15">
      <c r="B31" s="155"/>
      <c r="C31" s="155"/>
      <c r="D31" s="155"/>
      <c r="E31" s="155"/>
      <c r="F31" s="155"/>
      <c r="G31" s="155"/>
      <c r="H31" s="155"/>
      <c r="I31" s="155"/>
      <c r="J31" s="156"/>
      <c r="K31" s="155"/>
      <c r="L31" s="155"/>
      <c r="M31" s="155"/>
      <c r="N31" s="482"/>
      <c r="O31" s="483"/>
    </row>
    <row r="32" spans="2:15">
      <c r="B32" s="155"/>
      <c r="C32" s="155"/>
      <c r="D32" s="155"/>
      <c r="E32" s="155"/>
      <c r="F32" s="155"/>
      <c r="G32" s="155"/>
      <c r="H32" s="155"/>
      <c r="I32" s="155"/>
      <c r="J32" s="156"/>
      <c r="K32" s="155"/>
      <c r="L32" s="155"/>
      <c r="M32" s="155"/>
      <c r="N32" s="482"/>
      <c r="O32" s="483"/>
    </row>
    <row r="33" spans="2:15">
      <c r="B33" s="155"/>
      <c r="C33" s="155"/>
      <c r="D33" s="155"/>
      <c r="E33" s="155"/>
      <c r="F33" s="155"/>
      <c r="G33" s="155"/>
      <c r="H33" s="155"/>
      <c r="I33" s="155"/>
      <c r="J33" s="156"/>
      <c r="K33" s="155"/>
      <c r="L33" s="155"/>
      <c r="M33" s="155"/>
      <c r="N33" s="482"/>
      <c r="O33" s="483"/>
    </row>
    <row r="34" spans="2:15">
      <c r="B34" s="155"/>
      <c r="C34" s="155"/>
      <c r="D34" s="155"/>
      <c r="E34" s="155"/>
      <c r="F34" s="155"/>
      <c r="G34" s="155"/>
      <c r="H34" s="155"/>
      <c r="I34" s="155"/>
      <c r="J34" s="156"/>
      <c r="K34" s="155"/>
      <c r="L34" s="155"/>
      <c r="M34" s="155"/>
      <c r="N34" s="482"/>
      <c r="O34" s="483"/>
    </row>
    <row r="35" spans="2:15">
      <c r="B35" s="155"/>
      <c r="C35" s="155"/>
      <c r="D35" s="155"/>
      <c r="E35" s="155"/>
      <c r="F35" s="155"/>
      <c r="G35" s="155"/>
      <c r="H35" s="155"/>
      <c r="I35" s="155"/>
      <c r="J35" s="156"/>
      <c r="K35" s="155"/>
      <c r="L35" s="155"/>
      <c r="M35" s="155"/>
      <c r="N35" s="482"/>
      <c r="O35" s="483"/>
    </row>
    <row r="36" spans="2:15">
      <c r="B36" s="155"/>
      <c r="C36" s="155"/>
      <c r="D36" s="155"/>
      <c r="E36" s="155"/>
      <c r="F36" s="155"/>
      <c r="G36" s="155"/>
      <c r="H36" s="155"/>
      <c r="I36" s="155"/>
      <c r="J36" s="156"/>
      <c r="K36" s="155"/>
      <c r="L36" s="155"/>
      <c r="M36" s="155"/>
      <c r="N36" s="482"/>
      <c r="O36" s="483"/>
    </row>
    <row r="37" spans="2:15">
      <c r="B37" s="155"/>
      <c r="C37" s="155"/>
      <c r="D37" s="155"/>
      <c r="E37" s="155"/>
      <c r="F37" s="155"/>
      <c r="G37" s="155"/>
      <c r="H37" s="155"/>
      <c r="I37" s="155"/>
      <c r="J37" s="156"/>
      <c r="K37" s="155"/>
      <c r="L37" s="155"/>
      <c r="M37" s="155"/>
      <c r="N37" s="482"/>
      <c r="O37" s="483"/>
    </row>
    <row r="38" spans="2:15">
      <c r="B38" s="155"/>
      <c r="C38" s="155"/>
      <c r="D38" s="155"/>
      <c r="E38" s="155"/>
      <c r="F38" s="155"/>
      <c r="G38" s="155"/>
      <c r="H38" s="155"/>
      <c r="I38" s="155"/>
      <c r="J38" s="156"/>
      <c r="K38" s="155"/>
      <c r="L38" s="155"/>
      <c r="M38" s="155"/>
      <c r="N38" s="482"/>
      <c r="O38" s="483"/>
    </row>
    <row r="39" spans="2:15"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8"/>
      <c r="M39" s="158"/>
      <c r="N39" s="149"/>
    </row>
    <row r="40" spans="2:15" ht="14.45" customHeight="1">
      <c r="B40" s="154" t="s">
        <v>858</v>
      </c>
      <c r="C40" s="484" t="s">
        <v>838</v>
      </c>
      <c r="D40" s="484"/>
      <c r="E40" s="154"/>
      <c r="F40" s="154"/>
      <c r="G40" s="154"/>
      <c r="H40" s="154"/>
      <c r="I40" s="154"/>
      <c r="J40" s="484" t="s">
        <v>107</v>
      </c>
      <c r="K40" s="484" t="s">
        <v>108</v>
      </c>
      <c r="L40" s="484" t="s">
        <v>109</v>
      </c>
      <c r="M40" s="484" t="s">
        <v>795</v>
      </c>
      <c r="N40" s="484"/>
    </row>
    <row r="41" spans="2:15" ht="33.75">
      <c r="B41" s="154" t="s">
        <v>796</v>
      </c>
      <c r="C41" s="154" t="s">
        <v>797</v>
      </c>
      <c r="D41" s="154" t="s">
        <v>839</v>
      </c>
      <c r="E41" s="154" t="s">
        <v>816</v>
      </c>
      <c r="F41" s="154" t="s">
        <v>817</v>
      </c>
      <c r="G41" s="154" t="s">
        <v>802</v>
      </c>
      <c r="H41" s="154" t="s">
        <v>840</v>
      </c>
      <c r="I41" s="159" t="s">
        <v>819</v>
      </c>
      <c r="J41" s="484"/>
      <c r="K41" s="484"/>
      <c r="L41" s="484"/>
      <c r="M41" s="484"/>
      <c r="N41" s="484"/>
    </row>
    <row r="42" spans="2:15"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482"/>
      <c r="N42" s="483"/>
    </row>
    <row r="43" spans="2:15"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482"/>
      <c r="N43" s="483"/>
    </row>
    <row r="44" spans="2:15"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482"/>
      <c r="N44" s="483"/>
    </row>
    <row r="45" spans="2:15">
      <c r="B45" s="155"/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482"/>
      <c r="N45" s="483"/>
    </row>
    <row r="46" spans="2:15"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482"/>
      <c r="N46" s="483"/>
    </row>
    <row r="47" spans="2:15">
      <c r="B47" s="155"/>
      <c r="C47" s="155"/>
      <c r="D47" s="155"/>
      <c r="E47" s="155"/>
      <c r="F47" s="155"/>
      <c r="G47" s="155"/>
      <c r="H47" s="155"/>
      <c r="I47" s="155"/>
      <c r="J47" s="155"/>
      <c r="K47" s="155"/>
      <c r="L47" s="155"/>
      <c r="M47" s="482"/>
      <c r="N47" s="483"/>
    </row>
    <row r="48" spans="2:15"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482"/>
      <c r="N48" s="483"/>
    </row>
    <row r="49" spans="2:14"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482"/>
      <c r="N49" s="483"/>
    </row>
  </sheetData>
  <sheetProtection algorithmName="SHA-512" hashValue="RuoIx08HlYhyF73i/Xarx8w92kj1n7DrNIXvzUhJhWfEXapq1NWL1XJD/S/csb7hmAYP81T65JdYBEjJ1ya9jw==" saltValue="EQ+euz7tRIVXHtJvHcV6rA==" spinCount="100000" sheet="1" objects="1" scenarios="1"/>
  <mergeCells count="44">
    <mergeCell ref="N2:N3"/>
    <mergeCell ref="C2:D2"/>
    <mergeCell ref="F2:J2"/>
    <mergeCell ref="K2:K3"/>
    <mergeCell ref="L2:L3"/>
    <mergeCell ref="M2:M3"/>
    <mergeCell ref="N21:N22"/>
    <mergeCell ref="C12:D12"/>
    <mergeCell ref="F12:J12"/>
    <mergeCell ref="K12:K13"/>
    <mergeCell ref="L12:L13"/>
    <mergeCell ref="M12:M13"/>
    <mergeCell ref="N12:N13"/>
    <mergeCell ref="C21:D21"/>
    <mergeCell ref="F21:J21"/>
    <mergeCell ref="K21:K22"/>
    <mergeCell ref="L21:L22"/>
    <mergeCell ref="M21:M22"/>
    <mergeCell ref="N37:O37"/>
    <mergeCell ref="C29:D29"/>
    <mergeCell ref="K29:K30"/>
    <mergeCell ref="L29:L30"/>
    <mergeCell ref="M29:M30"/>
    <mergeCell ref="N29:O30"/>
    <mergeCell ref="N31:O31"/>
    <mergeCell ref="N32:O32"/>
    <mergeCell ref="N33:O33"/>
    <mergeCell ref="N34:O34"/>
    <mergeCell ref="N35:O35"/>
    <mergeCell ref="N36:O36"/>
    <mergeCell ref="N38:O38"/>
    <mergeCell ref="C40:D40"/>
    <mergeCell ref="J40:J41"/>
    <mergeCell ref="K40:K41"/>
    <mergeCell ref="L40:L41"/>
    <mergeCell ref="M40:N41"/>
    <mergeCell ref="M48:N48"/>
    <mergeCell ref="M49:N49"/>
    <mergeCell ref="M42:N42"/>
    <mergeCell ref="M43:N43"/>
    <mergeCell ref="M44:N44"/>
    <mergeCell ref="M45:N45"/>
    <mergeCell ref="M46:N46"/>
    <mergeCell ref="M47:N47"/>
  </mergeCells>
  <conditionalFormatting sqref="J40:J49 L4:L10">
    <cfRule type="containsBlanks" dxfId="38" priority="24">
      <formula>LEN(TRIM(J4))=0</formula>
    </cfRule>
  </conditionalFormatting>
  <conditionalFormatting sqref="K4:K10 K14:K19">
    <cfRule type="containsBlanks" dxfId="37" priority="23">
      <formula>LEN(TRIM(K4))=0</formula>
    </cfRule>
  </conditionalFormatting>
  <conditionalFormatting sqref="K23:K27">
    <cfRule type="containsBlanks" dxfId="36" priority="22">
      <formula>LEN(TRIM(K23))=0</formula>
    </cfRule>
  </conditionalFormatting>
  <conditionalFormatting sqref="J42:J47">
    <cfRule type="containsBlanks" dxfId="35" priority="21">
      <formula>LEN(TRIM(J42))=0</formula>
    </cfRule>
  </conditionalFormatting>
  <conditionalFormatting sqref="K29:K38">
    <cfRule type="containsBlanks" dxfId="34" priority="20">
      <formula>LEN(TRIM(K29))=0</formula>
    </cfRule>
  </conditionalFormatting>
  <conditionalFormatting sqref="K31:K36">
    <cfRule type="containsBlanks" dxfId="33" priority="19">
      <formula>LEN(TRIM(K31))=0</formula>
    </cfRule>
  </conditionalFormatting>
  <conditionalFormatting sqref="E4:J10">
    <cfRule type="containsBlanks" dxfId="32" priority="18">
      <formula>LEN(TRIM(E4))=0</formula>
    </cfRule>
  </conditionalFormatting>
  <conditionalFormatting sqref="B4:C10">
    <cfRule type="containsBlanks" dxfId="31" priority="17">
      <formula>LEN(TRIM(B4))=0</formula>
    </cfRule>
  </conditionalFormatting>
  <conditionalFormatting sqref="B14:C19">
    <cfRule type="containsBlanks" dxfId="30" priority="16">
      <formula>LEN(TRIM(B14))=0</formula>
    </cfRule>
  </conditionalFormatting>
  <conditionalFormatting sqref="E14:J19">
    <cfRule type="containsBlanks" dxfId="29" priority="15">
      <formula>LEN(TRIM(E14))=0</formula>
    </cfRule>
  </conditionalFormatting>
  <conditionalFormatting sqref="L14:L19">
    <cfRule type="containsBlanks" dxfId="28" priority="14">
      <formula>LEN(TRIM(L14))=0</formula>
    </cfRule>
  </conditionalFormatting>
  <conditionalFormatting sqref="M4:N10">
    <cfRule type="containsBlanks" dxfId="27" priority="13">
      <formula>LEN(TRIM(M4))=0</formula>
    </cfRule>
  </conditionalFormatting>
  <conditionalFormatting sqref="M14:N19">
    <cfRule type="containsBlanks" dxfId="26" priority="12">
      <formula>LEN(TRIM(M14))=0</formula>
    </cfRule>
  </conditionalFormatting>
  <conditionalFormatting sqref="L23:N27">
    <cfRule type="containsBlanks" dxfId="25" priority="11">
      <formula>LEN(TRIM(L23))=0</formula>
    </cfRule>
  </conditionalFormatting>
  <conditionalFormatting sqref="J23:J27">
    <cfRule type="containsBlanks" dxfId="24" priority="10">
      <formula>LEN(TRIM(J23))=0</formula>
    </cfRule>
  </conditionalFormatting>
  <conditionalFormatting sqref="E23:H27">
    <cfRule type="containsBlanks" dxfId="23" priority="9">
      <formula>LEN(TRIM(E23))=0</formula>
    </cfRule>
  </conditionalFormatting>
  <conditionalFormatting sqref="B23:C27">
    <cfRule type="containsBlanks" dxfId="22" priority="8">
      <formula>LEN(TRIM(B23))=0</formula>
    </cfRule>
  </conditionalFormatting>
  <conditionalFormatting sqref="B31:I38">
    <cfRule type="containsBlanks" dxfId="21" priority="7">
      <formula>LEN(TRIM(B31))=0</formula>
    </cfRule>
  </conditionalFormatting>
  <conditionalFormatting sqref="L31:M38">
    <cfRule type="containsBlanks" dxfId="20" priority="6">
      <formula>LEN(TRIM(L31))=0</formula>
    </cfRule>
  </conditionalFormatting>
  <conditionalFormatting sqref="B42:I49">
    <cfRule type="containsBlanks" dxfId="19" priority="5">
      <formula>LEN(TRIM(B42))=0</formula>
    </cfRule>
  </conditionalFormatting>
  <conditionalFormatting sqref="K42:L49">
    <cfRule type="containsBlanks" dxfId="18" priority="4">
      <formula>LEN(TRIM(K42))=0</formula>
    </cfRule>
  </conditionalFormatting>
  <conditionalFormatting sqref="N31">
    <cfRule type="containsBlanks" dxfId="17" priority="3">
      <formula>LEN(TRIM(N31))=0</formula>
    </cfRule>
  </conditionalFormatting>
  <conditionalFormatting sqref="N32:N38">
    <cfRule type="containsBlanks" dxfId="16" priority="2">
      <formula>LEN(TRIM(N32))=0</formula>
    </cfRule>
  </conditionalFormatting>
  <conditionalFormatting sqref="M42:M49">
    <cfRule type="containsBlanks" dxfId="15" priority="1">
      <formula>LEN(TRIM(M42))=0</formula>
    </cfRule>
  </conditionalFormatting>
  <pageMargins left="0.4498611111111111" right="0.8627083333333333" top="0.75" bottom="0.75" header="0.3" footer="0.3"/>
  <pageSetup scale="82" orientation="portrait" r:id="rId1"/>
  <headerFooter>
    <oddHeader>&amp;L&amp;G&amp;R
&amp;"Liberation Sans,Bold"&amp;14&amp;K00247DEN97A: GHG Adjustments Form</oddHeader>
    <oddFooter>&amp;L&amp;"Liberation Sans,Regular"Version 1.3&amp;R&amp;"Liberation Sans,Regular"February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allowBlank="1" showInputMessage="1" showErrorMessage="1" xr:uid="{77399CE8-7887-421D-8E8F-2E95BF638464}">
          <x14:formula1>
            <xm:f>Lists!$AC$1:$AC$4</xm:f>
          </x14:formula1>
          <xm:sqref>J31:J38</xm:sqref>
        </x14:dataValidation>
        <x14:dataValidation type="list" allowBlank="1" showInputMessage="1" showErrorMessage="1" xr:uid="{F836AC5E-C610-4DCC-9081-8188D7140457}">
          <x14:formula1>
            <xm:f>Lists!$AA$1:$AA$3</xm:f>
          </x14:formula1>
          <xm:sqref>I23:I27</xm:sqref>
        </x14:dataValidation>
        <x14:dataValidation type="list" allowBlank="1" showInputMessage="1" showErrorMessage="1" xr:uid="{A5D7998B-1A30-4B0E-AB49-EE79E2E768F1}">
          <x14:formula1>
            <xm:f>Lists!$Z$1:$Z$4</xm:f>
          </x14:formula1>
          <xm:sqref>D23:D27</xm:sqref>
        </x14:dataValidation>
        <x14:dataValidation type="list" allowBlank="1" showInputMessage="1" showErrorMessage="1" xr:uid="{5A3D8E61-95A4-40E3-8FB7-41F9C39C3352}">
          <x14:formula1>
            <xm:f>Lists!$X$1:$X$10</xm:f>
          </x14:formula1>
          <xm:sqref>D14:D19</xm:sqref>
        </x14:dataValidation>
        <x14:dataValidation type="list" allowBlank="1" showInputMessage="1" showErrorMessage="1" xr:uid="{BC3F3566-0A92-4974-86F4-FDA86D14A5B6}">
          <x14:formula1>
            <xm:f>Lists!$Y$1:$Y$9</xm:f>
          </x14:formula1>
          <xm:sqref>D4:D10</xm:sqref>
        </x14:dataValidation>
        <x14:dataValidation type="list" allowBlank="1" showInputMessage="1" showErrorMessage="1" xr:uid="{FB7C0E4E-340F-40FF-9F86-537287B556A6}">
          <x14:formula1>
            <xm:f>Lists!$L$1:$L$5</xm:f>
          </x14:formula1>
          <xm:sqref>K4:K10 K14:K19 K23:K27 J42:J49 K31:K38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8248A-B88D-4B89-B667-C1E2E7BC3BF1}">
  <sheetPr codeName="Sheet46"/>
  <dimension ref="A3:I28"/>
  <sheetViews>
    <sheetView view="pageLayout" zoomScaleNormal="100" zoomScaleSheetLayoutView="100" workbookViewId="0">
      <selection activeCell="C14" sqref="C14:D14"/>
    </sheetView>
  </sheetViews>
  <sheetFormatPr defaultColWidth="8.85546875" defaultRowHeight="14.25"/>
  <cols>
    <col min="1" max="1" width="4" style="94" customWidth="1"/>
    <col min="2" max="2" width="24.7109375" style="94" customWidth="1"/>
    <col min="3" max="3" width="11" style="94" customWidth="1"/>
    <col min="4" max="5" width="8.85546875" style="94"/>
    <col min="6" max="6" width="4" style="94" customWidth="1"/>
    <col min="7" max="7" width="8.85546875" style="94"/>
    <col min="8" max="8" width="18.7109375" style="94" customWidth="1"/>
    <col min="9" max="9" width="29.140625" style="94" customWidth="1"/>
    <col min="10" max="16384" width="8.85546875" style="94"/>
  </cols>
  <sheetData>
    <row r="3" spans="1:9">
      <c r="A3" s="151" t="s">
        <v>967</v>
      </c>
      <c r="B3" s="150"/>
    </row>
    <row r="4" spans="1:9" ht="15" thickBot="1">
      <c r="A4" s="128"/>
      <c r="B4" s="129"/>
      <c r="C4" s="129"/>
      <c r="D4" s="129"/>
      <c r="E4" s="129"/>
      <c r="F4" s="129"/>
      <c r="G4" s="129"/>
      <c r="H4" s="129"/>
      <c r="I4" s="129"/>
    </row>
    <row r="5" spans="1:9" ht="15" thickBot="1">
      <c r="A5" s="152" t="s">
        <v>968</v>
      </c>
      <c r="B5" s="511" t="s">
        <v>859</v>
      </c>
      <c r="C5" s="512"/>
      <c r="D5" s="512"/>
      <c r="E5" s="512"/>
      <c r="F5" s="512"/>
      <c r="G5" s="512"/>
      <c r="H5" s="512"/>
      <c r="I5" s="513"/>
    </row>
    <row r="6" spans="1:9" ht="15" thickBot="1">
      <c r="A6" s="130"/>
      <c r="B6" s="514" t="s">
        <v>860</v>
      </c>
      <c r="C6" s="515"/>
      <c r="D6" s="514" t="s">
        <v>861</v>
      </c>
      <c r="E6" s="516"/>
      <c r="F6" s="516"/>
      <c r="G6" s="516"/>
      <c r="H6" s="515"/>
      <c r="I6" s="131" t="s">
        <v>17</v>
      </c>
    </row>
    <row r="7" spans="1:9" ht="15" thickBot="1">
      <c r="A7" s="130"/>
      <c r="B7" s="514" t="s">
        <v>18</v>
      </c>
      <c r="C7" s="516"/>
      <c r="D7" s="516"/>
      <c r="E7" s="515"/>
      <c r="F7" s="514" t="s">
        <v>862</v>
      </c>
      <c r="G7" s="516"/>
      <c r="H7" s="516"/>
      <c r="I7" s="515"/>
    </row>
    <row r="8" spans="1:9" ht="15.75" customHeight="1" thickBot="1">
      <c r="A8" s="130"/>
      <c r="B8" s="514" t="s">
        <v>20</v>
      </c>
      <c r="C8" s="516"/>
      <c r="D8" s="516"/>
      <c r="E8" s="515"/>
      <c r="F8" s="514" t="s">
        <v>863</v>
      </c>
      <c r="G8" s="516"/>
      <c r="H8" s="516"/>
      <c r="I8" s="515"/>
    </row>
    <row r="9" spans="1:9" ht="15" thickBot="1">
      <c r="A9" s="130"/>
      <c r="B9" s="132" t="s">
        <v>22</v>
      </c>
      <c r="C9" s="514" t="s">
        <v>23</v>
      </c>
      <c r="D9" s="515"/>
      <c r="E9" s="514" t="s">
        <v>24</v>
      </c>
      <c r="F9" s="516"/>
      <c r="G9" s="515"/>
      <c r="H9" s="514"/>
      <c r="I9" s="515"/>
    </row>
    <row r="10" spans="1:9">
      <c r="A10" s="130"/>
      <c r="B10" s="133"/>
      <c r="C10" s="133"/>
      <c r="D10" s="133"/>
      <c r="E10" s="133"/>
      <c r="F10" s="133"/>
      <c r="G10" s="133"/>
      <c r="H10" s="133"/>
      <c r="I10" s="133"/>
    </row>
    <row r="11" spans="1:9" ht="19.5" customHeight="1" thickBot="1">
      <c r="A11" s="130"/>
      <c r="B11" s="134"/>
      <c r="C11" s="133"/>
      <c r="D11" s="133"/>
      <c r="E11" s="133"/>
    </row>
    <row r="12" spans="1:9" ht="21.75" customHeight="1" thickBot="1">
      <c r="A12" s="135" t="s">
        <v>969</v>
      </c>
      <c r="B12" s="497" t="s">
        <v>864</v>
      </c>
      <c r="C12" s="498"/>
      <c r="D12" s="499"/>
      <c r="F12" s="135" t="s">
        <v>865</v>
      </c>
      <c r="G12" s="497" t="s">
        <v>866</v>
      </c>
      <c r="H12" s="498"/>
      <c r="I12" s="499"/>
    </row>
    <row r="13" spans="1:9" ht="30.95" customHeight="1">
      <c r="B13" s="136" t="s">
        <v>867</v>
      </c>
      <c r="C13" s="507" t="str">
        <f>IF('1,2,3 Information'!B18="","Select Adjustment Option on tab 1,2,3 Information",IF('1,2,3 Information'!B18="Section 11 ECB","Section 11 ECB",IF('1,2,3 Information'!B18="Appendix G PRM","Appendix G PRM","Select Adjustment Option on tab 1,2,3 Information")))</f>
        <v>Select Adjustment Option on tab 1,2,3 Information</v>
      </c>
      <c r="D13" s="508"/>
      <c r="G13" s="500" t="s">
        <v>868</v>
      </c>
      <c r="H13" s="137" t="s">
        <v>869</v>
      </c>
      <c r="I13" s="138" t="str">
        <f>IF(AND('10. Modeling Equivalence'!G15="",'7 Modeling Information'!Modeled_Square_Feet=""),"",'10. Modeling Equivalence'!G15/'7 Modeling Information'!Modeled_Square_Feet)</f>
        <v/>
      </c>
    </row>
    <row r="14" spans="1:9">
      <c r="B14" s="139" t="s">
        <v>870</v>
      </c>
      <c r="C14" s="509"/>
      <c r="D14" s="510"/>
      <c r="G14" s="501"/>
      <c r="H14" s="140" t="s">
        <v>871</v>
      </c>
      <c r="I14" s="141" t="e">
        <f>IF(AND('10. Modeling Equivalence'!D23="",'7 Modeling Information'!Modeled_Square_Feet=""),"",('10. Modeling Equivalence'!D23)/Modeled_Square_Feet)</f>
        <v>#DIV/0!</v>
      </c>
    </row>
    <row r="15" spans="1:9" ht="15" thickBot="1">
      <c r="B15" s="142" t="s">
        <v>872</v>
      </c>
      <c r="C15" s="503"/>
      <c r="D15" s="504"/>
      <c r="G15" s="502"/>
      <c r="H15" s="143" t="s">
        <v>966</v>
      </c>
      <c r="I15" s="144" t="e">
        <f>IF(AND('10. Modeling Equivalence'!D31="",'7 Modeling Information'!Modeled_Square_Feet=""),"",('10. Modeling Equivalence'!D31)/Modeled_Square_Feet)</f>
        <v>#DIV/0!</v>
      </c>
    </row>
    <row r="16" spans="1:9" ht="14.1" customHeight="1">
      <c r="B16" s="142" t="s">
        <v>873</v>
      </c>
      <c r="C16" s="503"/>
      <c r="D16" s="504"/>
      <c r="G16" s="494" t="s">
        <v>874</v>
      </c>
      <c r="H16" s="137" t="s">
        <v>869</v>
      </c>
      <c r="I16" s="138" t="str">
        <f>IF(AND('10. Modeling Equivalence'!E15="",'7 Modeling Information'!Modeled_Square_Feet=""),"",'10. Modeling Equivalence'!E15/'7 Modeling Information'!Modeled_Square_Feet)</f>
        <v/>
      </c>
    </row>
    <row r="17" spans="2:9" ht="15" customHeight="1">
      <c r="B17" s="142" t="s">
        <v>875</v>
      </c>
      <c r="C17" s="503"/>
      <c r="D17" s="504"/>
      <c r="G17" s="495"/>
      <c r="H17" s="140" t="s">
        <v>871</v>
      </c>
      <c r="I17" s="141" t="e">
        <f>IF(AND('10. Modeling Equivalence'!C23="",'7 Modeling Information'!Modeled_Square_Feet=""),"",('10. Modeling Equivalence'!C23)/Modeled_Square_Feet)</f>
        <v>#DIV/0!</v>
      </c>
    </row>
    <row r="18" spans="2:9" ht="15" thickBot="1">
      <c r="B18" s="142" t="s">
        <v>876</v>
      </c>
      <c r="C18" s="503"/>
      <c r="D18" s="504"/>
      <c r="G18" s="496"/>
      <c r="H18" s="143" t="s">
        <v>966</v>
      </c>
      <c r="I18" s="144" t="e">
        <f>IF(AND('10. Modeling Equivalence'!C31="",'7 Modeling Information'!Modeled_Square_Feet=""),"",('10. Modeling Equivalence'!C31)/Modeled_Square_Feet)</f>
        <v>#DIV/0!</v>
      </c>
    </row>
    <row r="19" spans="2:9" ht="15.6" customHeight="1" thickBot="1">
      <c r="B19" s="145" t="s">
        <v>877</v>
      </c>
      <c r="C19" s="505"/>
      <c r="D19" s="506"/>
      <c r="G19" s="494" t="s">
        <v>878</v>
      </c>
      <c r="H19" s="137" t="s">
        <v>869</v>
      </c>
      <c r="I19" s="146" t="e">
        <f>(I16-I13)/I16</f>
        <v>#VALUE!</v>
      </c>
    </row>
    <row r="20" spans="2:9">
      <c r="G20" s="495"/>
      <c r="H20" s="140" t="s">
        <v>871</v>
      </c>
      <c r="I20" s="147" t="e">
        <f>(I17-I14)/I17</f>
        <v>#DIV/0!</v>
      </c>
    </row>
    <row r="21" spans="2:9" ht="15" customHeight="1" thickBot="1">
      <c r="G21" s="496"/>
      <c r="H21" s="143" t="s">
        <v>966</v>
      </c>
      <c r="I21" s="148" t="e">
        <f>(I18-I15)/I18</f>
        <v>#DIV/0!</v>
      </c>
    </row>
    <row r="23" spans="2:9">
      <c r="E23" s="149"/>
    </row>
    <row r="24" spans="2:9">
      <c r="E24" s="149"/>
    </row>
    <row r="25" spans="2:9">
      <c r="E25" s="149"/>
    </row>
    <row r="26" spans="2:9">
      <c r="E26" s="149"/>
    </row>
    <row r="27" spans="2:9">
      <c r="E27" s="149"/>
    </row>
    <row r="28" spans="2:9">
      <c r="E28" s="149"/>
    </row>
  </sheetData>
  <sheetProtection algorithmName="SHA-512" hashValue="OjyJoDyX1JUT9ZQseGOUOcxGSF8j+cksPlHU8GwSrE+50vTdf2scCXiarcmpgKlvFN9wUj119Bh3+iTbRtXEzA==" saltValue="dhVQtQuZgCo62MEvExF4Jw==" spinCount="100000" sheet="1" objects="1" scenarios="1"/>
  <mergeCells count="22">
    <mergeCell ref="B8:E8"/>
    <mergeCell ref="F8:I8"/>
    <mergeCell ref="C9:D9"/>
    <mergeCell ref="E9:G9"/>
    <mergeCell ref="H9:I9"/>
    <mergeCell ref="B5:I5"/>
    <mergeCell ref="B6:C6"/>
    <mergeCell ref="D6:H6"/>
    <mergeCell ref="B7:E7"/>
    <mergeCell ref="F7:I7"/>
    <mergeCell ref="G16:G18"/>
    <mergeCell ref="G19:G21"/>
    <mergeCell ref="G12:I12"/>
    <mergeCell ref="G13:G15"/>
    <mergeCell ref="C16:D16"/>
    <mergeCell ref="C17:D17"/>
    <mergeCell ref="C18:D18"/>
    <mergeCell ref="C19:D19"/>
    <mergeCell ref="B12:D12"/>
    <mergeCell ref="C13:D13"/>
    <mergeCell ref="C14:D14"/>
    <mergeCell ref="C15:D15"/>
  </mergeCells>
  <conditionalFormatting sqref="C14:D19">
    <cfRule type="containsBlanks" dxfId="14" priority="1">
      <formula>LEN(TRIM(C14))=0</formula>
    </cfRule>
  </conditionalFormatting>
  <pageMargins left="0.4498611111111111" right="0.41" top="0.75" bottom="0.75" header="0.3" footer="0.3"/>
  <pageSetup scale="82" orientation="portrait" r:id="rId1"/>
  <headerFooter>
    <oddHeader>&amp;L&amp;G&amp;C
&amp;R&amp;"Liberation Sans,Bold"&amp;14&amp;K00247DEN97A: GHG Adjustments Form</oddHeader>
    <oddFooter>&amp;L&amp;"Liberation Sans,Regular"Version 1.3&amp;R&amp;"Liberation Sans,Regular"February  2022</oddFoot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"/>
  <dimension ref="A3:P38"/>
  <sheetViews>
    <sheetView view="pageLayout" zoomScaleNormal="100" zoomScaleSheetLayoutView="100" workbookViewId="0">
      <selection activeCell="O16" sqref="O16"/>
    </sheetView>
  </sheetViews>
  <sheetFormatPr defaultColWidth="8.85546875" defaultRowHeight="15"/>
  <cols>
    <col min="1" max="1" width="2.85546875" customWidth="1"/>
    <col min="2" max="2" width="5.85546875" customWidth="1"/>
    <col min="3" max="3" width="10" customWidth="1"/>
    <col min="4" max="4" width="8.85546875" customWidth="1"/>
    <col min="5" max="5" width="8.7109375" customWidth="1"/>
    <col min="6" max="6" width="10.140625" customWidth="1"/>
    <col min="7" max="8" width="8.7109375" customWidth="1"/>
    <col min="9" max="9" width="9.7109375" customWidth="1"/>
    <col min="10" max="10" width="10.140625" customWidth="1"/>
    <col min="11" max="11" width="10.28515625" customWidth="1"/>
    <col min="12" max="12" width="10.85546875" customWidth="1"/>
    <col min="13" max="13" width="9.28515625" customWidth="1"/>
    <col min="14" max="14" width="7.7109375" customWidth="1"/>
    <col min="15" max="15" width="8.140625" customWidth="1"/>
  </cols>
  <sheetData>
    <row r="3" spans="1:16" ht="15.75" customHeight="1">
      <c r="A3" s="162" t="s">
        <v>879</v>
      </c>
      <c r="B3" s="517" t="s">
        <v>970</v>
      </c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64"/>
      <c r="O3" s="64"/>
      <c r="P3" s="64"/>
    </row>
    <row r="4" spans="1:16" s="1" customFormat="1" ht="22.5" customHeight="1">
      <c r="A4" s="518"/>
      <c r="B4" s="518"/>
      <c r="C4" s="517" t="s">
        <v>880</v>
      </c>
      <c r="D4" s="517"/>
      <c r="E4" s="517"/>
      <c r="F4" s="517"/>
      <c r="G4" s="517"/>
      <c r="H4" s="517"/>
      <c r="I4" s="517"/>
      <c r="J4" s="517"/>
      <c r="K4" s="517"/>
      <c r="L4" s="517"/>
      <c r="M4" s="517"/>
    </row>
    <row r="5" spans="1:16" s="1" customFormat="1" ht="54.75" customHeight="1">
      <c r="A5" s="519"/>
      <c r="B5" s="519"/>
      <c r="C5" s="90" t="s">
        <v>51</v>
      </c>
      <c r="D5" s="90" t="s">
        <v>52</v>
      </c>
      <c r="E5" s="90" t="s">
        <v>53</v>
      </c>
      <c r="F5" s="74" t="s">
        <v>54</v>
      </c>
      <c r="G5" s="65" t="str">
        <f>'4e-f. Usage to GHG'!G5</f>
        <v xml:space="preserve">#2 Fuel Oil Usage (kBTU) </v>
      </c>
      <c r="H5" s="65" t="str">
        <f>'4e-f. Usage to GHG'!H5</f>
        <v xml:space="preserve">Fuel Oil #5/6 Usage (kBTU) </v>
      </c>
      <c r="I5" s="65" t="str">
        <f>'4e-f. Usage to GHG'!I5</f>
        <v xml:space="preserve">Fuel Oil #1 Usage (kBTU) </v>
      </c>
      <c r="J5" s="65" t="str">
        <f>'4e-f. Usage to GHG'!J5</f>
        <v xml:space="preserve">0 Usage (kBTU) </v>
      </c>
      <c r="K5" s="65" t="str">
        <f>'4e-f. Usage to GHG'!K5</f>
        <v>0 Usage (kBTU)</v>
      </c>
      <c r="L5" s="90" t="s">
        <v>55</v>
      </c>
      <c r="M5" s="90" t="s">
        <v>881</v>
      </c>
    </row>
    <row r="6" spans="1:16" s="1" customFormat="1" ht="21.75" customHeight="1">
      <c r="A6" s="519" t="s">
        <v>58</v>
      </c>
      <c r="B6" s="519"/>
      <c r="C6" s="85"/>
      <c r="D6" s="14"/>
      <c r="E6" s="14"/>
      <c r="F6" s="14"/>
      <c r="G6" s="14"/>
      <c r="H6" s="14"/>
      <c r="I6" s="14"/>
      <c r="J6" s="14"/>
      <c r="K6" s="14"/>
      <c r="L6" s="14"/>
      <c r="M6" s="15"/>
    </row>
    <row r="7" spans="1:16" s="1" customFormat="1" ht="21.75" customHeight="1">
      <c r="A7" s="519" t="s">
        <v>60</v>
      </c>
      <c r="B7" s="519"/>
      <c r="C7" s="85"/>
      <c r="D7" s="14"/>
      <c r="E7" s="14"/>
      <c r="F7" s="14"/>
      <c r="G7" s="14"/>
      <c r="H7" s="14"/>
      <c r="I7" s="14"/>
      <c r="J7" s="14"/>
      <c r="K7" s="14"/>
      <c r="L7" s="14"/>
      <c r="M7" s="15"/>
    </row>
    <row r="8" spans="1:16" s="1" customFormat="1" ht="21.75" customHeight="1">
      <c r="A8" s="520" t="s">
        <v>62</v>
      </c>
      <c r="B8" s="521"/>
      <c r="C8" s="85"/>
      <c r="D8" s="14"/>
      <c r="E8" s="14"/>
      <c r="F8" s="14"/>
      <c r="G8" s="14"/>
      <c r="H8" s="14"/>
      <c r="I8" s="14"/>
      <c r="J8" s="14"/>
      <c r="K8" s="14"/>
      <c r="L8" s="14"/>
      <c r="M8" s="15"/>
    </row>
    <row r="9" spans="1:16" s="1" customFormat="1" ht="21.75" customHeight="1">
      <c r="A9" s="519" t="s">
        <v>64</v>
      </c>
      <c r="B9" s="519"/>
      <c r="C9" s="85"/>
      <c r="D9" s="14"/>
      <c r="E9" s="14"/>
      <c r="F9" s="14"/>
      <c r="G9" s="14"/>
      <c r="H9" s="14"/>
      <c r="I9" s="14"/>
      <c r="J9" s="14"/>
      <c r="K9" s="14"/>
      <c r="L9" s="14"/>
      <c r="M9" s="15"/>
    </row>
    <row r="10" spans="1:16" s="1" customFormat="1" ht="21.75" customHeight="1">
      <c r="A10" s="519" t="s">
        <v>66</v>
      </c>
      <c r="B10" s="519"/>
      <c r="C10" s="85"/>
      <c r="D10" s="14"/>
      <c r="E10" s="14"/>
      <c r="F10" s="14"/>
      <c r="G10" s="14"/>
      <c r="H10" s="14"/>
      <c r="I10" s="14"/>
      <c r="J10" s="14"/>
      <c r="K10" s="14"/>
      <c r="L10" s="14"/>
      <c r="M10" s="15"/>
    </row>
    <row r="11" spans="1:16" ht="21.75" customHeight="1">
      <c r="A11" s="519" t="s">
        <v>68</v>
      </c>
      <c r="B11" s="519"/>
      <c r="C11" s="85"/>
      <c r="D11" s="14"/>
      <c r="E11" s="14"/>
      <c r="F11" s="14"/>
      <c r="G11" s="14"/>
      <c r="H11" s="14"/>
      <c r="I11" s="14"/>
      <c r="J11" s="14"/>
      <c r="K11" s="14"/>
      <c r="L11" s="14"/>
      <c r="M11" s="15"/>
    </row>
    <row r="12" spans="1:16" ht="21.75" customHeight="1">
      <c r="A12" s="519" t="s">
        <v>70</v>
      </c>
      <c r="B12" s="519"/>
      <c r="C12" s="85"/>
      <c r="D12" s="14"/>
      <c r="E12" s="14"/>
      <c r="F12" s="14"/>
      <c r="G12" s="14"/>
      <c r="H12" s="14"/>
      <c r="I12" s="14"/>
      <c r="J12" s="14"/>
      <c r="K12" s="14"/>
      <c r="L12" s="14"/>
      <c r="M12" s="15"/>
    </row>
    <row r="13" spans="1:16" ht="22.5" customHeight="1">
      <c r="A13" s="519" t="s">
        <v>71</v>
      </c>
      <c r="B13" s="519"/>
      <c r="C13" s="85"/>
      <c r="D13" s="14"/>
      <c r="E13" s="14"/>
      <c r="F13" s="14"/>
      <c r="G13" s="14"/>
      <c r="H13" s="14"/>
      <c r="I13" s="14"/>
      <c r="J13" s="14"/>
      <c r="K13" s="14"/>
      <c r="L13" s="14"/>
      <c r="M13" s="15"/>
    </row>
    <row r="14" spans="1:16" ht="21.75" customHeight="1">
      <c r="A14" s="519" t="s">
        <v>72</v>
      </c>
      <c r="B14" s="519"/>
      <c r="C14" s="85"/>
      <c r="D14" s="14"/>
      <c r="E14" s="14"/>
      <c r="F14" s="14"/>
      <c r="G14" s="14"/>
      <c r="H14" s="14"/>
      <c r="I14" s="14"/>
      <c r="J14" s="14"/>
      <c r="K14" s="14"/>
      <c r="L14" s="14"/>
      <c r="M14" s="15"/>
    </row>
    <row r="15" spans="1:16" ht="21.75" customHeight="1">
      <c r="A15" s="519" t="s">
        <v>73</v>
      </c>
      <c r="B15" s="519"/>
      <c r="C15" s="85"/>
      <c r="D15" s="14"/>
      <c r="E15" s="14"/>
      <c r="F15" s="14"/>
      <c r="G15" s="14"/>
      <c r="H15" s="14"/>
      <c r="I15" s="14"/>
      <c r="J15" s="14"/>
      <c r="K15" s="14"/>
      <c r="L15" s="14"/>
      <c r="M15" s="15"/>
    </row>
    <row r="16" spans="1:16" ht="21.75" customHeight="1">
      <c r="A16" s="519" t="s">
        <v>74</v>
      </c>
      <c r="B16" s="519"/>
      <c r="C16" s="85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 ht="21.75" customHeight="1">
      <c r="A17" s="519" t="s">
        <v>75</v>
      </c>
      <c r="B17" s="519"/>
      <c r="C17" s="85"/>
      <c r="D17" s="14"/>
      <c r="E17" s="14"/>
      <c r="F17" s="14"/>
      <c r="G17" s="14"/>
      <c r="H17" s="14"/>
      <c r="I17" s="14"/>
      <c r="J17" s="14"/>
      <c r="K17" s="14"/>
      <c r="L17" s="14"/>
      <c r="M17" s="15"/>
    </row>
    <row r="18" spans="1:13" ht="21.75" customHeight="1">
      <c r="A18" s="518" t="s">
        <v>37</v>
      </c>
      <c r="B18" s="518"/>
      <c r="C18" s="16">
        <f t="shared" ref="C18:K18" si="0">IF(SUM(C6:C17)=0,0,SUM(C6:C17))</f>
        <v>0</v>
      </c>
      <c r="D18" s="16">
        <f t="shared" si="0"/>
        <v>0</v>
      </c>
      <c r="E18" s="16">
        <f t="shared" si="0"/>
        <v>0</v>
      </c>
      <c r="F18" s="16">
        <f t="shared" si="0"/>
        <v>0</v>
      </c>
      <c r="G18" s="16">
        <f t="shared" si="0"/>
        <v>0</v>
      </c>
      <c r="H18" s="16">
        <f t="shared" si="0"/>
        <v>0</v>
      </c>
      <c r="I18" s="16">
        <f t="shared" si="0"/>
        <v>0</v>
      </c>
      <c r="J18" s="16">
        <f t="shared" si="0"/>
        <v>0</v>
      </c>
      <c r="K18" s="16">
        <f t="shared" si="0"/>
        <v>0</v>
      </c>
      <c r="L18" s="16"/>
      <c r="M18" s="76"/>
    </row>
    <row r="21" spans="1:13" ht="14.45" customHeight="1">
      <c r="A21" s="352"/>
      <c r="B21" s="352"/>
      <c r="C21" s="355" t="s">
        <v>882</v>
      </c>
      <c r="D21" s="355"/>
      <c r="E21" s="355"/>
      <c r="F21" s="355"/>
      <c r="G21" s="355"/>
      <c r="H21" s="355"/>
      <c r="I21" s="355"/>
      <c r="J21" s="355"/>
      <c r="K21" s="355"/>
    </row>
    <row r="22" spans="1:13" ht="22.5">
      <c r="A22" s="350"/>
      <c r="B22" s="350"/>
      <c r="C22" s="74" t="s">
        <v>59</v>
      </c>
      <c r="D22" s="90" t="s">
        <v>883</v>
      </c>
      <c r="E22" s="90" t="s">
        <v>78</v>
      </c>
      <c r="F22" s="90" t="s">
        <v>63</v>
      </c>
      <c r="G22" s="65" t="str">
        <f>'4e-f. Usage to GHG'!N9</f>
        <v>#2 Fuel Oil</v>
      </c>
      <c r="H22" s="65" t="str">
        <f>'4e-f. Usage to GHG'!N10</f>
        <v>Fuel Oil #5/6</v>
      </c>
      <c r="I22" s="65" t="str">
        <f>'4e-f. Usage to GHG'!N11</f>
        <v>Fuel Oil #1</v>
      </c>
      <c r="J22" s="65">
        <f>'4e-f. Usage to GHG'!N12</f>
        <v>0</v>
      </c>
      <c r="K22" s="65">
        <f>'4e-f. Usage to GHG'!N13</f>
        <v>0</v>
      </c>
    </row>
    <row r="23" spans="1:13" ht="14.45" customHeight="1">
      <c r="A23" s="350" t="s">
        <v>58</v>
      </c>
      <c r="B23" s="350"/>
      <c r="C23" s="35" t="str">
        <f>IF(C6="","",(C6-'4e-f. Usage to GHG'!C6)/'4e-f. Usage to GHG'!C6)</f>
        <v/>
      </c>
      <c r="D23" s="35" t="str">
        <f>IF(D6="","",(D6-'4e-f. Usage to GHG'!D6)/'4e-f. Usage to GHG'!D6)</f>
        <v/>
      </c>
      <c r="E23" s="35" t="str">
        <f>IF(E6="","",(E6-'4e-f. Usage to GHG'!E6)/'4e-f. Usage to GHG'!E6)</f>
        <v/>
      </c>
      <c r="F23" s="35" t="str">
        <f>IF(F6="","",(F6-'4e-f. Usage to GHG'!F6)/'4e-f. Usage to GHG'!F6)</f>
        <v/>
      </c>
      <c r="G23" s="35" t="str">
        <f>IF(G6="","",(G6-'4e-f. Usage to GHG'!G6)/'4e-f. Usage to GHG'!G6)</f>
        <v/>
      </c>
      <c r="H23" s="35" t="str">
        <f>IF(H6="","",(H6-'4e-f. Usage to GHG'!H6)/'4e-f. Usage to GHG'!H6)</f>
        <v/>
      </c>
      <c r="I23" s="35" t="str">
        <f>IF(I6="","",(I6-'4e-f. Usage to GHG'!I6)/'4e-f. Usage to GHG'!I6)</f>
        <v/>
      </c>
      <c r="J23" s="35" t="str">
        <f>IF(J6="","",(J6-'4e-f. Usage to GHG'!J6)/'4e-f. Usage to GHG'!J6)</f>
        <v/>
      </c>
      <c r="K23" s="35" t="str">
        <f>IF(K6="","",(K6-'4e-f. Usage to GHG'!K6)/'4e-f. Usage to GHG'!K6)</f>
        <v/>
      </c>
    </row>
    <row r="24" spans="1:13">
      <c r="A24" s="350" t="s">
        <v>60</v>
      </c>
      <c r="B24" s="350"/>
      <c r="C24" s="35" t="str">
        <f>IF(C7="","",(C7-'4e-f. Usage to GHG'!C7)/'4e-f. Usage to GHG'!C7)</f>
        <v/>
      </c>
      <c r="D24" s="35" t="str">
        <f>IF(D7="","",(D7-'4e-f. Usage to GHG'!D7)/'4e-f. Usage to GHG'!D7)</f>
        <v/>
      </c>
      <c r="E24" s="35" t="str">
        <f>IF(E7="","",(E7-'4e-f. Usage to GHG'!E7)/'4e-f. Usage to GHG'!E7)</f>
        <v/>
      </c>
      <c r="F24" s="35" t="str">
        <f>IF(F7="","",(F7-'4e-f. Usage to GHG'!F7)/'4e-f. Usage to GHG'!F7)</f>
        <v/>
      </c>
      <c r="G24" s="35" t="str">
        <f>IF(G7="","",(G7-'4e-f. Usage to GHG'!G7)/'4e-f. Usage to GHG'!G7)</f>
        <v/>
      </c>
      <c r="H24" s="35" t="str">
        <f>IF(H7="","",(H7-'4e-f. Usage to GHG'!H7)/'4e-f. Usage to GHG'!H7)</f>
        <v/>
      </c>
      <c r="I24" s="35" t="str">
        <f>IF(I7="","",(I7-'4e-f. Usage to GHG'!I7)/'4e-f. Usage to GHG'!I7)</f>
        <v/>
      </c>
      <c r="J24" s="35" t="str">
        <f>IF(J7="","",(J7-'4e-f. Usage to GHG'!J7)/'4e-f. Usage to GHG'!J7)</f>
        <v/>
      </c>
      <c r="K24" s="35" t="str">
        <f>IF(K7="","",(K7-'4e-f. Usage to GHG'!K7)/'4e-f. Usage to GHG'!K7)</f>
        <v/>
      </c>
    </row>
    <row r="25" spans="1:13">
      <c r="A25" s="353" t="s">
        <v>62</v>
      </c>
      <c r="B25" s="354"/>
      <c r="C25" s="35" t="str">
        <f>IF(C8="","",(C8-'4e-f. Usage to GHG'!C8)/'4e-f. Usage to GHG'!C8)</f>
        <v/>
      </c>
      <c r="D25" s="35" t="str">
        <f>IF(D8="","",(D8-'4e-f. Usage to GHG'!D8)/'4e-f. Usage to GHG'!D8)</f>
        <v/>
      </c>
      <c r="E25" s="35" t="str">
        <f>IF(E8="","",(E8-'4e-f. Usage to GHG'!E8)/'4e-f. Usage to GHG'!E8)</f>
        <v/>
      </c>
      <c r="F25" s="35" t="str">
        <f>IF(F8="","",(F8-'4e-f. Usage to GHG'!F8)/'4e-f. Usage to GHG'!F8)</f>
        <v/>
      </c>
      <c r="G25" s="35" t="str">
        <f>IF(G8="","",(G8-'4e-f. Usage to GHG'!G8)/'4e-f. Usage to GHG'!G8)</f>
        <v/>
      </c>
      <c r="H25" s="35" t="str">
        <f>IF(H8="","",(H8-'4e-f. Usage to GHG'!H8)/'4e-f. Usage to GHG'!H8)</f>
        <v/>
      </c>
      <c r="I25" s="35" t="str">
        <f>IF(I8="","",(I8-'4e-f. Usage to GHG'!I8)/'4e-f. Usage to GHG'!I8)</f>
        <v/>
      </c>
      <c r="J25" s="35" t="str">
        <f>IF(J8="","",(J8-'4e-f. Usage to GHG'!J8)/'4e-f. Usage to GHG'!J8)</f>
        <v/>
      </c>
      <c r="K25" s="35" t="str">
        <f>IF(K8="","",(K8-'4e-f. Usage to GHG'!K8)/'4e-f. Usage to GHG'!K8)</f>
        <v/>
      </c>
    </row>
    <row r="26" spans="1:13">
      <c r="A26" s="350" t="s">
        <v>64</v>
      </c>
      <c r="B26" s="350"/>
      <c r="C26" s="35" t="str">
        <f>IF(C9="","",(C9-'4e-f. Usage to GHG'!C9)/'4e-f. Usage to GHG'!C9)</f>
        <v/>
      </c>
      <c r="D26" s="35" t="str">
        <f>IF(D9="","",(D9-'4e-f. Usage to GHG'!D9)/'4e-f. Usage to GHG'!D9)</f>
        <v/>
      </c>
      <c r="E26" s="35" t="str">
        <f>IF(E9="","",(E9-'4e-f. Usage to GHG'!E9)/'4e-f. Usage to GHG'!E9)</f>
        <v/>
      </c>
      <c r="F26" s="35" t="str">
        <f>IF(F9="","",(F9-'4e-f. Usage to GHG'!F9)/'4e-f. Usage to GHG'!F9)</f>
        <v/>
      </c>
      <c r="G26" s="35" t="str">
        <f>IF(G9="","",(G9-'4e-f. Usage to GHG'!G9)/'4e-f. Usage to GHG'!G9)</f>
        <v/>
      </c>
      <c r="H26" s="35" t="str">
        <f>IF(H9="","",(H9-'4e-f. Usage to GHG'!H9)/'4e-f. Usage to GHG'!H9)</f>
        <v/>
      </c>
      <c r="I26" s="35" t="str">
        <f>IF(I9="","",(I9-'4e-f. Usage to GHG'!I9)/'4e-f. Usage to GHG'!I9)</f>
        <v/>
      </c>
      <c r="J26" s="35" t="str">
        <f>IF(J9="","",(J9-'4e-f. Usage to GHG'!J9)/'4e-f. Usage to GHG'!J9)</f>
        <v/>
      </c>
      <c r="K26" s="35" t="str">
        <f>IF(K9="","",(K9-'4e-f. Usage to GHG'!K9)/'4e-f. Usage to GHG'!K9)</f>
        <v/>
      </c>
    </row>
    <row r="27" spans="1:13">
      <c r="A27" s="350" t="s">
        <v>66</v>
      </c>
      <c r="B27" s="350"/>
      <c r="C27" s="35" t="str">
        <f>IF(C10="","",(C10-'4e-f. Usage to GHG'!C10)/'4e-f. Usage to GHG'!C10)</f>
        <v/>
      </c>
      <c r="D27" s="35" t="str">
        <f>IF(D10="","",(D10-'4e-f. Usage to GHG'!D10)/'4e-f. Usage to GHG'!D10)</f>
        <v/>
      </c>
      <c r="E27" s="35" t="str">
        <f>IF(E10="","",(E10-'4e-f. Usage to GHG'!E10)/'4e-f. Usage to GHG'!E10)</f>
        <v/>
      </c>
      <c r="F27" s="35" t="str">
        <f>IF(F10="","",(F10-'4e-f. Usage to GHG'!F10)/'4e-f. Usage to GHG'!F10)</f>
        <v/>
      </c>
      <c r="G27" s="35" t="str">
        <f>IF(G10="","",(G10-'4e-f. Usage to GHG'!G10)/'4e-f. Usage to GHG'!G10)</f>
        <v/>
      </c>
      <c r="H27" s="35" t="str">
        <f>IF(H10="","",(H10-'4e-f. Usage to GHG'!H10)/'4e-f. Usage to GHG'!H10)</f>
        <v/>
      </c>
      <c r="I27" s="35" t="str">
        <f>IF(I10="","",(I10-'4e-f. Usage to GHG'!I10)/'4e-f. Usage to GHG'!I10)</f>
        <v/>
      </c>
      <c r="J27" s="35" t="str">
        <f>IF(J10="","",(J10-'4e-f. Usage to GHG'!J10)/'4e-f. Usage to GHG'!J10)</f>
        <v/>
      </c>
      <c r="K27" s="35" t="str">
        <f>IF(K10="","",(K10-'4e-f. Usage to GHG'!K10)/'4e-f. Usage to GHG'!K10)</f>
        <v/>
      </c>
    </row>
    <row r="28" spans="1:13">
      <c r="A28" s="350" t="s">
        <v>68</v>
      </c>
      <c r="B28" s="350"/>
      <c r="C28" s="35" t="str">
        <f>IF(C11="","",(C11-'4e-f. Usage to GHG'!C11)/'4e-f. Usage to GHG'!C11)</f>
        <v/>
      </c>
      <c r="D28" s="35" t="str">
        <f>IF(D11="","",(D11-'4e-f. Usage to GHG'!D11)/'4e-f. Usage to GHG'!D11)</f>
        <v/>
      </c>
      <c r="E28" s="35" t="str">
        <f>IF(E11="","",(E11-'4e-f. Usage to GHG'!E11)/'4e-f. Usage to GHG'!E11)</f>
        <v/>
      </c>
      <c r="F28" s="35" t="str">
        <f>IF(F11="","",(F11-'4e-f. Usage to GHG'!F11)/'4e-f. Usage to GHG'!F11)</f>
        <v/>
      </c>
      <c r="G28" s="35" t="str">
        <f>IF(G11="","",(G11-'4e-f. Usage to GHG'!G11)/'4e-f. Usage to GHG'!G11)</f>
        <v/>
      </c>
      <c r="H28" s="35" t="str">
        <f>IF(H11="","",(H11-'4e-f. Usage to GHG'!H11)/'4e-f. Usage to GHG'!H11)</f>
        <v/>
      </c>
      <c r="I28" s="35" t="str">
        <f>IF(I11="","",(I11-'4e-f. Usage to GHG'!I11)/'4e-f. Usage to GHG'!I11)</f>
        <v/>
      </c>
      <c r="J28" s="35" t="str">
        <f>IF(J11="","",(J11-'4e-f. Usage to GHG'!J11)/'4e-f. Usage to GHG'!J11)</f>
        <v/>
      </c>
      <c r="K28" s="35" t="str">
        <f>IF(K11="","",(K11-'4e-f. Usage to GHG'!K11)/'4e-f. Usage to GHG'!K11)</f>
        <v/>
      </c>
    </row>
    <row r="29" spans="1:13">
      <c r="A29" s="350" t="s">
        <v>70</v>
      </c>
      <c r="B29" s="350"/>
      <c r="C29" s="35" t="str">
        <f>IF(C12="","",(C12-'4e-f. Usage to GHG'!C12)/'4e-f. Usage to GHG'!C12)</f>
        <v/>
      </c>
      <c r="D29" s="35" t="str">
        <f>IF(D12="","",(D12-'4e-f. Usage to GHG'!D12)/'4e-f. Usage to GHG'!D12)</f>
        <v/>
      </c>
      <c r="E29" s="35" t="str">
        <f>IF(E12="","",(E12-'4e-f. Usage to GHG'!E12)/'4e-f. Usage to GHG'!E12)</f>
        <v/>
      </c>
      <c r="F29" s="35" t="str">
        <f>IF(F12="","",(F12-'4e-f. Usage to GHG'!F12)/'4e-f. Usage to GHG'!F12)</f>
        <v/>
      </c>
      <c r="G29" s="35" t="str">
        <f>IF(G12="","",(G12-'4e-f. Usage to GHG'!G12)/'4e-f. Usage to GHG'!G12)</f>
        <v/>
      </c>
      <c r="H29" s="35" t="str">
        <f>IF(H12="","",(H12-'4e-f. Usage to GHG'!H12)/'4e-f. Usage to GHG'!H12)</f>
        <v/>
      </c>
      <c r="I29" s="35" t="str">
        <f>IF(I12="","",(I12-'4e-f. Usage to GHG'!I12)/'4e-f. Usage to GHG'!I12)</f>
        <v/>
      </c>
      <c r="J29" s="35" t="str">
        <f>IF(J12="","",(J12-'4e-f. Usage to GHG'!J12)/'4e-f. Usage to GHG'!J12)</f>
        <v/>
      </c>
      <c r="K29" s="35" t="str">
        <f>IF(K12="","",(K12-'4e-f. Usage to GHG'!K12)/'4e-f. Usage to GHG'!K12)</f>
        <v/>
      </c>
    </row>
    <row r="30" spans="1:13">
      <c r="A30" s="350" t="s">
        <v>71</v>
      </c>
      <c r="B30" s="350"/>
      <c r="C30" s="35" t="str">
        <f>IF(C13="","",(C13-'4e-f. Usage to GHG'!C13)/'4e-f. Usage to GHG'!C13)</f>
        <v/>
      </c>
      <c r="D30" s="35" t="str">
        <f>IF(D13="","",(D13-'4e-f. Usage to GHG'!D13)/'4e-f. Usage to GHG'!D13)</f>
        <v/>
      </c>
      <c r="E30" s="35" t="str">
        <f>IF(E13="","",(E13-'4e-f. Usage to GHG'!E13)/'4e-f. Usage to GHG'!E13)</f>
        <v/>
      </c>
      <c r="F30" s="35" t="str">
        <f>IF(F13="","",(F13-'4e-f. Usage to GHG'!F13)/'4e-f. Usage to GHG'!F13)</f>
        <v/>
      </c>
      <c r="G30" s="35" t="str">
        <f>IF(G13="","",(G13-'4e-f. Usage to GHG'!G13)/'4e-f. Usage to GHG'!G13)</f>
        <v/>
      </c>
      <c r="H30" s="35" t="str">
        <f>IF(H13="","",(H13-'4e-f. Usage to GHG'!H13)/'4e-f. Usage to GHG'!H13)</f>
        <v/>
      </c>
      <c r="I30" s="35" t="str">
        <f>IF(I13="","",(I13-'4e-f. Usage to GHG'!I13)/'4e-f. Usage to GHG'!I13)</f>
        <v/>
      </c>
      <c r="J30" s="35" t="str">
        <f>IF(J13="","",(J13-'4e-f. Usage to GHG'!J13)/'4e-f. Usage to GHG'!J13)</f>
        <v/>
      </c>
      <c r="K30" s="35" t="str">
        <f>IF(K13="","",(K13-'4e-f. Usage to GHG'!K13)/'4e-f. Usage to GHG'!K13)</f>
        <v/>
      </c>
    </row>
    <row r="31" spans="1:13">
      <c r="A31" s="350" t="s">
        <v>72</v>
      </c>
      <c r="B31" s="350"/>
      <c r="C31" s="35" t="str">
        <f>IF(C14="","",(C14-'4e-f. Usage to GHG'!C14)/'4e-f. Usage to GHG'!C14)</f>
        <v/>
      </c>
      <c r="D31" s="35" t="str">
        <f>IF(D14="","",(D14-'4e-f. Usage to GHG'!D14)/'4e-f. Usage to GHG'!D14)</f>
        <v/>
      </c>
      <c r="E31" s="35" t="str">
        <f>IF(E14="","",(E14-'4e-f. Usage to GHG'!E14)/'4e-f. Usage to GHG'!E14)</f>
        <v/>
      </c>
      <c r="F31" s="35" t="str">
        <f>IF(F14="","",(F14-'4e-f. Usage to GHG'!F14)/'4e-f. Usage to GHG'!F14)</f>
        <v/>
      </c>
      <c r="G31" s="35" t="str">
        <f>IF(G14="","",(G14-'4e-f. Usage to GHG'!G14)/'4e-f. Usage to GHG'!G14)</f>
        <v/>
      </c>
      <c r="H31" s="35" t="str">
        <f>IF(H14="","",(H14-'4e-f. Usage to GHG'!H14)/'4e-f. Usage to GHG'!H14)</f>
        <v/>
      </c>
      <c r="I31" s="35" t="str">
        <f>IF(I14="","",(I14-'4e-f. Usage to GHG'!I14)/'4e-f. Usage to GHG'!I14)</f>
        <v/>
      </c>
      <c r="J31" s="35" t="str">
        <f>IF(J14="","",(J14-'4e-f. Usage to GHG'!J14)/'4e-f. Usage to GHG'!J14)</f>
        <v/>
      </c>
      <c r="K31" s="35" t="str">
        <f>IF(K14="","",(K14-'4e-f. Usage to GHG'!K14)/'4e-f. Usage to GHG'!K14)</f>
        <v/>
      </c>
    </row>
    <row r="32" spans="1:13">
      <c r="A32" s="350" t="s">
        <v>73</v>
      </c>
      <c r="B32" s="350"/>
      <c r="C32" s="35" t="str">
        <f>IF(C15="","",(C15-'4e-f. Usage to GHG'!C15)/'4e-f. Usage to GHG'!C15)</f>
        <v/>
      </c>
      <c r="D32" s="35" t="str">
        <f>IF(D15="","",(D15-'4e-f. Usage to GHG'!D15)/'4e-f. Usage to GHG'!D15)</f>
        <v/>
      </c>
      <c r="E32" s="35" t="str">
        <f>IF(E15="","",(E15-'4e-f. Usage to GHG'!E15)/'4e-f. Usage to GHG'!E15)</f>
        <v/>
      </c>
      <c r="F32" s="35" t="str">
        <f>IF(F15="","",(F15-'4e-f. Usage to GHG'!F15)/'4e-f. Usage to GHG'!F15)</f>
        <v/>
      </c>
      <c r="G32" s="35" t="str">
        <f>IF(G15="","",(G15-'4e-f. Usage to GHG'!G15)/'4e-f. Usage to GHG'!G15)</f>
        <v/>
      </c>
      <c r="H32" s="35" t="str">
        <f>IF(H15="","",(H15-'4e-f. Usage to GHG'!H15)/'4e-f. Usage to GHG'!H15)</f>
        <v/>
      </c>
      <c r="I32" s="35" t="str">
        <f>IF(I15="","",(I15-'4e-f. Usage to GHG'!I15)/'4e-f. Usage to GHG'!I15)</f>
        <v/>
      </c>
      <c r="J32" s="35" t="str">
        <f>IF(J15="","",(J15-'4e-f. Usage to GHG'!J15)/'4e-f. Usage to GHG'!J15)</f>
        <v/>
      </c>
      <c r="K32" s="35" t="str">
        <f>IF(K15="","",(K15-'4e-f. Usage to GHG'!K15)/'4e-f. Usage to GHG'!K15)</f>
        <v/>
      </c>
    </row>
    <row r="33" spans="1:11">
      <c r="A33" s="350" t="s">
        <v>74</v>
      </c>
      <c r="B33" s="350"/>
      <c r="C33" s="35" t="str">
        <f>IF(C16="","",(C16-'4e-f. Usage to GHG'!C16)/'4e-f. Usage to GHG'!C16)</f>
        <v/>
      </c>
      <c r="D33" s="35" t="str">
        <f>IF(D16="","",(D16-'4e-f. Usage to GHG'!D16)/'4e-f. Usage to GHG'!D16)</f>
        <v/>
      </c>
      <c r="E33" s="35" t="str">
        <f>IF(E16="","",(E16-'4e-f. Usage to GHG'!E16)/'4e-f. Usage to GHG'!E16)</f>
        <v/>
      </c>
      <c r="F33" s="35" t="str">
        <f>IF(F16="","",(F16-'4e-f. Usage to GHG'!F16)/'4e-f. Usage to GHG'!F16)</f>
        <v/>
      </c>
      <c r="G33" s="35" t="str">
        <f>IF(G16="","",(G16-'4e-f. Usage to GHG'!G16)/'4e-f. Usage to GHG'!G16)</f>
        <v/>
      </c>
      <c r="H33" s="35" t="str">
        <f>IF(H16="","",(H16-'4e-f. Usage to GHG'!H16)/'4e-f. Usage to GHG'!H16)</f>
        <v/>
      </c>
      <c r="I33" s="35" t="str">
        <f>IF(I16="","",(I16-'4e-f. Usage to GHG'!I16)/'4e-f. Usage to GHG'!I16)</f>
        <v/>
      </c>
      <c r="J33" s="35" t="str">
        <f>IF(J16="","",(J16-'4e-f. Usage to GHG'!J16)/'4e-f. Usage to GHG'!J16)</f>
        <v/>
      </c>
      <c r="K33" s="35" t="str">
        <f>IF(K16="","",(K16-'4e-f. Usage to GHG'!K16)/'4e-f. Usage to GHG'!K16)</f>
        <v/>
      </c>
    </row>
    <row r="34" spans="1:11">
      <c r="A34" s="350" t="s">
        <v>75</v>
      </c>
      <c r="B34" s="350"/>
      <c r="C34" s="35" t="str">
        <f>IF(C17="","",(C17-'4e-f. Usage to GHG'!C17)/'4e-f. Usage to GHG'!C17)</f>
        <v/>
      </c>
      <c r="D34" s="35" t="str">
        <f>IF(D17="","",(D17-'4e-f. Usage to GHG'!D17)/'4e-f. Usage to GHG'!D17)</f>
        <v/>
      </c>
      <c r="E34" s="35" t="str">
        <f>IF(E17="","",(E17-'4e-f. Usage to GHG'!E17)/'4e-f. Usage to GHG'!E17)</f>
        <v/>
      </c>
      <c r="F34" s="35" t="str">
        <f>IF(F17="","",(F17-'4e-f. Usage to GHG'!F17)/'4e-f. Usage to GHG'!F17)</f>
        <v/>
      </c>
      <c r="G34" s="35" t="str">
        <f>IF(G17="","",(G17-'4e-f. Usage to GHG'!G17)/'4e-f. Usage to GHG'!G17)</f>
        <v/>
      </c>
      <c r="H34" s="35" t="str">
        <f>IF(H17="","",(H17-'4e-f. Usage to GHG'!H17)/'4e-f. Usage to GHG'!H17)</f>
        <v/>
      </c>
      <c r="I34" s="35" t="str">
        <f>IF(I17="","",(I17-'4e-f. Usage to GHG'!I17)/'4e-f. Usage to GHG'!I17)</f>
        <v/>
      </c>
      <c r="J34" s="35" t="str">
        <f>IF(J17="","",(J17-'4e-f. Usage to GHG'!J17)/'4e-f. Usage to GHG'!J17)</f>
        <v/>
      </c>
      <c r="K34" s="35" t="str">
        <f>IF(K17="","",(K17-'4e-f. Usage to GHG'!K17)/'4e-f. Usage to GHG'!K17)</f>
        <v/>
      </c>
    </row>
    <row r="35" spans="1:11">
      <c r="A35" s="352" t="s">
        <v>37</v>
      </c>
      <c r="B35" s="352"/>
      <c r="C35" s="35" t="str">
        <f>IF(C18=0,"",(C18-'4e-f. Usage to GHG'!C18)/'4e-f. Usage to GHG'!C18)</f>
        <v/>
      </c>
      <c r="D35" s="35" t="str">
        <f>IF(D18=0,"",(D18-'4e-f. Usage to GHG'!D18)/'4e-f. Usage to GHG'!D18)</f>
        <v/>
      </c>
      <c r="E35" s="35" t="str">
        <f>IF(E18=0,"",(E18-'4e-f. Usage to GHG'!E18)/'4e-f. Usage to GHG'!E18)</f>
        <v/>
      </c>
      <c r="F35" s="35" t="str">
        <f>IF(F18=0,"",(F18-'4e-f. Usage to GHG'!F18)/'4e-f. Usage to GHG'!F18)</f>
        <v/>
      </c>
      <c r="G35" s="35" t="str">
        <f>IF(G18=0,"",(G18-'4e-f. Usage to GHG'!G18)/'4e-f. Usage to GHG'!G18)</f>
        <v/>
      </c>
      <c r="H35" s="35" t="str">
        <f>IF(H18=0,"",(H18-'4e-f. Usage to GHG'!H18)/'4e-f. Usage to GHG'!H18)</f>
        <v/>
      </c>
      <c r="I35" s="35" t="str">
        <f>IF(I18=0,"",(I18-'4e-f. Usage to GHG'!I18)/'4e-f. Usage to GHG'!I18)</f>
        <v/>
      </c>
      <c r="J35" s="35" t="str">
        <f>IF(J18=0,"",(J18-'4e-f. Usage to GHG'!J18)/'4e-f. Usage to GHG'!J18)</f>
        <v/>
      </c>
      <c r="K35" s="35" t="str">
        <f>IF(K18=0,"",(K18-'4e-f. Usage to GHG'!K18)/'4e-f. Usage to GHG'!K18)</f>
        <v/>
      </c>
    </row>
    <row r="36" spans="1:11">
      <c r="A36" s="352" t="s">
        <v>884</v>
      </c>
      <c r="B36" s="352"/>
      <c r="C36" s="57" t="str">
        <f>IF(C23="","",(C18-'4e-f. Usage to GHG'!C18)/'4e-f. Usage to GHG'!C18)</f>
        <v/>
      </c>
      <c r="D36" s="57" t="str">
        <f>IF(D23="","",(D18-'4e-f. Usage to GHG'!D18)/'4e-f. Usage to GHG'!D18)</f>
        <v/>
      </c>
      <c r="E36" s="57" t="str">
        <f>IF(E23="","",(E18-'4e-f. Usage to GHG'!E18)/'4e-f. Usage to GHG'!E18)</f>
        <v/>
      </c>
      <c r="F36" s="57" t="str">
        <f>IF(F23="","",(F18-'4e-f. Usage to GHG'!F18)/'4e-f. Usage to GHG'!F18)</f>
        <v/>
      </c>
      <c r="G36" s="57" t="str">
        <f>IF(G23="","",(G18-'4e-f. Usage to GHG'!G18)/'4e-f. Usage to GHG'!G18)</f>
        <v/>
      </c>
      <c r="H36" s="57" t="str">
        <f>IF(H23="","",(H18-'4e-f. Usage to GHG'!H18)/'4e-f. Usage to GHG'!H18)</f>
        <v/>
      </c>
      <c r="I36" s="57" t="str">
        <f>IF(I23="","",(I18-'4e-f. Usage to GHG'!I18)/'4e-f. Usage to GHG'!I18)</f>
        <v/>
      </c>
      <c r="J36" s="57" t="str">
        <f>IF(J23="","",(J18-'4e-f. Usage to GHG'!J18)/'4e-f. Usage to GHG'!J18)</f>
        <v/>
      </c>
      <c r="K36" s="57" t="str">
        <f>IF(K23="","",(K18-'4e-f. Usage to GHG'!K18)/'4e-f. Usage to GHG'!K18)</f>
        <v/>
      </c>
    </row>
    <row r="37" spans="1:11" ht="14.1" customHeight="1">
      <c r="A37" s="352" t="s">
        <v>885</v>
      </c>
      <c r="B37" s="352"/>
      <c r="C37" s="57" t="str">
        <f>IF(C36="","",'8a. Calculations'!B16/AVERAGE('4e-f. Usage to GHG'!C6:C17))</f>
        <v/>
      </c>
      <c r="D37" s="57" t="str">
        <f>IF(D36="","",'8a. Calculations'!C16/AVERAGE('4e-f. Usage to GHG'!D6:D17))</f>
        <v/>
      </c>
      <c r="E37" s="57" t="str">
        <f>IF(E36="","",'8a. Calculations'!D16/AVERAGE('4e-f. Usage to GHG'!E6:E17))</f>
        <v/>
      </c>
      <c r="F37" s="57" t="str">
        <f>IF(F36="","",'8a. Calculations'!E16/AVERAGE('4e-f. Usage to GHG'!F6:F17))</f>
        <v/>
      </c>
      <c r="G37" s="57" t="str">
        <f>IF(G36="","",'8a. Calculations'!F16/AVERAGE('4e-f. Usage to GHG'!G6:G17))</f>
        <v/>
      </c>
      <c r="H37" s="57" t="str">
        <f>IF(H36="","",'8a. Calculations'!G16/AVERAGE('4e-f. Usage to GHG'!H6:H17))</f>
        <v/>
      </c>
      <c r="I37" s="57" t="str">
        <f>IF(I36="","",'8a. Calculations'!H16/AVERAGE('4e-f. Usage to GHG'!I6:I17))</f>
        <v/>
      </c>
      <c r="J37" s="57" t="str">
        <f>IF(J36="","",'8a. Calculations'!I16/AVERAGE('4e-f. Usage to GHG'!J6:J17))</f>
        <v/>
      </c>
      <c r="K37" s="57" t="str">
        <f>IF(K36="","",'8a. Calculations'!J16/AVERAGE('4e-f. Usage to GHG'!K6:K17))</f>
        <v/>
      </c>
    </row>
    <row r="38" spans="1:11" ht="53.25" customHeight="1">
      <c r="A38" s="352" t="s">
        <v>886</v>
      </c>
      <c r="B38" s="352"/>
      <c r="C38" s="58" t="str">
        <f t="shared" ref="C38" si="1">IF(C36="","",IF(AND(ABS(C36)&lt;5%,C37&lt;15%),"Yes","No"))</f>
        <v/>
      </c>
      <c r="D38" s="58" t="str">
        <f>IF(D36="","",IF(AND(ABS(D36)&lt;5%,D37&lt;15%),"Yes","No"))</f>
        <v/>
      </c>
      <c r="E38" s="58" t="str">
        <f t="shared" ref="E38:G38" si="2">IF(E36="","",IF(AND(ABS(E36)&lt;5%,E37&lt;15%),"Yes","No"))</f>
        <v/>
      </c>
      <c r="F38" s="58" t="str">
        <f t="shared" si="2"/>
        <v/>
      </c>
      <c r="G38" s="58" t="str">
        <f t="shared" si="2"/>
        <v/>
      </c>
      <c r="H38" s="58" t="str">
        <f>IF(H36="","",IF(AND(ABS(H36)&lt;5%,H37&lt;15%),"Yes","No"))</f>
        <v/>
      </c>
      <c r="I38" s="58" t="str">
        <f>IF(I36="","",IF(AND(ABS(I36)&lt;5%,I37&lt;15%),"Yes","No"))</f>
        <v/>
      </c>
      <c r="J38" s="58" t="str">
        <f>IF(J36="","",IF(AND(ABS(J36)&lt;5%,J37&lt;15%),"Yes","No"))</f>
        <v/>
      </c>
      <c r="K38" s="58" t="str">
        <f>IF(K36="","",IF(AND(ABS(K36)&lt;5%,K37&lt;15%),"Yes","No"))</f>
        <v/>
      </c>
    </row>
  </sheetData>
  <sheetProtection algorithmName="SHA-512" hashValue="n5HOyDfJ46VNOkDCBdgCZWS11ZbblECyuGsZwYvDov1U5sza8e+NhKc1DoqX91otVxuJzwkECHIxmqE80mpYJw==" saltValue="PC/kEmiKkEdQD/v8awESKg==" spinCount="100000" sheet="1" formatCells="0" formatColumns="0" formatRows="0"/>
  <mergeCells count="36">
    <mergeCell ref="A29:B29"/>
    <mergeCell ref="A35:B35"/>
    <mergeCell ref="A36:B36"/>
    <mergeCell ref="A37:B37"/>
    <mergeCell ref="A38:B38"/>
    <mergeCell ref="A30:B30"/>
    <mergeCell ref="A31:B31"/>
    <mergeCell ref="A32:B32"/>
    <mergeCell ref="A33:B33"/>
    <mergeCell ref="A34:B34"/>
    <mergeCell ref="A24:B24"/>
    <mergeCell ref="A25:B25"/>
    <mergeCell ref="A26:B26"/>
    <mergeCell ref="A27:B27"/>
    <mergeCell ref="A28:B28"/>
    <mergeCell ref="A8:B8"/>
    <mergeCell ref="A16:B16"/>
    <mergeCell ref="A21:B21"/>
    <mergeCell ref="A22:B22"/>
    <mergeCell ref="A23:B23"/>
    <mergeCell ref="C4:M4"/>
    <mergeCell ref="B3:M3"/>
    <mergeCell ref="C21:K21"/>
    <mergeCell ref="A18:B18"/>
    <mergeCell ref="A4:B4"/>
    <mergeCell ref="A17:B17"/>
    <mergeCell ref="A5:B5"/>
    <mergeCell ref="A14:B14"/>
    <mergeCell ref="A6:B6"/>
    <mergeCell ref="A7:B7"/>
    <mergeCell ref="A9:B9"/>
    <mergeCell ref="A10:B10"/>
    <mergeCell ref="A11:B11"/>
    <mergeCell ref="A12:B12"/>
    <mergeCell ref="A13:B13"/>
    <mergeCell ref="A15:B15"/>
  </mergeCells>
  <conditionalFormatting sqref="E6:L17">
    <cfRule type="containsBlanks" dxfId="13" priority="6">
      <formula>LEN(TRIM(E6))=0</formula>
    </cfRule>
    <cfRule type="containsBlanks" dxfId="12" priority="9">
      <formula>LEN(TRIM(E6))=0</formula>
    </cfRule>
  </conditionalFormatting>
  <conditionalFormatting sqref="M6:M17">
    <cfRule type="containsBlanks" dxfId="11" priority="7">
      <formula>LEN(TRIM(M6))=0</formula>
    </cfRule>
  </conditionalFormatting>
  <conditionalFormatting sqref="D6:D17">
    <cfRule type="containsBlanks" dxfId="10" priority="1">
      <formula>LEN(TRIM(D6))=0</formula>
    </cfRule>
    <cfRule type="containsBlanks" dxfId="9" priority="2">
      <formula>LEN(TRIM(D6))=0</formula>
    </cfRule>
  </conditionalFormatting>
  <pageMargins left="0.4498611111111111" right="0.65770833333333334" top="0.75" bottom="0.75" header="0.3" footer="0.3"/>
  <pageSetup scale="82" orientation="portrait" r:id="rId1"/>
  <headerFooter>
    <oddHeader>&amp;L&amp;G&amp;R&amp;"Liberation Sans,Bold"&amp;14&amp;K00247D
EN97A: GHG Adjustments Form</oddHeader>
    <oddFooter>&amp;L&amp;"Liberation Sans,Regular"Version 1.3&amp;R&amp;"Liberation Sans,Regular"February  2022</oddFooter>
  </headerFooter>
  <legacyDrawingHF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9F2FC-F4FB-4F55-B910-DE49D438CE9B}">
  <sheetPr codeName="Sheet49"/>
  <dimension ref="A1:L54"/>
  <sheetViews>
    <sheetView workbookViewId="0">
      <selection activeCell="H18" sqref="H18"/>
    </sheetView>
  </sheetViews>
  <sheetFormatPr defaultColWidth="8.85546875" defaultRowHeight="15"/>
  <cols>
    <col min="2" max="2" width="11.85546875" bestFit="1" customWidth="1"/>
  </cols>
  <sheetData>
    <row r="1" spans="1:10">
      <c r="B1" s="522"/>
      <c r="C1" s="522"/>
      <c r="D1" s="522"/>
      <c r="E1" s="522"/>
      <c r="F1" s="522"/>
    </row>
    <row r="2" spans="1:10">
      <c r="A2" s="1"/>
      <c r="B2" s="52"/>
      <c r="C2" s="1"/>
      <c r="D2" s="1"/>
      <c r="E2" s="1"/>
      <c r="F2" s="52"/>
    </row>
    <row r="3" spans="1:10" ht="57">
      <c r="A3" s="1"/>
      <c r="B3" s="53" t="s">
        <v>887</v>
      </c>
      <c r="C3" s="59" t="s">
        <v>888</v>
      </c>
      <c r="D3" s="59" t="s">
        <v>889</v>
      </c>
      <c r="E3" s="59" t="s">
        <v>890</v>
      </c>
      <c r="F3" s="59" t="s">
        <v>891</v>
      </c>
      <c r="G3" s="59" t="s">
        <v>891</v>
      </c>
      <c r="H3" s="59" t="s">
        <v>892</v>
      </c>
      <c r="I3" s="59" t="s">
        <v>893</v>
      </c>
      <c r="J3" s="59" t="s">
        <v>894</v>
      </c>
    </row>
    <row r="4" spans="1:10">
      <c r="A4" s="50" t="s">
        <v>58</v>
      </c>
      <c r="B4">
        <f>('8a. Usage - Actual v Modeled'!C6-'4e-f. Usage to GHG'!C6)^2/12</f>
        <v>0</v>
      </c>
      <c r="C4">
        <f>('8a. Usage - Actual v Modeled'!D6-'4e-f. Usage to GHG'!D6)^2/12</f>
        <v>0</v>
      </c>
      <c r="D4">
        <f>('8a. Usage - Actual v Modeled'!E6-'4e-f. Usage to GHG'!E6)^2/12</f>
        <v>0</v>
      </c>
      <c r="E4">
        <f>('8a. Usage - Actual v Modeled'!F6-'4e-f. Usage to GHG'!F6)^2/12</f>
        <v>0</v>
      </c>
      <c r="F4">
        <f>('8a. Usage - Actual v Modeled'!G6-'4e-f. Usage to GHG'!G6)^2/12</f>
        <v>0</v>
      </c>
      <c r="G4">
        <f>('8a. Usage - Actual v Modeled'!H6-'4e-f. Usage to GHG'!H6)^2/12</f>
        <v>0</v>
      </c>
      <c r="H4">
        <f>('8a. Usage - Actual v Modeled'!I6-'4e-f. Usage to GHG'!I6)^2/12</f>
        <v>0</v>
      </c>
      <c r="I4">
        <f>('8a. Usage - Actual v Modeled'!J6-'4e-f. Usage to GHG'!J6)^2/12</f>
        <v>0</v>
      </c>
      <c r="J4">
        <f>('8a. Usage - Actual v Modeled'!K6-'4e-f. Usage to GHG'!K6)^2/12</f>
        <v>0</v>
      </c>
    </row>
    <row r="5" spans="1:10">
      <c r="A5" s="50" t="s">
        <v>60</v>
      </c>
      <c r="B5">
        <f>('8a. Usage - Actual v Modeled'!C7-'4e-f. Usage to GHG'!C7)^2/12</f>
        <v>0</v>
      </c>
      <c r="C5">
        <f>('8a. Usage - Actual v Modeled'!D7-'4e-f. Usage to GHG'!D7)^2/12</f>
        <v>0</v>
      </c>
      <c r="D5">
        <f>('8a. Usage - Actual v Modeled'!E7-'4e-f. Usage to GHG'!E7)^2/12</f>
        <v>0</v>
      </c>
      <c r="E5">
        <f>('8a. Usage - Actual v Modeled'!F7-'4e-f. Usage to GHG'!F7)^2/12</f>
        <v>0</v>
      </c>
      <c r="F5">
        <f>('8a. Usage - Actual v Modeled'!G7-'4e-f. Usage to GHG'!G7)^2/12</f>
        <v>0</v>
      </c>
      <c r="G5">
        <f>('8a. Usage - Actual v Modeled'!H7-'4e-f. Usage to GHG'!H7)^2/12</f>
        <v>0</v>
      </c>
      <c r="H5">
        <f>('8a. Usage - Actual v Modeled'!I7-'4e-f. Usage to GHG'!I7)^2/12</f>
        <v>0</v>
      </c>
      <c r="I5">
        <f>('8a. Usage - Actual v Modeled'!J7-'4e-f. Usage to GHG'!J7)^2/12</f>
        <v>0</v>
      </c>
      <c r="J5">
        <f>('8a. Usage - Actual v Modeled'!K7-'4e-f. Usage to GHG'!K7)^2/12</f>
        <v>0</v>
      </c>
    </row>
    <row r="6" spans="1:10">
      <c r="A6" s="50" t="s">
        <v>62</v>
      </c>
      <c r="B6">
        <f>('8a. Usage - Actual v Modeled'!C8-'4e-f. Usage to GHG'!C8)^2/12</f>
        <v>0</v>
      </c>
      <c r="C6">
        <f>('8a. Usage - Actual v Modeled'!D8-'4e-f. Usage to GHG'!D8)^2/12</f>
        <v>0</v>
      </c>
      <c r="D6">
        <f>('8a. Usage - Actual v Modeled'!E8-'4e-f. Usage to GHG'!E8)^2/12</f>
        <v>0</v>
      </c>
      <c r="E6">
        <f>('8a. Usage - Actual v Modeled'!F8-'4e-f. Usage to GHG'!F8)^2/12</f>
        <v>0</v>
      </c>
      <c r="F6">
        <f>('8a. Usage - Actual v Modeled'!G8-'4e-f. Usage to GHG'!G8)^2/12</f>
        <v>0</v>
      </c>
      <c r="G6">
        <f>('8a. Usage - Actual v Modeled'!H8-'4e-f. Usage to GHG'!H8)^2/12</f>
        <v>0</v>
      </c>
      <c r="H6">
        <f>('8a. Usage - Actual v Modeled'!I8-'4e-f. Usage to GHG'!I8)^2/12</f>
        <v>0</v>
      </c>
      <c r="I6">
        <f>('8a. Usage - Actual v Modeled'!J8-'4e-f. Usage to GHG'!J8)^2/12</f>
        <v>0</v>
      </c>
      <c r="J6">
        <f>('8a. Usage - Actual v Modeled'!K8-'4e-f. Usage to GHG'!K8)^2/12</f>
        <v>0</v>
      </c>
    </row>
    <row r="7" spans="1:10">
      <c r="A7" s="50" t="s">
        <v>64</v>
      </c>
      <c r="B7">
        <f>('8a. Usage - Actual v Modeled'!C9-'4e-f. Usage to GHG'!C9)^2/12</f>
        <v>0</v>
      </c>
      <c r="C7">
        <f>('8a. Usage - Actual v Modeled'!D9-'4e-f. Usage to GHG'!D9)^2/12</f>
        <v>0</v>
      </c>
      <c r="D7">
        <f>('8a. Usage - Actual v Modeled'!E9-'4e-f. Usage to GHG'!E9)^2/12</f>
        <v>0</v>
      </c>
      <c r="E7">
        <f>('8a. Usage - Actual v Modeled'!F9-'4e-f. Usage to GHG'!F9)^2/12</f>
        <v>0</v>
      </c>
      <c r="F7">
        <f>('8a. Usage - Actual v Modeled'!G9-'4e-f. Usage to GHG'!G9)^2/12</f>
        <v>0</v>
      </c>
      <c r="G7">
        <f>('8a. Usage - Actual v Modeled'!H9-'4e-f. Usage to GHG'!H9)^2/12</f>
        <v>0</v>
      </c>
      <c r="H7">
        <f>('8a. Usage - Actual v Modeled'!I9-'4e-f. Usage to GHG'!I9)^2/12</f>
        <v>0</v>
      </c>
      <c r="I7">
        <f>('8a. Usage - Actual v Modeled'!J9-'4e-f. Usage to GHG'!J9)^2/12</f>
        <v>0</v>
      </c>
      <c r="J7">
        <f>('8a. Usage - Actual v Modeled'!K9-'4e-f. Usage to GHG'!K9)^2/12</f>
        <v>0</v>
      </c>
    </row>
    <row r="8" spans="1:10">
      <c r="A8" s="50" t="s">
        <v>66</v>
      </c>
      <c r="B8">
        <f>('8a. Usage - Actual v Modeled'!C10-'4e-f. Usage to GHG'!C10)^2/12</f>
        <v>0</v>
      </c>
      <c r="C8">
        <f>('8a. Usage - Actual v Modeled'!D10-'4e-f. Usage to GHG'!D10)^2/12</f>
        <v>0</v>
      </c>
      <c r="D8">
        <f>('8a. Usage - Actual v Modeled'!E10-'4e-f. Usage to GHG'!E10)^2/12</f>
        <v>0</v>
      </c>
      <c r="E8">
        <f>('8a. Usage - Actual v Modeled'!F10-'4e-f. Usage to GHG'!F10)^2/12</f>
        <v>0</v>
      </c>
      <c r="F8">
        <f>('8a. Usage - Actual v Modeled'!G10-'4e-f. Usage to GHG'!G10)^2/12</f>
        <v>0</v>
      </c>
      <c r="G8">
        <f>('8a. Usage - Actual v Modeled'!H10-'4e-f. Usage to GHG'!H10)^2/12</f>
        <v>0</v>
      </c>
      <c r="H8">
        <f>('8a. Usage - Actual v Modeled'!I10-'4e-f. Usage to GHG'!I10)^2/12</f>
        <v>0</v>
      </c>
      <c r="I8">
        <f>('8a. Usage - Actual v Modeled'!J10-'4e-f. Usage to GHG'!J10)^2/12</f>
        <v>0</v>
      </c>
      <c r="J8">
        <f>('8a. Usage - Actual v Modeled'!K10-'4e-f. Usage to GHG'!K10)^2/12</f>
        <v>0</v>
      </c>
    </row>
    <row r="9" spans="1:10">
      <c r="A9" s="50" t="s">
        <v>68</v>
      </c>
      <c r="B9">
        <f>('8a. Usage - Actual v Modeled'!C11-'4e-f. Usage to GHG'!C11)^2/12</f>
        <v>0</v>
      </c>
      <c r="C9">
        <f>('8a. Usage - Actual v Modeled'!D11-'4e-f. Usage to GHG'!D11)^2/12</f>
        <v>0</v>
      </c>
      <c r="D9">
        <f>('8a. Usage - Actual v Modeled'!E11-'4e-f. Usage to GHG'!E11)^2/12</f>
        <v>0</v>
      </c>
      <c r="E9">
        <f>('8a. Usage - Actual v Modeled'!F11-'4e-f. Usage to GHG'!F11)^2/12</f>
        <v>0</v>
      </c>
      <c r="F9">
        <f>('8a. Usage - Actual v Modeled'!G11-'4e-f. Usage to GHG'!G11)^2/12</f>
        <v>0</v>
      </c>
      <c r="G9">
        <f>('8a. Usage - Actual v Modeled'!H11-'4e-f. Usage to GHG'!H11)^2/12</f>
        <v>0</v>
      </c>
      <c r="H9">
        <f>('8a. Usage - Actual v Modeled'!I11-'4e-f. Usage to GHG'!I11)^2/12</f>
        <v>0</v>
      </c>
      <c r="I9">
        <f>('8a. Usage - Actual v Modeled'!J11-'4e-f. Usage to GHG'!J11)^2/12</f>
        <v>0</v>
      </c>
      <c r="J9">
        <f>('8a. Usage - Actual v Modeled'!K11-'4e-f. Usage to GHG'!K11)^2/12</f>
        <v>0</v>
      </c>
    </row>
    <row r="10" spans="1:10">
      <c r="A10" s="50" t="s">
        <v>70</v>
      </c>
      <c r="B10">
        <f>('8a. Usage - Actual v Modeled'!C12-'4e-f. Usage to GHG'!C12)^2/12</f>
        <v>0</v>
      </c>
      <c r="C10">
        <f>('8a. Usage - Actual v Modeled'!D12-'4e-f. Usage to GHG'!D12)^2/12</f>
        <v>0</v>
      </c>
      <c r="D10">
        <f>('8a. Usage - Actual v Modeled'!E12-'4e-f. Usage to GHG'!E12)^2/12</f>
        <v>0</v>
      </c>
      <c r="E10">
        <f>('8a. Usage - Actual v Modeled'!F12-'4e-f. Usage to GHG'!F12)^2/12</f>
        <v>0</v>
      </c>
      <c r="F10">
        <f>('8a. Usage - Actual v Modeled'!G12-'4e-f. Usage to GHG'!G12)^2/12</f>
        <v>0</v>
      </c>
      <c r="G10">
        <f>('8a. Usage - Actual v Modeled'!H12-'4e-f. Usage to GHG'!H12)^2/12</f>
        <v>0</v>
      </c>
      <c r="H10">
        <f>('8a. Usage - Actual v Modeled'!I12-'4e-f. Usage to GHG'!I12)^2/12</f>
        <v>0</v>
      </c>
      <c r="I10">
        <f>('8a. Usage - Actual v Modeled'!J12-'4e-f. Usage to GHG'!J12)^2/12</f>
        <v>0</v>
      </c>
      <c r="J10">
        <f>('8a. Usage - Actual v Modeled'!K12-'4e-f. Usage to GHG'!K12)^2/12</f>
        <v>0</v>
      </c>
    </row>
    <row r="11" spans="1:10">
      <c r="A11" s="50" t="s">
        <v>71</v>
      </c>
      <c r="B11">
        <f>('8a. Usage - Actual v Modeled'!C13-'4e-f. Usage to GHG'!C13)^2/12</f>
        <v>0</v>
      </c>
      <c r="C11">
        <f>('8a. Usage - Actual v Modeled'!D13-'4e-f. Usage to GHG'!D13)^2/12</f>
        <v>0</v>
      </c>
      <c r="D11">
        <f>('8a. Usage - Actual v Modeled'!E13-'4e-f. Usage to GHG'!E13)^2/12</f>
        <v>0</v>
      </c>
      <c r="E11">
        <f>('8a. Usage - Actual v Modeled'!F13-'4e-f. Usage to GHG'!F13)^2/12</f>
        <v>0</v>
      </c>
      <c r="F11">
        <f>('8a. Usage - Actual v Modeled'!G13-'4e-f. Usage to GHG'!G13)^2/12</f>
        <v>0</v>
      </c>
      <c r="G11">
        <f>('8a. Usage - Actual v Modeled'!H13-'4e-f. Usage to GHG'!H13)^2/12</f>
        <v>0</v>
      </c>
      <c r="H11">
        <f>('8a. Usage - Actual v Modeled'!I13-'4e-f. Usage to GHG'!I13)^2/12</f>
        <v>0</v>
      </c>
      <c r="I11">
        <f>('8a. Usage - Actual v Modeled'!J13-'4e-f. Usage to GHG'!J13)^2/12</f>
        <v>0</v>
      </c>
      <c r="J11">
        <f>('8a. Usage - Actual v Modeled'!K13-'4e-f. Usage to GHG'!K13)^2/12</f>
        <v>0</v>
      </c>
    </row>
    <row r="12" spans="1:10">
      <c r="A12" s="50" t="s">
        <v>72</v>
      </c>
      <c r="B12">
        <f>('8a. Usage - Actual v Modeled'!C14-'4e-f. Usage to GHG'!C14)^2/12</f>
        <v>0</v>
      </c>
      <c r="C12">
        <f>('8a. Usage - Actual v Modeled'!D14-'4e-f. Usage to GHG'!D14)^2/12</f>
        <v>0</v>
      </c>
      <c r="D12">
        <f>('8a. Usage - Actual v Modeled'!E14-'4e-f. Usage to GHG'!E14)^2/12</f>
        <v>0</v>
      </c>
      <c r="E12">
        <f>('8a. Usage - Actual v Modeled'!F14-'4e-f. Usage to GHG'!F14)^2/12</f>
        <v>0</v>
      </c>
      <c r="F12">
        <f>('8a. Usage - Actual v Modeled'!G14-'4e-f. Usage to GHG'!G14)^2/12</f>
        <v>0</v>
      </c>
      <c r="G12">
        <f>('8a. Usage - Actual v Modeled'!H14-'4e-f. Usage to GHG'!H14)^2/12</f>
        <v>0</v>
      </c>
      <c r="H12">
        <f>('8a. Usage - Actual v Modeled'!I14-'4e-f. Usage to GHG'!I14)^2/12</f>
        <v>0</v>
      </c>
      <c r="I12">
        <f>('8a. Usage - Actual v Modeled'!J14-'4e-f. Usage to GHG'!J14)^2/12</f>
        <v>0</v>
      </c>
      <c r="J12">
        <f>('8a. Usage - Actual v Modeled'!K14-'4e-f. Usage to GHG'!K14)^2/12</f>
        <v>0</v>
      </c>
    </row>
    <row r="13" spans="1:10">
      <c r="A13" s="50" t="s">
        <v>895</v>
      </c>
      <c r="B13">
        <f>('8a. Usage - Actual v Modeled'!C15-'4e-f. Usage to GHG'!C15)^2/12</f>
        <v>0</v>
      </c>
      <c r="C13">
        <f>('8a. Usage - Actual v Modeled'!D15-'4e-f. Usage to GHG'!D15)^2/12</f>
        <v>0</v>
      </c>
      <c r="D13">
        <f>('8a. Usage - Actual v Modeled'!E15-'4e-f. Usage to GHG'!E15)^2/12</f>
        <v>0</v>
      </c>
      <c r="E13">
        <f>('8a. Usage - Actual v Modeled'!F15-'4e-f. Usage to GHG'!F15)^2/12</f>
        <v>0</v>
      </c>
      <c r="F13">
        <f>('8a. Usage - Actual v Modeled'!G15-'4e-f. Usage to GHG'!G15)^2/12</f>
        <v>0</v>
      </c>
      <c r="G13">
        <f>('8a. Usage - Actual v Modeled'!H15-'4e-f. Usage to GHG'!H15)^2/12</f>
        <v>0</v>
      </c>
      <c r="H13">
        <f>('8a. Usage - Actual v Modeled'!I15-'4e-f. Usage to GHG'!I15)^2/12</f>
        <v>0</v>
      </c>
      <c r="I13">
        <f>('8a. Usage - Actual v Modeled'!J15-'4e-f. Usage to GHG'!J15)^2/12</f>
        <v>0</v>
      </c>
      <c r="J13">
        <f>('8a. Usage - Actual v Modeled'!K15-'4e-f. Usage to GHG'!K15)^2/12</f>
        <v>0</v>
      </c>
    </row>
    <row r="14" spans="1:10">
      <c r="A14" s="50" t="s">
        <v>74</v>
      </c>
      <c r="B14">
        <f>('8a. Usage - Actual v Modeled'!C16-'4e-f. Usage to GHG'!C16)^2/12</f>
        <v>0</v>
      </c>
      <c r="C14">
        <f>('8a. Usage - Actual v Modeled'!D16-'4e-f. Usage to GHG'!D16)^2/12</f>
        <v>0</v>
      </c>
      <c r="D14">
        <f>('8a. Usage - Actual v Modeled'!E16-'4e-f. Usage to GHG'!E16)^2/12</f>
        <v>0</v>
      </c>
      <c r="E14">
        <f>('8a. Usage - Actual v Modeled'!F16-'4e-f. Usage to GHG'!F16)^2/12</f>
        <v>0</v>
      </c>
      <c r="F14">
        <f>('8a. Usage - Actual v Modeled'!G16-'4e-f. Usage to GHG'!G16)^2/12</f>
        <v>0</v>
      </c>
      <c r="G14">
        <f>('8a. Usage - Actual v Modeled'!H16-'4e-f. Usage to GHG'!H16)^2/12</f>
        <v>0</v>
      </c>
      <c r="H14">
        <f>('8a. Usage - Actual v Modeled'!I16-'4e-f. Usage to GHG'!I16)^2/12</f>
        <v>0</v>
      </c>
      <c r="I14">
        <f>('8a. Usage - Actual v Modeled'!J16-'4e-f. Usage to GHG'!J16)^2/12</f>
        <v>0</v>
      </c>
      <c r="J14">
        <f>('8a. Usage - Actual v Modeled'!K16-'4e-f. Usage to GHG'!K16)^2/12</f>
        <v>0</v>
      </c>
    </row>
    <row r="15" spans="1:10">
      <c r="A15" s="50" t="s">
        <v>75</v>
      </c>
      <c r="B15">
        <f>('8a. Usage - Actual v Modeled'!C17-'4e-f. Usage to GHG'!C17)^2/12</f>
        <v>0</v>
      </c>
      <c r="C15">
        <f>('8a. Usage - Actual v Modeled'!D17-'4e-f. Usage to GHG'!D17)^2/12</f>
        <v>0</v>
      </c>
      <c r="D15">
        <f>('8a. Usage - Actual v Modeled'!E17-'4e-f. Usage to GHG'!E17)^2/12</f>
        <v>0</v>
      </c>
      <c r="E15">
        <f>('8a. Usage - Actual v Modeled'!F17-'4e-f. Usage to GHG'!F17)^2/12</f>
        <v>0</v>
      </c>
      <c r="F15">
        <f>('8a. Usage - Actual v Modeled'!G17-'4e-f. Usage to GHG'!G17)^2/12</f>
        <v>0</v>
      </c>
      <c r="G15">
        <f>('8a. Usage - Actual v Modeled'!H17-'4e-f. Usage to GHG'!H17)^2/12</f>
        <v>0</v>
      </c>
      <c r="H15">
        <f>('8a. Usage - Actual v Modeled'!I17-'4e-f. Usage to GHG'!I17)^2/12</f>
        <v>0</v>
      </c>
      <c r="I15">
        <f>('8a. Usage - Actual v Modeled'!J17-'4e-f. Usage to GHG'!J17)^2/12</f>
        <v>0</v>
      </c>
      <c r="J15">
        <f>('8a. Usage - Actual v Modeled'!K17-'4e-f. Usage to GHG'!K17)^2/12</f>
        <v>0</v>
      </c>
    </row>
    <row r="16" spans="1:10">
      <c r="A16" s="50" t="s">
        <v>119</v>
      </c>
      <c r="B16">
        <f t="shared" ref="B16" si="0">SQRT(SUM(B4:B15))</f>
        <v>0</v>
      </c>
      <c r="C16">
        <f t="shared" ref="C16:J16" si="1">SQRT(SUM(C4:C15))</f>
        <v>0</v>
      </c>
      <c r="D16">
        <f t="shared" si="1"/>
        <v>0</v>
      </c>
      <c r="E16">
        <f t="shared" si="1"/>
        <v>0</v>
      </c>
      <c r="F16">
        <f t="shared" si="1"/>
        <v>0</v>
      </c>
      <c r="G16">
        <f t="shared" si="1"/>
        <v>0</v>
      </c>
      <c r="H16">
        <f t="shared" si="1"/>
        <v>0</v>
      </c>
      <c r="I16">
        <f t="shared" si="1"/>
        <v>0</v>
      </c>
      <c r="J16">
        <f t="shared" si="1"/>
        <v>0</v>
      </c>
    </row>
    <row r="19" spans="2:12">
      <c r="B19" s="54" t="s">
        <v>896</v>
      </c>
    </row>
    <row r="20" spans="2:12">
      <c r="C20" s="33" t="s">
        <v>897</v>
      </c>
      <c r="L20" s="55" t="s">
        <v>898</v>
      </c>
    </row>
    <row r="21" spans="2:12">
      <c r="C21" s="56" t="s">
        <v>899</v>
      </c>
    </row>
    <row r="22" spans="2:12">
      <c r="C22" t="s">
        <v>900</v>
      </c>
    </row>
    <row r="25" spans="2:12">
      <c r="G25" t="s">
        <v>901</v>
      </c>
    </row>
    <row r="26" spans="2:12">
      <c r="G26" t="s">
        <v>902</v>
      </c>
    </row>
    <row r="27" spans="2:12">
      <c r="G27" t="s">
        <v>903</v>
      </c>
    </row>
    <row r="29" spans="2:12">
      <c r="B29" t="s">
        <v>904</v>
      </c>
      <c r="D29" s="1"/>
      <c r="E29" s="1"/>
      <c r="F29" s="1"/>
      <c r="G29" s="1"/>
      <c r="H29" s="1"/>
      <c r="I29" s="1"/>
      <c r="J29" s="1"/>
    </row>
    <row r="30" spans="2:12">
      <c r="B30" s="1"/>
      <c r="C30" s="1"/>
      <c r="D30" s="1"/>
      <c r="E30" s="1"/>
      <c r="F30" s="1"/>
      <c r="G30" s="1"/>
      <c r="H30" s="1"/>
      <c r="I30" s="1"/>
      <c r="J30" s="1"/>
    </row>
    <row r="31" spans="2:12">
      <c r="B31" s="1"/>
      <c r="C31" s="1"/>
      <c r="D31" s="1"/>
      <c r="E31" s="1"/>
      <c r="F31" s="1"/>
      <c r="G31" s="1"/>
      <c r="H31" s="1"/>
      <c r="I31" s="1"/>
      <c r="J31" s="1"/>
    </row>
    <row r="32" spans="2:12">
      <c r="B32" s="1"/>
      <c r="C32" s="1"/>
      <c r="D32" s="1"/>
      <c r="E32" s="1"/>
      <c r="F32" s="1"/>
      <c r="G32" s="1"/>
      <c r="H32" s="1"/>
      <c r="I32" s="1"/>
      <c r="J32" s="1"/>
    </row>
    <row r="33" spans="2:10">
      <c r="B33" s="1"/>
      <c r="C33" s="1"/>
      <c r="D33" s="1"/>
      <c r="E33" s="1"/>
      <c r="F33" s="1"/>
      <c r="G33" s="1"/>
      <c r="H33" s="1"/>
      <c r="I33" s="1"/>
      <c r="J33" s="1"/>
    </row>
    <row r="34" spans="2:10">
      <c r="B34" s="1"/>
      <c r="C34" s="1"/>
      <c r="D34" s="1"/>
      <c r="E34" s="1"/>
      <c r="F34" s="1"/>
      <c r="G34" s="1"/>
      <c r="H34" s="1"/>
      <c r="I34" s="1"/>
      <c r="J34" s="1"/>
    </row>
    <row r="35" spans="2:10">
      <c r="B35" s="1"/>
      <c r="C35" s="1"/>
      <c r="D35" s="1"/>
      <c r="E35" s="1"/>
      <c r="F35" s="1"/>
      <c r="G35" s="1"/>
      <c r="H35" s="1"/>
      <c r="I35" s="1"/>
      <c r="J35" s="1"/>
    </row>
    <row r="54" spans="2:2">
      <c r="B54" t="s">
        <v>905</v>
      </c>
    </row>
  </sheetData>
  <mergeCells count="1">
    <mergeCell ref="B1:F1"/>
  </mergeCells>
  <hyperlinks>
    <hyperlink ref="L20" r:id="rId1" xr:uid="{D54470E4-2127-483F-AD85-DFE50E5D4E67}"/>
  </hyperlinks>
  <pageMargins left="0.7" right="0.7" top="0.75" bottom="0.75" header="0.3" footer="0.3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C61C5-C333-4305-816C-185ED84E6536}">
  <sheetPr codeName="Sheet40"/>
  <dimension ref="A1"/>
  <sheetViews>
    <sheetView showWhiteSpace="0" zoomScaleNormal="100" zoomScaleSheetLayoutView="100" workbookViewId="0">
      <selection activeCell="B1" sqref="B1"/>
    </sheetView>
  </sheetViews>
  <sheetFormatPr defaultColWidth="7.140625" defaultRowHeight="14.25"/>
  <cols>
    <col min="1" max="1" width="2.28515625" style="94" customWidth="1"/>
    <col min="2" max="2" width="4.7109375" style="94" customWidth="1"/>
    <col min="3" max="3" width="8.140625" style="94" customWidth="1"/>
    <col min="4" max="4" width="9.28515625" style="94" customWidth="1"/>
    <col min="5" max="5" width="10.140625" style="94" customWidth="1"/>
    <col min="6" max="6" width="8" style="94" customWidth="1"/>
    <col min="7" max="7" width="9.28515625" style="94" customWidth="1"/>
    <col min="8" max="8" width="10.140625" style="94" customWidth="1"/>
    <col min="9" max="9" width="8.7109375" style="94" customWidth="1"/>
    <col min="10" max="10" width="9.28515625" style="94" customWidth="1"/>
    <col min="11" max="11" width="9.85546875" style="94" customWidth="1"/>
    <col min="12" max="16384" width="7.140625" style="94"/>
  </cols>
  <sheetData>
    <row r="1" s="94" customFormat="1" ht="10.5" customHeight="1"/>
  </sheetData>
  <sheetProtection algorithmName="SHA-512" hashValue="srRPW/kGHP7aYpLRJvxzlmJQv2zvgX7FA/fAJIauO3x3AOxkhXM4ZR6bZ6dKzYXPctQ2HkhM59xisocS4K8X5Q==" saltValue="bqHq9P9EuG5RoIhvNV2f9Q==" spinCount="100000" sheet="1" formatCells="0" formatColumns="0" formatRows="0"/>
  <pageMargins left="0.4498611111111111" right="9.5666666666666664E-2" top="0.75" bottom="0.75" header="0.3" footer="0.3"/>
  <pageSetup scale="82" orientation="portrait" r:id="rId1"/>
  <headerFooter>
    <oddHeader>&amp;L&amp;G&amp;C
&amp;"Arial,Bold"&amp;16EN97A: GHG Adjustments Form</oddHeader>
    <oddFooter>&amp;LVersion 1&amp;RApril 2021</oddFooter>
  </headerFooter>
  <drawing r:id="rId2"/>
  <legacyDrawingHF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9545E-65FB-4437-B4CF-E32F54CF8340}">
  <sheetPr codeName="Sheet52"/>
  <dimension ref="A1"/>
  <sheetViews>
    <sheetView view="pageLayout" zoomScaleNormal="100" zoomScaleSheetLayoutView="100" workbookViewId="0">
      <selection activeCell="I25" sqref="I25"/>
    </sheetView>
  </sheetViews>
  <sheetFormatPr defaultColWidth="7.140625" defaultRowHeight="14.25"/>
  <cols>
    <col min="1" max="1" width="2.28515625" style="94" customWidth="1"/>
    <col min="2" max="2" width="4.7109375" style="94" customWidth="1"/>
    <col min="3" max="3" width="8.140625" style="94" customWidth="1"/>
    <col min="4" max="4" width="9.28515625" style="94" customWidth="1"/>
    <col min="5" max="5" width="10.140625" style="94" customWidth="1"/>
    <col min="6" max="6" width="8" style="94" customWidth="1"/>
    <col min="7" max="7" width="9.28515625" style="94" customWidth="1"/>
    <col min="8" max="8" width="10.140625" style="94" customWidth="1"/>
    <col min="9" max="9" width="8.7109375" style="94" customWidth="1"/>
    <col min="10" max="10" width="9.28515625" style="94" customWidth="1"/>
    <col min="11" max="11" width="9.85546875" style="94" customWidth="1"/>
    <col min="12" max="16384" width="7.140625" style="94"/>
  </cols>
  <sheetData>
    <row r="1" s="94" customFormat="1" ht="10.5" customHeight="1"/>
  </sheetData>
  <sheetProtection algorithmName="SHA-512" hashValue="YKjjjDBSId2Duhgq3eHFWOMjOl0G1KZ5OKDx5uIXG16yp8Ozm29glu3v9SUhggi0Cv2BqchB64MjFc09hPM1dQ==" saltValue="p2kEkCOOuVJz0PJXu/MZtQ==" spinCount="100000" sheet="1" formatCells="0" formatColumns="0" formatRows="0"/>
  <pageMargins left="0.4498611111111111" right="0.39291666666666669" top="0.75" bottom="0.75" header="0.3" footer="0.3"/>
  <pageSetup scale="82" orientation="portrait" r:id="rId1"/>
  <headerFooter>
    <oddHeader>&amp;L&amp;G&amp;R&amp;"Liberation Sans,Bold"&amp;14&amp;K00247D
EN97A: GHG Adjustments Form</oddHeader>
    <oddFooter>&amp;L&amp;"Liberation Sans,Regular"Version 1.3&amp;R&amp;"Liberation Sans,Regular"February 2022</oddFooter>
  </headerFooter>
  <drawing r:id="rId2"/>
  <legacyDrawingHF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9AEAD-7739-4584-893F-104221E6B43F}">
  <sheetPr codeName="Sheet34"/>
  <dimension ref="A3:K31"/>
  <sheetViews>
    <sheetView view="pageLayout" zoomScaleNormal="100" zoomScaleSheetLayoutView="100" workbookViewId="0">
      <selection activeCell="E20" sqref="E20"/>
    </sheetView>
  </sheetViews>
  <sheetFormatPr defaultColWidth="8.85546875" defaultRowHeight="14.25"/>
  <cols>
    <col min="1" max="1" width="2.85546875" style="94" customWidth="1"/>
    <col min="2" max="2" width="9.28515625" style="94" customWidth="1"/>
    <col min="3" max="3" width="10.42578125" style="94" customWidth="1"/>
    <col min="4" max="4" width="12" style="94" customWidth="1"/>
    <col min="5" max="5" width="11.5703125" style="94" customWidth="1"/>
    <col min="6" max="6" width="10.5703125" style="94" customWidth="1"/>
    <col min="7" max="7" width="10.85546875" style="94" customWidth="1"/>
    <col min="8" max="8" width="12" style="94" customWidth="1"/>
    <col min="9" max="9" width="12.28515625" style="94" customWidth="1"/>
    <col min="10" max="10" width="12" style="94" customWidth="1"/>
    <col min="11" max="11" width="11.5703125" style="94" customWidth="1"/>
    <col min="12" max="12" width="8.28515625" style="94" customWidth="1"/>
    <col min="13" max="16384" width="8.85546875" style="94"/>
  </cols>
  <sheetData>
    <row r="3" spans="1:11" ht="15.75" customHeight="1">
      <c r="A3" s="163">
        <v>9</v>
      </c>
      <c r="B3" s="524" t="s">
        <v>971</v>
      </c>
      <c r="C3" s="523"/>
      <c r="D3" s="523"/>
      <c r="E3" s="523"/>
      <c r="F3" s="523"/>
      <c r="G3" s="523"/>
      <c r="H3" s="523"/>
      <c r="I3" s="523"/>
      <c r="J3" s="523"/>
      <c r="K3" s="523"/>
    </row>
    <row r="4" spans="1:11" ht="15.75" customHeight="1">
      <c r="A4" s="523" t="str">
        <f>CONCATENATE("Compliance Based on ",IF(Path="","",Path))</f>
        <v>Compliance Based on 2024 GHG Limit</v>
      </c>
      <c r="B4" s="523"/>
      <c r="C4" s="523"/>
      <c r="D4" s="523"/>
      <c r="E4" s="523"/>
      <c r="F4" s="523"/>
      <c r="G4" s="523"/>
      <c r="H4" s="523"/>
      <c r="I4" s="523"/>
      <c r="J4" s="523"/>
      <c r="K4" s="523"/>
    </row>
    <row r="5" spans="1:11" s="100" customFormat="1" ht="45.75" customHeight="1">
      <c r="A5" s="526"/>
      <c r="B5" s="526"/>
      <c r="C5" s="99" t="s">
        <v>51</v>
      </c>
      <c r="D5" s="99" t="s">
        <v>53</v>
      </c>
      <c r="E5" s="123" t="s">
        <v>54</v>
      </c>
      <c r="F5" s="124" t="str">
        <f>'4e-f. Usage to GHG'!G5</f>
        <v xml:space="preserve">#2 Fuel Oil Usage (kBTU) </v>
      </c>
      <c r="G5" s="124" t="str">
        <f>'4e-f. Usage to GHG'!H5</f>
        <v xml:space="preserve">Fuel Oil #5/6 Usage (kBTU) </v>
      </c>
      <c r="H5" s="124" t="str">
        <f>'4e-f. Usage to GHG'!I5</f>
        <v xml:space="preserve">Fuel Oil #1 Usage (kBTU) </v>
      </c>
      <c r="I5" s="124" t="str">
        <f>'4e-f. Usage to GHG'!J5</f>
        <v xml:space="preserve">0 Usage (kBTU) </v>
      </c>
      <c r="J5" s="124" t="str">
        <f>'4e-f. Usage to GHG'!K5</f>
        <v>0 Usage (kBTU)</v>
      </c>
      <c r="K5" s="99" t="s">
        <v>55</v>
      </c>
    </row>
    <row r="6" spans="1:11" s="100" customFormat="1" ht="21.75" customHeight="1">
      <c r="A6" s="526" t="s">
        <v>89</v>
      </c>
      <c r="B6" s="526"/>
      <c r="C6" s="104"/>
      <c r="D6" s="104"/>
      <c r="E6" s="104"/>
      <c r="F6" s="104"/>
      <c r="G6" s="104"/>
      <c r="H6" s="104"/>
      <c r="I6" s="104"/>
      <c r="J6" s="104"/>
      <c r="K6" s="104"/>
    </row>
    <row r="7" spans="1:11" s="100" customFormat="1" ht="21.75" customHeight="1">
      <c r="A7" s="526" t="s">
        <v>90</v>
      </c>
      <c r="B7" s="526"/>
      <c r="C7" s="104"/>
      <c r="D7" s="104"/>
      <c r="E7" s="104"/>
      <c r="F7" s="104"/>
      <c r="G7" s="104"/>
      <c r="H7" s="104"/>
      <c r="I7" s="104"/>
      <c r="J7" s="104"/>
      <c r="K7" s="104"/>
    </row>
    <row r="8" spans="1:11" s="100" customFormat="1" ht="21.75" customHeight="1">
      <c r="A8" s="527" t="s">
        <v>91</v>
      </c>
      <c r="B8" s="528"/>
      <c r="C8" s="104"/>
      <c r="D8" s="104"/>
      <c r="E8" s="104"/>
      <c r="F8" s="104"/>
      <c r="G8" s="104"/>
      <c r="H8" s="104"/>
      <c r="I8" s="104"/>
      <c r="J8" s="104"/>
      <c r="K8" s="104"/>
    </row>
    <row r="9" spans="1:11" s="100" customFormat="1" ht="21.75" customHeight="1">
      <c r="A9" s="526" t="s">
        <v>92</v>
      </c>
      <c r="B9" s="526"/>
      <c r="C9" s="104"/>
      <c r="D9" s="104"/>
      <c r="E9" s="104"/>
      <c r="F9" s="104"/>
      <c r="G9" s="104"/>
      <c r="H9" s="104"/>
      <c r="I9" s="104"/>
      <c r="J9" s="104"/>
      <c r="K9" s="104"/>
    </row>
    <row r="10" spans="1:11" s="100" customFormat="1" ht="21.75" customHeight="1">
      <c r="A10" s="526" t="s">
        <v>93</v>
      </c>
      <c r="B10" s="526"/>
      <c r="C10" s="104"/>
      <c r="D10" s="104"/>
      <c r="E10" s="104"/>
      <c r="F10" s="104"/>
      <c r="G10" s="104"/>
      <c r="H10" s="104"/>
      <c r="I10" s="104"/>
      <c r="J10" s="104"/>
      <c r="K10" s="104"/>
    </row>
    <row r="11" spans="1:11" ht="21.75" customHeight="1">
      <c r="A11" s="526" t="s">
        <v>94</v>
      </c>
      <c r="B11" s="526"/>
      <c r="C11" s="104"/>
      <c r="D11" s="104"/>
      <c r="E11" s="104"/>
      <c r="F11" s="104"/>
      <c r="G11" s="104"/>
      <c r="H11" s="104"/>
      <c r="I11" s="104"/>
      <c r="J11" s="104"/>
      <c r="K11" s="104"/>
    </row>
    <row r="12" spans="1:11" ht="21.75" customHeight="1">
      <c r="A12" s="526" t="s">
        <v>95</v>
      </c>
      <c r="B12" s="526"/>
      <c r="C12" s="104"/>
      <c r="D12" s="104"/>
      <c r="E12" s="104"/>
      <c r="F12" s="104"/>
      <c r="G12" s="104"/>
      <c r="H12" s="104"/>
      <c r="I12" s="104"/>
      <c r="J12" s="104"/>
      <c r="K12" s="104"/>
    </row>
    <row r="13" spans="1:11" ht="22.5" customHeight="1">
      <c r="A13" s="526" t="s">
        <v>96</v>
      </c>
      <c r="B13" s="526"/>
      <c r="C13" s="104"/>
      <c r="D13" s="104"/>
      <c r="E13" s="104"/>
      <c r="F13" s="104"/>
      <c r="G13" s="104"/>
      <c r="H13" s="104"/>
      <c r="I13" s="104"/>
      <c r="J13" s="104"/>
      <c r="K13" s="104"/>
    </row>
    <row r="14" spans="1:11" ht="21.75" customHeight="1">
      <c r="A14" s="526" t="s">
        <v>97</v>
      </c>
      <c r="B14" s="526"/>
      <c r="C14" s="104"/>
      <c r="D14" s="104"/>
      <c r="E14" s="104"/>
      <c r="F14" s="104"/>
      <c r="G14" s="104"/>
      <c r="H14" s="104"/>
      <c r="I14" s="104"/>
      <c r="J14" s="104"/>
      <c r="K14" s="104"/>
    </row>
    <row r="15" spans="1:11" ht="21.75" customHeight="1">
      <c r="A15" s="526" t="s">
        <v>98</v>
      </c>
      <c r="B15" s="526"/>
      <c r="C15" s="104"/>
      <c r="D15" s="104"/>
      <c r="E15" s="104"/>
      <c r="F15" s="104"/>
      <c r="G15" s="104"/>
      <c r="H15" s="104"/>
      <c r="I15" s="104"/>
      <c r="J15" s="104"/>
      <c r="K15" s="104"/>
    </row>
    <row r="16" spans="1:11" ht="21.75" customHeight="1">
      <c r="A16" s="529" t="s">
        <v>37</v>
      </c>
      <c r="B16" s="529"/>
      <c r="C16" s="113">
        <f>IF(SUM(C6:C15)=0,0,SUM(C6:C15))</f>
        <v>0</v>
      </c>
      <c r="D16" s="113">
        <f>IF(SUM(D6:D15)=0,0,SUM(D6:D15))</f>
        <v>0</v>
      </c>
      <c r="E16" s="113">
        <f t="shared" ref="E16:J16" si="0">IF(SUM(E6:E15)=0,0,SUM(E6:E15))</f>
        <v>0</v>
      </c>
      <c r="F16" s="113">
        <f t="shared" si="0"/>
        <v>0</v>
      </c>
      <c r="G16" s="113">
        <f t="shared" si="0"/>
        <v>0</v>
      </c>
      <c r="H16" s="113">
        <f t="shared" si="0"/>
        <v>0</v>
      </c>
      <c r="I16" s="113">
        <f t="shared" si="0"/>
        <v>0</v>
      </c>
      <c r="J16" s="113">
        <f t="shared" si="0"/>
        <v>0</v>
      </c>
      <c r="K16" s="125"/>
    </row>
    <row r="19" spans="1:5" ht="22.5" customHeight="1">
      <c r="A19" s="362"/>
      <c r="B19" s="362"/>
      <c r="C19" s="525" t="s">
        <v>906</v>
      </c>
      <c r="D19" s="525"/>
      <c r="E19" s="525"/>
    </row>
    <row r="20" spans="1:5" ht="33.75">
      <c r="A20" s="366"/>
      <c r="B20" s="366"/>
      <c r="C20" s="99" t="s">
        <v>907</v>
      </c>
      <c r="D20" s="99" t="s">
        <v>908</v>
      </c>
      <c r="E20" s="99" t="s">
        <v>909</v>
      </c>
    </row>
    <row r="21" spans="1:5" ht="21.6" customHeight="1">
      <c r="A21" s="366" t="s">
        <v>89</v>
      </c>
      <c r="B21" s="366"/>
      <c r="C21" s="126" t="str">
        <f>IF(C6="","",($C6*3.412+$D6*100+$E6+$F6+$G6+H6+I6+J6)/($C$16*3.412+$D$16*100+$E$16+$F$16+$G$16+$H$16+$I$16+$J$16))</f>
        <v/>
      </c>
      <c r="D21" s="126" t="str">
        <f>IF('5a-b. Special Circ End Use'!C19="","",('5a-b. Special Circ End Use'!C19*3.412+'5a-b. Special Circ End Use'!D19*100+'5a-b. Special Circ End Use'!E19+'5a-b. Special Circ End Use'!F19+'5a-b. Special Circ End Use'!G19+'5a-b. Special Circ End Use'!H19+'5a-b. Special Circ End Use'!I19+'5a-b. Special Circ End Use'!J19)/('5a-b. Special Circ End Use'!$C$29*3.412+'5a-b. Special Circ End Use'!$D$29*100+'5a-b. Special Circ End Use'!$E$29+'5a-b. Special Circ End Use'!$F$29+'5a-b. Special Circ End Use'!$G$29+'5a-b. Special Circ End Use'!$H$29+'5a-b. Special Circ End Use'!$I$29+'5a-b. Special Circ End Use'!$J$29))</f>
        <v/>
      </c>
      <c r="E21" s="126" t="str">
        <f>IF(AND(C6="",D6=""),"",((C6-'5a-b. Special Circ End Use'!C19)*3.412+(D6-'5a-b. Special Circ End Use'!D19)*100+(E6-'5a-b. Special Circ End Use'!E19)+(F6-'5a-b. Special Circ End Use'!F19)+(G6-'5a-b. Special Circ End Use'!G19)+(H6-'5a-b. Special Circ End Use'!H19)+(I6-'5a-b. Special Circ End Use'!I19)+(J6-'5a-b. Special Circ End Use'!J19))/(($C$16-'5a-b. Special Circ End Use'!$C$29)*3.412+($D$16-'5a-b. Special Circ End Use'!$D$29)*100+($E$16-'5a-b. Special Circ End Use'!$E$29)+($F$16-'5a-b. Special Circ End Use'!$F$29)+($G$16-'5a-b. Special Circ End Use'!$G$29)+($H$16-'5a-b. Special Circ End Use'!$H$29)+($I$16-'5a-b. Special Circ End Use'!$I$29)+($J$16-'5a-b. Special Circ End Use'!$J$29)))</f>
        <v/>
      </c>
    </row>
    <row r="22" spans="1:5" ht="21.6" customHeight="1">
      <c r="A22" s="366" t="s">
        <v>90</v>
      </c>
      <c r="B22" s="366"/>
      <c r="C22" s="126" t="str">
        <f t="shared" ref="C22:C30" si="1">IF(C7="","",($C7*3.412+$D7*100+$E7+$F7+$G7+H7+I7+J7)/($C$16*3.412+$D$16*100+$E$16+$F$16+$G$16+$H$16+$I$16+$J$16))</f>
        <v/>
      </c>
      <c r="D22" s="126" t="str">
        <f>IF('5a-b. Special Circ End Use'!C20="","",('5a-b. Special Circ End Use'!C20*3.412+'5a-b. Special Circ End Use'!D20*100+'5a-b. Special Circ End Use'!E20+'5a-b. Special Circ End Use'!F20+'5a-b. Special Circ End Use'!G20+'5a-b. Special Circ End Use'!H20+'5a-b. Special Circ End Use'!I20+'5a-b. Special Circ End Use'!J20)/('5a-b. Special Circ End Use'!$C$29*3.412+'5a-b. Special Circ End Use'!$D$29*100+'5a-b. Special Circ End Use'!$E$29+'5a-b. Special Circ End Use'!$F$29+'5a-b. Special Circ End Use'!$G$29+'5a-b. Special Circ End Use'!$H$29+'5a-b. Special Circ End Use'!$I$29+'5a-b. Special Circ End Use'!$J$29))</f>
        <v/>
      </c>
      <c r="E22" s="126" t="str">
        <f>IF(AND(C7="",D7=""),"",((C7-'5a-b. Special Circ End Use'!C20)*3.412+(D7-'5a-b. Special Circ End Use'!D20)*100+(E7-'5a-b. Special Circ End Use'!E20)+(F7-'5a-b. Special Circ End Use'!F20)+(G7-'5a-b. Special Circ End Use'!G20)+(H7-'5a-b. Special Circ End Use'!H20)+(I7-'5a-b. Special Circ End Use'!I20)+(J7-'5a-b. Special Circ End Use'!J20))/(($C$16-'5a-b. Special Circ End Use'!$C$29)*3.412+($D$16-'5a-b. Special Circ End Use'!$D$29)*100+($E$16-'5a-b. Special Circ End Use'!$E$29)+($F$16-'5a-b. Special Circ End Use'!$F$29)+($G$16-'5a-b. Special Circ End Use'!$G$29)+($H$16-'5a-b. Special Circ End Use'!$H$29)+($I$16-'5a-b. Special Circ End Use'!$I$29)+($J$16-'5a-b. Special Circ End Use'!$J$29)))</f>
        <v/>
      </c>
    </row>
    <row r="23" spans="1:5" ht="21.6" customHeight="1">
      <c r="A23" s="367" t="s">
        <v>91</v>
      </c>
      <c r="B23" s="368"/>
      <c r="C23" s="126" t="str">
        <f t="shared" si="1"/>
        <v/>
      </c>
      <c r="D23" s="126" t="str">
        <f>IF('5a-b. Special Circ End Use'!C21="","",('5a-b. Special Circ End Use'!C21*3.412+'5a-b. Special Circ End Use'!D21*100+'5a-b. Special Circ End Use'!E21+'5a-b. Special Circ End Use'!F21+'5a-b. Special Circ End Use'!G21+'5a-b. Special Circ End Use'!H21+'5a-b. Special Circ End Use'!I21+'5a-b. Special Circ End Use'!J21)/('5a-b. Special Circ End Use'!$C$29*3.412+'5a-b. Special Circ End Use'!$D$29*100+'5a-b. Special Circ End Use'!$E$29+'5a-b. Special Circ End Use'!$F$29+'5a-b. Special Circ End Use'!$G$29+'5a-b. Special Circ End Use'!$H$29+'5a-b. Special Circ End Use'!$I$29+'5a-b. Special Circ End Use'!$J$29))</f>
        <v/>
      </c>
      <c r="E23" s="126" t="str">
        <f>IF(AND(C8="",D8=""),"",((C8-'5a-b. Special Circ End Use'!C21)*3.412+(D8-'5a-b. Special Circ End Use'!D21)*100+(E8-'5a-b. Special Circ End Use'!E21)+(F8-'5a-b. Special Circ End Use'!F21)+(G8-'5a-b. Special Circ End Use'!G21)+(H8-'5a-b. Special Circ End Use'!H21)+(I8-'5a-b. Special Circ End Use'!I21)+(J8-'5a-b. Special Circ End Use'!J21))/(($C$16-'5a-b. Special Circ End Use'!$C$29)*3.412+($D$16-'5a-b. Special Circ End Use'!$D$29)*100+($E$16-'5a-b. Special Circ End Use'!$E$29)+($F$16-'5a-b. Special Circ End Use'!$F$29)+($G$16-'5a-b. Special Circ End Use'!$G$29)+($H$16-'5a-b. Special Circ End Use'!$H$29)+($I$16-'5a-b. Special Circ End Use'!$I$29)+($J$16-'5a-b. Special Circ End Use'!$J$29)))</f>
        <v/>
      </c>
    </row>
    <row r="24" spans="1:5" ht="21.6" customHeight="1">
      <c r="A24" s="366" t="s">
        <v>92</v>
      </c>
      <c r="B24" s="366"/>
      <c r="C24" s="126" t="str">
        <f t="shared" si="1"/>
        <v/>
      </c>
      <c r="D24" s="126" t="str">
        <f>IF('5a-b. Special Circ End Use'!C22="","",('5a-b. Special Circ End Use'!C22*3.412+'5a-b. Special Circ End Use'!D22*100+'5a-b. Special Circ End Use'!E22+'5a-b. Special Circ End Use'!F22+'5a-b. Special Circ End Use'!G22+'5a-b. Special Circ End Use'!H22+'5a-b. Special Circ End Use'!I22+'5a-b. Special Circ End Use'!J22)/('5a-b. Special Circ End Use'!$C$29*3.412+'5a-b. Special Circ End Use'!$D$29*100+'5a-b. Special Circ End Use'!$E$29+'5a-b. Special Circ End Use'!$F$29+'5a-b. Special Circ End Use'!$G$29+'5a-b. Special Circ End Use'!$H$29+'5a-b. Special Circ End Use'!$I$29+'5a-b. Special Circ End Use'!$J$29))</f>
        <v/>
      </c>
      <c r="E24" s="126" t="str">
        <f>IF(AND(C9="",D9=""),"",((C9-'5a-b. Special Circ End Use'!C22)*3.412+(D9-'5a-b. Special Circ End Use'!D22)*100+(E9-'5a-b. Special Circ End Use'!E22)+(F9-'5a-b. Special Circ End Use'!F22)+(G9-'5a-b. Special Circ End Use'!G22)+(H9-'5a-b. Special Circ End Use'!H22)+(I9-'5a-b. Special Circ End Use'!I22)+(J9-'5a-b. Special Circ End Use'!J22))/(($C$16-'5a-b. Special Circ End Use'!$C$29)*3.412+($D$16-'5a-b. Special Circ End Use'!$D$29)*100+($E$16-'5a-b. Special Circ End Use'!$E$29)+($F$16-'5a-b. Special Circ End Use'!$F$29)+($G$16-'5a-b. Special Circ End Use'!$G$29)+($H$16-'5a-b. Special Circ End Use'!$H$29)+($I$16-'5a-b. Special Circ End Use'!$I$29)+($J$16-'5a-b. Special Circ End Use'!$J$29)))</f>
        <v/>
      </c>
    </row>
    <row r="25" spans="1:5" ht="21.6" customHeight="1">
      <c r="A25" s="366" t="s">
        <v>93</v>
      </c>
      <c r="B25" s="366"/>
      <c r="C25" s="126" t="str">
        <f t="shared" si="1"/>
        <v/>
      </c>
      <c r="D25" s="126" t="str">
        <f>IF('5a-b. Special Circ End Use'!C23="","",('5a-b. Special Circ End Use'!C23*3.412+'5a-b. Special Circ End Use'!D23*100+'5a-b. Special Circ End Use'!E23+'5a-b. Special Circ End Use'!F23+'5a-b. Special Circ End Use'!G23+'5a-b. Special Circ End Use'!H23+'5a-b. Special Circ End Use'!I23+'5a-b. Special Circ End Use'!J23)/('5a-b. Special Circ End Use'!$C$29*3.412+'5a-b. Special Circ End Use'!$D$29*100+'5a-b. Special Circ End Use'!$E$29+'5a-b. Special Circ End Use'!$F$29+'5a-b. Special Circ End Use'!$G$29+'5a-b. Special Circ End Use'!$H$29+'5a-b. Special Circ End Use'!$I$29+'5a-b. Special Circ End Use'!$J$29))</f>
        <v/>
      </c>
      <c r="E25" s="126" t="str">
        <f>IF(AND(C10="",D10=""),"",((C10-'5a-b. Special Circ End Use'!C23)*3.412+(D10-'5a-b. Special Circ End Use'!D23)*100+(E10-'5a-b. Special Circ End Use'!E23)+(F10-'5a-b. Special Circ End Use'!F23)+(G10-'5a-b. Special Circ End Use'!G23)+(H10-'5a-b. Special Circ End Use'!H23)+(I10-'5a-b. Special Circ End Use'!I23)+(J10-'5a-b. Special Circ End Use'!J23))/(($C$16-'5a-b. Special Circ End Use'!$C$29)*3.412+($D$16-'5a-b. Special Circ End Use'!$D$29)*100+($E$16-'5a-b. Special Circ End Use'!$E$29)+($F$16-'5a-b. Special Circ End Use'!$F$29)+($G$16-'5a-b. Special Circ End Use'!$G$29)+($H$16-'5a-b. Special Circ End Use'!$H$29)+($I$16-'5a-b. Special Circ End Use'!$I$29)+($J$16-'5a-b. Special Circ End Use'!$J$29)))</f>
        <v/>
      </c>
    </row>
    <row r="26" spans="1:5" ht="21.6" customHeight="1">
      <c r="A26" s="366" t="s">
        <v>94</v>
      </c>
      <c r="B26" s="366"/>
      <c r="C26" s="126" t="str">
        <f t="shared" si="1"/>
        <v/>
      </c>
      <c r="D26" s="126" t="str">
        <f>IF('5a-b. Special Circ End Use'!C24="","",('5a-b. Special Circ End Use'!C24*3.412+'5a-b. Special Circ End Use'!D24*100+'5a-b. Special Circ End Use'!E24+'5a-b. Special Circ End Use'!F24+'5a-b. Special Circ End Use'!G24+'5a-b. Special Circ End Use'!H24+'5a-b. Special Circ End Use'!I24+'5a-b. Special Circ End Use'!J24)/('5a-b. Special Circ End Use'!$C$29*3.412+'5a-b. Special Circ End Use'!$D$29*100+'5a-b. Special Circ End Use'!$E$29+'5a-b. Special Circ End Use'!$F$29+'5a-b. Special Circ End Use'!$G$29+'5a-b. Special Circ End Use'!$H$29+'5a-b. Special Circ End Use'!$I$29+'5a-b. Special Circ End Use'!$J$29))</f>
        <v/>
      </c>
      <c r="E26" s="126" t="str">
        <f>IF(AND(C11="",D11=""),"",((C11-'5a-b. Special Circ End Use'!C24)*3.412+(D11-'5a-b. Special Circ End Use'!D24)*100+(E11-'5a-b. Special Circ End Use'!E24)+(F11-'5a-b. Special Circ End Use'!F24)+(G11-'5a-b. Special Circ End Use'!G24)+(H11-'5a-b. Special Circ End Use'!H24)+(I11-'5a-b. Special Circ End Use'!I24)+(J11-'5a-b. Special Circ End Use'!J24))/(($C$16-'5a-b. Special Circ End Use'!$C$29)*3.412+($D$16-'5a-b. Special Circ End Use'!$D$29)*100+($E$16-'5a-b. Special Circ End Use'!$E$29)+($F$16-'5a-b. Special Circ End Use'!$F$29)+($G$16-'5a-b. Special Circ End Use'!$G$29)+($H$16-'5a-b. Special Circ End Use'!$H$29)+($I$16-'5a-b. Special Circ End Use'!$I$29)+($J$16-'5a-b. Special Circ End Use'!$J$29)))</f>
        <v/>
      </c>
    </row>
    <row r="27" spans="1:5" ht="21.6" customHeight="1">
      <c r="A27" s="366" t="s">
        <v>95</v>
      </c>
      <c r="B27" s="366"/>
      <c r="C27" s="126" t="str">
        <f t="shared" si="1"/>
        <v/>
      </c>
      <c r="D27" s="126" t="str">
        <f>IF('5a-b. Special Circ End Use'!C25="","",('5a-b. Special Circ End Use'!C25*3.412+'5a-b. Special Circ End Use'!D25*100+'5a-b. Special Circ End Use'!E25+'5a-b. Special Circ End Use'!F25+'5a-b. Special Circ End Use'!G25+'5a-b. Special Circ End Use'!H25+'5a-b. Special Circ End Use'!I25+'5a-b. Special Circ End Use'!J25)/('5a-b. Special Circ End Use'!$C$29*3.412+'5a-b. Special Circ End Use'!$D$29*100+'5a-b. Special Circ End Use'!$E$29+'5a-b. Special Circ End Use'!$F$29+'5a-b. Special Circ End Use'!$G$29+'5a-b. Special Circ End Use'!$H$29+'5a-b. Special Circ End Use'!$I$29+'5a-b. Special Circ End Use'!$J$29))</f>
        <v/>
      </c>
      <c r="E27" s="126" t="str">
        <f>IF(AND(C12="",D12=""),"",((C12-'5a-b. Special Circ End Use'!C25)*3.412+(D12-'5a-b. Special Circ End Use'!D25)*100+(E12-'5a-b. Special Circ End Use'!E25)+(F12-'5a-b. Special Circ End Use'!F25)+(G12-'5a-b. Special Circ End Use'!G25)+(H12-'5a-b. Special Circ End Use'!H25)+(I12-'5a-b. Special Circ End Use'!I25)+(J12-'5a-b. Special Circ End Use'!J25))/(($C$16-'5a-b. Special Circ End Use'!$C$29)*3.412+($D$16-'5a-b. Special Circ End Use'!$D$29)*100+($E$16-'5a-b. Special Circ End Use'!$E$29)+($F$16-'5a-b. Special Circ End Use'!$F$29)+($G$16-'5a-b. Special Circ End Use'!$G$29)+($H$16-'5a-b. Special Circ End Use'!$H$29)+($I$16-'5a-b. Special Circ End Use'!$I$29)+($J$16-'5a-b. Special Circ End Use'!$J$29)))</f>
        <v/>
      </c>
    </row>
    <row r="28" spans="1:5" ht="21.6" customHeight="1">
      <c r="A28" s="366" t="s">
        <v>96</v>
      </c>
      <c r="B28" s="366"/>
      <c r="C28" s="126" t="str">
        <f t="shared" si="1"/>
        <v/>
      </c>
      <c r="D28" s="126" t="str">
        <f>IF('5a-b. Special Circ End Use'!C26="","",('5a-b. Special Circ End Use'!C26*3.412+'5a-b. Special Circ End Use'!D26*100+'5a-b. Special Circ End Use'!E26+'5a-b. Special Circ End Use'!F26+'5a-b. Special Circ End Use'!G26+'5a-b. Special Circ End Use'!H26+'5a-b. Special Circ End Use'!I26+'5a-b. Special Circ End Use'!J26)/('5a-b. Special Circ End Use'!$C$29*3.412+'5a-b. Special Circ End Use'!$D$29*100+'5a-b. Special Circ End Use'!$E$29+'5a-b. Special Circ End Use'!$F$29+'5a-b. Special Circ End Use'!$G$29+'5a-b. Special Circ End Use'!$H$29+'5a-b. Special Circ End Use'!$I$29+'5a-b. Special Circ End Use'!$J$29))</f>
        <v/>
      </c>
      <c r="E28" s="126" t="str">
        <f>IF(AND(C13="",D13=""),"",((C13-'5a-b. Special Circ End Use'!C26)*3.412+(D13-'5a-b. Special Circ End Use'!D26)*100+(E13-'5a-b. Special Circ End Use'!E26)+(F13-'5a-b. Special Circ End Use'!F26)+(G13-'5a-b. Special Circ End Use'!G26)+(H13-'5a-b. Special Circ End Use'!H26)+(I13-'5a-b. Special Circ End Use'!I26)+(J13-'5a-b. Special Circ End Use'!J26))/(($C$16-'5a-b. Special Circ End Use'!$C$29)*3.412+($D$16-'5a-b. Special Circ End Use'!$D$29)*100+($E$16-'5a-b. Special Circ End Use'!$E$29)+($F$16-'5a-b. Special Circ End Use'!$F$29)+($G$16-'5a-b. Special Circ End Use'!$G$29)+($H$16-'5a-b. Special Circ End Use'!$H$29)+($I$16-'5a-b. Special Circ End Use'!$I$29)+($J$16-'5a-b. Special Circ End Use'!$J$29)))</f>
        <v/>
      </c>
    </row>
    <row r="29" spans="1:5" ht="21.6" customHeight="1">
      <c r="A29" s="366" t="s">
        <v>97</v>
      </c>
      <c r="B29" s="366"/>
      <c r="C29" s="126" t="str">
        <f t="shared" si="1"/>
        <v/>
      </c>
      <c r="D29" s="126" t="str">
        <f>IF('5a-b. Special Circ End Use'!C27="","",('5a-b. Special Circ End Use'!C27*3.412+'5a-b. Special Circ End Use'!D27*100+'5a-b. Special Circ End Use'!E27+'5a-b. Special Circ End Use'!F27+'5a-b. Special Circ End Use'!G27+'5a-b. Special Circ End Use'!H27+'5a-b. Special Circ End Use'!I27+'5a-b. Special Circ End Use'!J27)/('5a-b. Special Circ End Use'!$C$29*3.412+'5a-b. Special Circ End Use'!$D$29*100+'5a-b. Special Circ End Use'!$E$29+'5a-b. Special Circ End Use'!$F$29+'5a-b. Special Circ End Use'!$G$29+'5a-b. Special Circ End Use'!$H$29+'5a-b. Special Circ End Use'!$I$29+'5a-b. Special Circ End Use'!$J$29))</f>
        <v/>
      </c>
      <c r="E29" s="126" t="str">
        <f>IF(AND(C14="",D14=""),"",((C14-'5a-b. Special Circ End Use'!C27)*3.412+(D14-'5a-b. Special Circ End Use'!D27)*100+(E14-'5a-b. Special Circ End Use'!E27)+(F14-'5a-b. Special Circ End Use'!F27)+(G14-'5a-b. Special Circ End Use'!G27)+(H14-'5a-b. Special Circ End Use'!H27)+(I14-'5a-b. Special Circ End Use'!I27)+(J14-'5a-b. Special Circ End Use'!J27))/(($C$16-'5a-b. Special Circ End Use'!$C$29)*3.412+($D$16-'5a-b. Special Circ End Use'!$D$29)*100+($E$16-'5a-b. Special Circ End Use'!$E$29)+($F$16-'5a-b. Special Circ End Use'!$F$29)+($G$16-'5a-b. Special Circ End Use'!$G$29)+($H$16-'5a-b. Special Circ End Use'!$H$29)+($I$16-'5a-b. Special Circ End Use'!$I$29)+($J$16-'5a-b. Special Circ End Use'!$J$29)))</f>
        <v/>
      </c>
    </row>
    <row r="30" spans="1:5" ht="21.6" customHeight="1">
      <c r="A30" s="366" t="s">
        <v>98</v>
      </c>
      <c r="B30" s="366"/>
      <c r="C30" s="126" t="str">
        <f t="shared" si="1"/>
        <v/>
      </c>
      <c r="D30" s="126" t="str">
        <f>IF('5a-b. Special Circ End Use'!C28="","",('5a-b. Special Circ End Use'!C28*3.412+'5a-b. Special Circ End Use'!D28*100+'5a-b. Special Circ End Use'!E28+'5a-b. Special Circ End Use'!F28+'5a-b. Special Circ End Use'!G28+'5a-b. Special Circ End Use'!H28+'5a-b. Special Circ End Use'!I28+'5a-b. Special Circ End Use'!J28)/('5a-b. Special Circ End Use'!$C$29*3.412+'5a-b. Special Circ End Use'!$D$29*100+'5a-b. Special Circ End Use'!$E$29+'5a-b. Special Circ End Use'!$F$29+'5a-b. Special Circ End Use'!$G$29+'5a-b. Special Circ End Use'!$H$29+'5a-b. Special Circ End Use'!$I$29+'5a-b. Special Circ End Use'!$J$29))</f>
        <v/>
      </c>
      <c r="E30" s="126" t="str">
        <f>IF(AND(C15="",D15=""),"",((C15-'5a-b. Special Circ End Use'!C28)*3.412+(D15-'5a-b. Special Circ End Use'!D28)*100+(E15-'5a-b. Special Circ End Use'!E28)+(F15-'5a-b. Special Circ End Use'!F28)+(G15-'5a-b. Special Circ End Use'!G28)+(H15-'5a-b. Special Circ End Use'!H28)+(I15-'5a-b. Special Circ End Use'!I28)+(J15-'5a-b. Special Circ End Use'!J28))/(($C$16-'5a-b. Special Circ End Use'!$C$29)*3.412+($D$16-'5a-b. Special Circ End Use'!$D$29)*100+($E$16-'5a-b. Special Circ End Use'!$E$29)+($F$16-'5a-b. Special Circ End Use'!$F$29)+($G$16-'5a-b. Special Circ End Use'!$G$29)+($H$16-'5a-b. Special Circ End Use'!$H$29)+($I$16-'5a-b. Special Circ End Use'!$I$29)+($J$16-'5a-b. Special Circ End Use'!$J$29)))</f>
        <v/>
      </c>
    </row>
    <row r="31" spans="1:5" ht="24.6" customHeight="1">
      <c r="A31" s="362" t="s">
        <v>37</v>
      </c>
      <c r="B31" s="362"/>
      <c r="C31" s="127">
        <f>IF(SUM(C21:C30)=0,0,SUM(C21:C30))</f>
        <v>0</v>
      </c>
      <c r="D31" s="127">
        <f>SUM(D21:D30)</f>
        <v>0</v>
      </c>
      <c r="E31" s="126">
        <f>SUM(E21:E30)</f>
        <v>0</v>
      </c>
    </row>
  </sheetData>
  <sheetProtection algorithmName="SHA-512" hashValue="z02I5X0iTc+EbuRrHlyKk3yR4FeOtJVZBTkeZmKAgZ4xrjISCTPctaGWY2RcEF9BTdrSLSUTPtJqdNwy2Ti8hA==" saltValue="7BU8lcMWTWbEElNGIbeC/Q==" spinCount="100000" sheet="1" formatCells="0" formatColumns="0" formatRows="0"/>
  <mergeCells count="28">
    <mergeCell ref="A12:B12"/>
    <mergeCell ref="A13:B13"/>
    <mergeCell ref="A14:B14"/>
    <mergeCell ref="A15:B15"/>
    <mergeCell ref="A29:B29"/>
    <mergeCell ref="A30:B30"/>
    <mergeCell ref="A31:B31"/>
    <mergeCell ref="A23:B23"/>
    <mergeCell ref="A24:B24"/>
    <mergeCell ref="A25:B25"/>
    <mergeCell ref="A26:B26"/>
    <mergeCell ref="A27:B27"/>
    <mergeCell ref="A4:K4"/>
    <mergeCell ref="B3:K3"/>
    <mergeCell ref="C19:E19"/>
    <mergeCell ref="A28:B28"/>
    <mergeCell ref="A19:B19"/>
    <mergeCell ref="A20:B20"/>
    <mergeCell ref="A21:B21"/>
    <mergeCell ref="A22:B22"/>
    <mergeCell ref="A10:B10"/>
    <mergeCell ref="A5:B5"/>
    <mergeCell ref="A6:B6"/>
    <mergeCell ref="A7:B7"/>
    <mergeCell ref="A8:B8"/>
    <mergeCell ref="A9:B9"/>
    <mergeCell ref="A16:B16"/>
    <mergeCell ref="A11:B11"/>
  </mergeCells>
  <conditionalFormatting sqref="H6:J15">
    <cfRule type="containsBlanks" dxfId="8" priority="5">
      <formula>LEN(TRIM(H6))=0</formula>
    </cfRule>
  </conditionalFormatting>
  <conditionalFormatting sqref="C6:G15">
    <cfRule type="containsBlanks" dxfId="7" priority="2">
      <formula>LEN(TRIM(C6))=0</formula>
    </cfRule>
  </conditionalFormatting>
  <conditionalFormatting sqref="K6:K15">
    <cfRule type="containsBlanks" dxfId="6" priority="1">
      <formula>LEN(TRIM(K6))=0</formula>
    </cfRule>
  </conditionalFormatting>
  <pageMargins left="0.4498611111111111" right="0.61499999999999999" top="0.75" bottom="0.75" header="0.3" footer="0.3"/>
  <pageSetup scale="82" orientation="portrait" r:id="rId1"/>
  <headerFooter>
    <oddHeader>&amp;L&amp;G&amp;R&amp;"Liberation Sans,Bold"&amp;14&amp;K00247D
EN97A: GHG Adjustments Form</oddHeader>
    <oddFooter>&amp;L&amp;"Liberation Sans,Regular"Version 1.3&amp;R&amp;"Liberation Sans,Regular"February  2022</oddFoot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"/>
  <dimension ref="A3:I41"/>
  <sheetViews>
    <sheetView view="pageLayout" zoomScaleNormal="115" workbookViewId="0">
      <selection activeCell="I6" sqref="I6"/>
    </sheetView>
  </sheetViews>
  <sheetFormatPr defaultColWidth="8.85546875" defaultRowHeight="14.25"/>
  <cols>
    <col min="1" max="1" width="4.42578125" style="94" customWidth="1"/>
    <col min="2" max="2" width="10.42578125" style="94" customWidth="1"/>
    <col min="3" max="3" width="19.28515625" style="94" customWidth="1"/>
    <col min="4" max="4" width="12.28515625" style="94" customWidth="1"/>
    <col min="5" max="5" width="12.140625" style="94" customWidth="1"/>
    <col min="6" max="6" width="10" style="94" customWidth="1"/>
    <col min="7" max="7" width="12" style="94" customWidth="1"/>
    <col min="8" max="8" width="14.28515625" style="94" customWidth="1"/>
    <col min="9" max="9" width="22.85546875" style="94" customWidth="1"/>
    <col min="10" max="10" width="8.85546875" style="94"/>
    <col min="11" max="11" width="2.7109375" style="94" customWidth="1"/>
    <col min="12" max="12" width="13.7109375" style="94" customWidth="1"/>
    <col min="13" max="13" width="11.28515625" style="94" customWidth="1"/>
    <col min="14" max="14" width="12.28515625" style="94" customWidth="1"/>
    <col min="15" max="16" width="8.85546875" style="94"/>
    <col min="17" max="17" width="17.28515625" style="94" bestFit="1" customWidth="1"/>
    <col min="18" max="18" width="5" style="94" bestFit="1" customWidth="1"/>
    <col min="19" max="16384" width="8.85546875" style="94"/>
  </cols>
  <sheetData>
    <row r="3" spans="1:9" ht="18.75" customHeight="1">
      <c r="A3" s="121" t="s">
        <v>910</v>
      </c>
      <c r="B3" s="533" t="s">
        <v>911</v>
      </c>
      <c r="C3" s="533"/>
      <c r="D3" s="533"/>
      <c r="E3" s="533"/>
      <c r="F3" s="533"/>
      <c r="G3" s="533"/>
      <c r="H3" s="533"/>
      <c r="I3" s="533"/>
    </row>
    <row r="4" spans="1:9">
      <c r="A4" s="97"/>
      <c r="B4" s="320" t="str">
        <f>CONCATENATE("Compliance Based on ",IF(Path="","",Path))</f>
        <v>Compliance Based on 2024 GHG Limit</v>
      </c>
      <c r="C4" s="321"/>
      <c r="D4" s="321"/>
      <c r="E4" s="321"/>
      <c r="F4" s="321"/>
      <c r="G4" s="321"/>
      <c r="H4" s="321"/>
      <c r="I4" s="325"/>
    </row>
    <row r="5" spans="1:9" s="100" customFormat="1" ht="36.75" customHeight="1">
      <c r="A5" s="366" t="s">
        <v>912</v>
      </c>
      <c r="B5" s="366"/>
      <c r="C5" s="98" t="s">
        <v>965</v>
      </c>
      <c r="D5" s="99" t="s">
        <v>913</v>
      </c>
      <c r="E5" s="99" t="s">
        <v>914</v>
      </c>
      <c r="F5" s="99" t="s">
        <v>913</v>
      </c>
      <c r="G5" s="99" t="s">
        <v>915</v>
      </c>
      <c r="H5" s="99" t="s">
        <v>108</v>
      </c>
      <c r="I5" s="99" t="s">
        <v>109</v>
      </c>
    </row>
    <row r="6" spans="1:9" s="100" customFormat="1" ht="19.350000000000001" customHeight="1">
      <c r="A6" s="534" t="s">
        <v>77</v>
      </c>
      <c r="B6" s="366"/>
      <c r="C6" s="101"/>
      <c r="D6" s="102"/>
      <c r="E6" s="103"/>
      <c r="F6" s="102"/>
      <c r="G6" s="103"/>
      <c r="H6" s="104"/>
      <c r="I6" s="101"/>
    </row>
    <row r="7" spans="1:9" s="100" customFormat="1" ht="15" customHeight="1">
      <c r="A7" s="366" t="s">
        <v>61</v>
      </c>
      <c r="B7" s="366"/>
      <c r="C7" s="101"/>
      <c r="D7" s="102"/>
      <c r="E7" s="103"/>
      <c r="F7" s="102"/>
      <c r="G7" s="103"/>
      <c r="H7" s="104"/>
      <c r="I7" s="101"/>
    </row>
    <row r="8" spans="1:9" s="100" customFormat="1" ht="24" customHeight="1">
      <c r="A8" s="534" t="s">
        <v>916</v>
      </c>
      <c r="B8" s="366"/>
      <c r="C8" s="101"/>
      <c r="D8" s="102"/>
      <c r="E8" s="103"/>
      <c r="F8" s="102"/>
      <c r="G8" s="103"/>
      <c r="H8" s="104"/>
      <c r="I8" s="101"/>
    </row>
    <row r="9" spans="1:9" s="100" customFormat="1" ht="17.25" customHeight="1">
      <c r="A9" s="366" t="str">
        <f>CONCATENATE('4e-f. Usage to GHG'!N9," ($/kBTU)")</f>
        <v>#2 Fuel Oil ($/kBTU)</v>
      </c>
      <c r="B9" s="366"/>
      <c r="C9" s="101"/>
      <c r="D9" s="102"/>
      <c r="E9" s="103"/>
      <c r="F9" s="102"/>
      <c r="G9" s="103"/>
      <c r="H9" s="104"/>
      <c r="I9" s="101"/>
    </row>
    <row r="10" spans="1:9" s="100" customFormat="1" ht="24" customHeight="1">
      <c r="A10" s="366" t="str">
        <f>CONCATENATE('4e-f. Usage to GHG'!N10," ($/kBTU)")</f>
        <v>Fuel Oil #5/6 ($/kBTU)</v>
      </c>
      <c r="B10" s="366"/>
      <c r="C10" s="101"/>
      <c r="D10" s="102"/>
      <c r="E10" s="103"/>
      <c r="F10" s="102"/>
      <c r="G10" s="103"/>
      <c r="H10" s="104"/>
      <c r="I10" s="101"/>
    </row>
    <row r="11" spans="1:9" s="100" customFormat="1" ht="20.45" customHeight="1">
      <c r="A11" s="366" t="str">
        <f>CONCATENATE('4e-f. Usage to GHG'!N11," ($/kBTU)")</f>
        <v>Fuel Oil #1 ($/kBTU)</v>
      </c>
      <c r="B11" s="366"/>
      <c r="C11" s="101"/>
      <c r="D11" s="102"/>
      <c r="E11" s="103"/>
      <c r="F11" s="102"/>
      <c r="G11" s="103"/>
      <c r="H11" s="104"/>
      <c r="I11" s="101"/>
    </row>
    <row r="12" spans="1:9" s="100" customFormat="1" ht="19.5" customHeight="1">
      <c r="A12" s="366" t="str">
        <f>CONCATENATE('4e-f. Usage to GHG'!N12," ($/kBTU)")</f>
        <v>0 ($/kBTU)</v>
      </c>
      <c r="B12" s="366"/>
      <c r="C12" s="101"/>
      <c r="D12" s="102"/>
      <c r="E12" s="103"/>
      <c r="F12" s="102"/>
      <c r="G12" s="103"/>
      <c r="H12" s="104"/>
      <c r="I12" s="101"/>
    </row>
    <row r="13" spans="1:9" s="100" customFormat="1" ht="18.75" customHeight="1">
      <c r="A13" s="366" t="str">
        <f>CONCATENATE('4e-f. Usage to GHG'!N13," ($/kBTU)")</f>
        <v>0 ($/kBTU)</v>
      </c>
      <c r="B13" s="366"/>
      <c r="C13" s="101"/>
      <c r="D13" s="102"/>
      <c r="E13" s="103"/>
      <c r="F13" s="102"/>
      <c r="G13" s="103"/>
      <c r="H13" s="104"/>
      <c r="I13" s="101"/>
    </row>
    <row r="14" spans="1:9" s="100" customFormat="1" ht="20.25" customHeight="1">
      <c r="A14" s="531"/>
      <c r="B14" s="535"/>
      <c r="C14" s="535"/>
      <c r="D14" s="535"/>
      <c r="E14" s="535"/>
      <c r="F14" s="535"/>
      <c r="G14" s="532"/>
      <c r="H14" s="105" t="s">
        <v>917</v>
      </c>
      <c r="I14" s="105" t="s">
        <v>918</v>
      </c>
    </row>
    <row r="15" spans="1:9" s="100" customFormat="1" ht="17.45" customHeight="1">
      <c r="A15" s="366" t="s">
        <v>37</v>
      </c>
      <c r="B15" s="366"/>
      <c r="C15" s="99"/>
      <c r="D15" s="99"/>
      <c r="E15" s="106" t="str">
        <f>IF(SUM(E6:E13)=0,"",SUM(E6:E13))</f>
        <v/>
      </c>
      <c r="F15" s="99"/>
      <c r="G15" s="106" t="str">
        <f>IF(SUM(G6:G13)=0,"",SUM(G6:G13))</f>
        <v/>
      </c>
      <c r="H15" s="106" t="str">
        <f>IF(E15="","",E15-G15)</f>
        <v/>
      </c>
      <c r="I15" s="106" t="str">
        <f>IF(E15="","",IF(Path="Section 11 ECB",IF(G15&lt;E15,"Equivalent","NOT Equivalent"),IF(OR(D24&lt;C24,D32&lt;C32),"Equivalent","NOT Equivalent")))</f>
        <v/>
      </c>
    </row>
    <row r="16" spans="1:9">
      <c r="E16" s="107"/>
    </row>
    <row r="18" spans="1:9" ht="20.45" customHeight="1">
      <c r="A18" s="120" t="s">
        <v>919</v>
      </c>
      <c r="B18" s="539" t="s">
        <v>920</v>
      </c>
      <c r="C18" s="540"/>
      <c r="D18" s="540"/>
      <c r="F18" s="122" t="s">
        <v>921</v>
      </c>
      <c r="G18" s="541" t="s">
        <v>922</v>
      </c>
      <c r="H18" s="542"/>
    </row>
    <row r="19" spans="1:9" ht="22.35" customHeight="1">
      <c r="A19" s="329"/>
      <c r="B19" s="331"/>
      <c r="C19" s="109" t="s">
        <v>923</v>
      </c>
      <c r="D19" s="109" t="s">
        <v>924</v>
      </c>
      <c r="F19" s="329" t="s">
        <v>925</v>
      </c>
      <c r="G19" s="331"/>
      <c r="H19" s="109" t="s">
        <v>926</v>
      </c>
      <c r="I19" s="108" t="s">
        <v>927</v>
      </c>
    </row>
    <row r="20" spans="1:9" ht="32.1" customHeight="1">
      <c r="A20" s="538" t="s">
        <v>928</v>
      </c>
      <c r="B20" s="528"/>
      <c r="C20" s="110" t="str">
        <f>IF(Path="Section 11 ECB","",IF(D20="Weighted Average",I20,VLOOKUP(D20,Lists!M13:O24,2)))</f>
        <v>Input modeled areas for each space classification</v>
      </c>
      <c r="D20" s="111" t="s">
        <v>272</v>
      </c>
      <c r="F20" s="530" t="s">
        <v>246</v>
      </c>
      <c r="G20" s="530"/>
      <c r="H20" s="112"/>
      <c r="I20" s="110" t="str">
        <f>IF(AND(D20="Weighted Average",SUM(H20:H29)&lt;&gt;0),SUMPRODUCT(H20:H29,Lists!N13:N22)/SUM(H20:H29),"Input modeled areas for each space classification")</f>
        <v>Input modeled areas for each space classification</v>
      </c>
    </row>
    <row r="21" spans="1:9" ht="29.25" customHeight="1">
      <c r="A21" s="536" t="s">
        <v>929</v>
      </c>
      <c r="B21" s="537"/>
      <c r="C21" s="113">
        <f>IF(Path="Section 11 ECB","",IF(C23="","",C23-C22))</f>
        <v>0</v>
      </c>
      <c r="D21" s="113">
        <f>IF(Path="Section 11 ECB","",IF(D23="","",D23-D22))</f>
        <v>0</v>
      </c>
      <c r="F21" s="531" t="s">
        <v>247</v>
      </c>
      <c r="G21" s="532"/>
      <c r="H21" s="112"/>
      <c r="I21" s="108" t="s">
        <v>930</v>
      </c>
    </row>
    <row r="22" spans="1:9" ht="35.1" customHeight="1">
      <c r="A22" s="536" t="s">
        <v>931</v>
      </c>
      <c r="B22" s="537"/>
      <c r="C22" s="113">
        <f>IF(Path="Section 11 ECB","",SUM('9. 2014 ECC - End Use Comp.'!C7*3.412,
'9. 2014 ECC - End Use Comp.'!D7*100,
'9. 2014 ECC - End Use Comp.'!E7:J7,
'9. 2014 ECC - End Use Comp.'!C15*3.412,
'9. 2014 ECC - End Use Comp.'!D15*100,
'9. 2014 ECC - End Use Comp.'!E15:J15))</f>
        <v>0</v>
      </c>
      <c r="D22" s="113">
        <f>IF(Path="Section 11 ECB","",
SUM('5a-b. Special Circ End Use'!C20*3.412,
'5a-b. Special Circ End Use'!D20*100,
'5a-b. Special Circ End Use'!E20:J20,
'5a-b. Special Circ End Use'!C28*3.412,
'5a-b. Special Circ End Use'!D28*100,
'5a-b. Special Circ End Use'!E28:J28))</f>
        <v>0</v>
      </c>
      <c r="F22" s="530" t="s">
        <v>932</v>
      </c>
      <c r="G22" s="530"/>
      <c r="H22" s="112"/>
      <c r="I22" s="110" t="str">
        <f>IF(AND(D28="Weighted Average",SUM(H20:H29)&lt;&gt;0),SUMPRODUCT(H20:H29,Lists!O13:O22)/SUM(H20:H29),"Input modeled areas for each space classification")</f>
        <v>Input modeled areas for each space classification</v>
      </c>
    </row>
    <row r="23" spans="1:9" ht="23.1" customHeight="1">
      <c r="A23" s="536" t="s">
        <v>933</v>
      </c>
      <c r="B23" s="537"/>
      <c r="C23" s="113">
        <f>IF(Path="Section 11 ECB","",
SUM('9. 2014 ECC - End Use Comp.'!C16*3.412,
'9. 2014 ECC - End Use Comp.'!D16*100,
'9. 2014 ECC - End Use Comp.'!E16:J16))</f>
        <v>0</v>
      </c>
      <c r="D23" s="113">
        <f>IF(Path="Section 11 ECB","",
SUM('5a-b. Special Circ End Use'!C29*3.412,
'5a-b. Special Circ End Use'!D29*100,
'5a-b. Special Circ End Use'!E29:J29))</f>
        <v>0</v>
      </c>
      <c r="F23" s="530" t="s">
        <v>250</v>
      </c>
      <c r="G23" s="530"/>
      <c r="H23" s="112"/>
    </row>
    <row r="24" spans="1:9" ht="28.5" customHeight="1">
      <c r="A24" s="536" t="s">
        <v>934</v>
      </c>
      <c r="B24" s="537"/>
      <c r="C24" s="110" t="e">
        <f>IF(C23="","",(C22+(C21*C20))/C23)</f>
        <v>#VALUE!</v>
      </c>
      <c r="D24" s="110" t="e">
        <f>IF(D23="","",D23/C23)</f>
        <v>#DIV/0!</v>
      </c>
      <c r="F24" s="530" t="s">
        <v>252</v>
      </c>
      <c r="G24" s="530"/>
      <c r="H24" s="112"/>
      <c r="I24" s="114"/>
    </row>
    <row r="25" spans="1:9" ht="15" customHeight="1">
      <c r="C25" s="115"/>
      <c r="E25" s="114"/>
      <c r="F25" s="530" t="s">
        <v>260</v>
      </c>
      <c r="G25" s="530"/>
      <c r="H25" s="112"/>
      <c r="I25" s="114"/>
    </row>
    <row r="26" spans="1:9" ht="18" customHeight="1">
      <c r="A26" s="122" t="s">
        <v>935</v>
      </c>
      <c r="B26" s="539" t="s">
        <v>936</v>
      </c>
      <c r="C26" s="540"/>
      <c r="D26" s="540"/>
      <c r="E26" s="114"/>
      <c r="F26" s="530" t="s">
        <v>262</v>
      </c>
      <c r="G26" s="530"/>
      <c r="H26" s="112"/>
      <c r="I26" s="114"/>
    </row>
    <row r="27" spans="1:9" ht="23.25" customHeight="1">
      <c r="A27" s="329"/>
      <c r="B27" s="331"/>
      <c r="C27" s="109" t="s">
        <v>923</v>
      </c>
      <c r="D27" s="109" t="s">
        <v>924</v>
      </c>
      <c r="E27" s="114"/>
      <c r="F27" s="530" t="s">
        <v>266</v>
      </c>
      <c r="G27" s="530"/>
      <c r="H27" s="112"/>
      <c r="I27" s="114"/>
    </row>
    <row r="28" spans="1:9" ht="30.95" customHeight="1">
      <c r="A28" s="538" t="s">
        <v>937</v>
      </c>
      <c r="B28" s="528"/>
      <c r="C28" s="110" t="str">
        <f>IF(Path="Section 11 ECB","",IF(D28="Weighted Average",I22,VLOOKUP(D28,Lists!M13:O24,3)))</f>
        <v>Input modeled areas for each space classification</v>
      </c>
      <c r="D28" s="116" t="s">
        <v>272</v>
      </c>
      <c r="E28" s="114"/>
      <c r="F28" s="530" t="s">
        <v>268</v>
      </c>
      <c r="G28" s="530"/>
      <c r="H28" s="112"/>
      <c r="I28" s="114"/>
    </row>
    <row r="29" spans="1:9" ht="22.5" customHeight="1">
      <c r="A29" s="536" t="s">
        <v>938</v>
      </c>
      <c r="B29" s="537"/>
      <c r="C29" s="117">
        <f>IF(Path="Section 11 ECB","",IF(C31="","",C31-C30))</f>
        <v>0</v>
      </c>
      <c r="D29" s="117">
        <f>IF(Path="Section 11 ECB","",IF(D31="","",D31-D30))</f>
        <v>0</v>
      </c>
      <c r="E29" s="114"/>
      <c r="F29" s="530" t="s">
        <v>270</v>
      </c>
      <c r="G29" s="530"/>
      <c r="H29" s="112"/>
    </row>
    <row r="30" spans="1:9" ht="21.6" customHeight="1">
      <c r="A30" s="536" t="s">
        <v>939</v>
      </c>
      <c r="B30" s="537"/>
      <c r="C30" s="117">
        <f>IF(Path="Section 11 ECB","",
SUM('9. 2014 ECC - End Use Comp.'!C7*'4e-f. Usage to GHG'!O6,
'9. 2014 ECC - End Use Comp.'!D7*100*'4e-f. Usage to GHG'!O7,
'9. 2014 ECC - End Use Comp.'!E7*'4e-f. Usage to GHG'!O8,
'9. 2014 ECC - End Use Comp.'!F7*'4e-f. Usage to GHG'!O9,
'9. 2014 ECC - End Use Comp.'!G7*'4e-f. Usage to GHG'!O10,
'9. 2014 ECC - End Use Comp.'!H7*'4e-f. Usage to GHG'!O11,
'9. 2014 ECC - End Use Comp.'!I7*'4e-f. Usage to GHG'!O12,
'9. 2014 ECC - End Use Comp.'!J7*'4e-f. Usage to GHG'!O13,
'9. 2014 ECC - End Use Comp.'!C15*'4e-f. Usage to GHG'!O6,
'9. 2014 ECC - End Use Comp.'!D15*100*'4e-f. Usage to GHG'!O7,
'9. 2014 ECC - End Use Comp.'!E15*'4e-f. Usage to GHG'!O8,
'9. 2014 ECC - End Use Comp.'!F15*'4e-f. Usage to GHG'!O9,
'9. 2014 ECC - End Use Comp.'!G15*'4e-f. Usage to GHG'!O10,
'9. 2014 ECC - End Use Comp.'!H15*'4e-f. Usage to GHG'!O11,
'9. 2014 ECC - End Use Comp.'!I15*'4e-f. Usage to GHG'!O12,
'9. 2014 ECC - End Use Comp.'!J15*'4e-f. Usage to GHG'!O13))</f>
        <v>0</v>
      </c>
      <c r="D30" s="117">
        <f>IF(Path="Section 11 ECB","",
SUM('5a-b. Special Circ End Use'!C20*'4e-f. Usage to GHG'!O6,
'5a-b. Special Circ End Use'!D20*100*'4e-f. Usage to GHG'!O7,
'5a-b. Special Circ End Use'!E20*'4e-f. Usage to GHG'!O8,
'5a-b. Special Circ End Use'!F20*'4e-f. Usage to GHG'!O9,
'5a-b. Special Circ End Use'!G20*'4e-f. Usage to GHG'!O10,
'5a-b. Special Circ End Use'!H20*'4e-f. Usage to GHG'!O11,
'5a-b. Special Circ End Use'!I20*'4e-f. Usage to GHG'!O12,
'5a-b. Special Circ End Use'!J20*'4e-f. Usage to GHG'!O13,
'5a-b. Special Circ End Use'!C28*'4e-f. Usage to GHG'!O6,
'5a-b. Special Circ End Use'!D28*100*'4e-f. Usage to GHG'!O7,
'5a-b. Special Circ End Use'!E28*'4e-f. Usage to GHG'!O8,
'5a-b. Special Circ End Use'!F28*'4e-f. Usage to GHG'!O9,
'5a-b. Special Circ End Use'!G28*'4e-f. Usage to GHG'!O10,
'5a-b. Special Circ End Use'!H28*'4e-f. Usage to GHG'!O11,
'5a-b. Special Circ End Use'!I28*'4e-f. Usage to GHG'!O12,
'5a-b. Special Circ End Use'!J28*'4e-f. Usage to GHG'!O13))</f>
        <v>0</v>
      </c>
      <c r="E30" s="114"/>
      <c r="F30" s="530" t="s">
        <v>37</v>
      </c>
      <c r="G30" s="530"/>
      <c r="H30" s="113">
        <f>IF(SUM(H20:H29)&lt;&gt;'7 Modeling Information'!Modeled_Square_Feet,"NOT EQUAL TO MODELED AREA",SUM(H20:H29))</f>
        <v>0</v>
      </c>
    </row>
    <row r="31" spans="1:9" ht="24.6" customHeight="1">
      <c r="A31" s="536" t="s">
        <v>940</v>
      </c>
      <c r="B31" s="537"/>
      <c r="C31" s="117">
        <f>IF(Path="Section 11 ECB","",SUM(
'9. 2014 ECC - End Use Comp.'!C16*'4e-f. Usage to GHG'!O6,
'9. 2014 ECC - End Use Comp.'!D16*100*'4e-f. Usage to GHG'!O7,
'9. 2014 ECC - End Use Comp.'!E16*'4e-f. Usage to GHG'!O8,
'9. 2014 ECC - End Use Comp.'!F16*'4e-f. Usage to GHG'!O9,
'9. 2014 ECC - End Use Comp.'!G16*'4e-f. Usage to GHG'!O10,
'9. 2014 ECC - End Use Comp.'!H16*'4e-f. Usage to GHG'!O11,
'9. 2014 ECC - End Use Comp.'!I16*'4e-f. Usage to GHG'!O12,
'9. 2014 ECC - End Use Comp.'!J16*'4e-f. Usage to GHG'!O13))</f>
        <v>0</v>
      </c>
      <c r="D31" s="117">
        <f>IF(Path="Section 11 ECB","",SUM(
'5a-b. Special Circ End Use'!C29*'4e-f. Usage to GHG'!O6,
'5a-b. Special Circ End Use'!D29*100*'4e-f. Usage to GHG'!O7,
'5a-b. Special Circ End Use'!E29*'4e-f. Usage to GHG'!O8,
'5a-b. Special Circ End Use'!F29*'4e-f. Usage to GHG'!O9,
'5a-b. Special Circ End Use'!G29*'4e-f. Usage to GHG'!O10,
'5a-b. Special Circ End Use'!H29*'4e-f. Usage to GHG'!O11,
'5a-b. Special Circ End Use'!I29*'4e-f. Usage to GHG'!O12,
'5a-b. Special Circ End Use'!J29*'4e-f. Usage to GHG'!O13))</f>
        <v>0</v>
      </c>
      <c r="E31" s="114"/>
    </row>
    <row r="32" spans="1:9" ht="28.5" customHeight="1">
      <c r="A32" s="536" t="s">
        <v>941</v>
      </c>
      <c r="B32" s="537"/>
      <c r="C32" s="118" t="e">
        <f>IF(C31="","",(C30+(C29*C28))/C31)</f>
        <v>#VALUE!</v>
      </c>
      <c r="D32" s="118" t="e">
        <f>IF(D31="","",D31/C31)</f>
        <v>#DIV/0!</v>
      </c>
    </row>
    <row r="36" spans="1:3" ht="17.25" customHeight="1"/>
    <row r="37" spans="1:3" ht="15" customHeight="1"/>
    <row r="38" spans="1:3" ht="15" customHeight="1"/>
    <row r="39" spans="1:3" ht="25.5" customHeight="1"/>
    <row r="40" spans="1:3">
      <c r="A40" s="114"/>
      <c r="B40" s="114"/>
      <c r="C40" s="114"/>
    </row>
    <row r="41" spans="1:3">
      <c r="A41" s="114"/>
      <c r="B41" s="114"/>
      <c r="C41" s="114"/>
    </row>
  </sheetData>
  <sheetProtection algorithmName="SHA-512" hashValue="H9opGj8D9uEcEoZUWewc3oBMcrbU/FRYQpZVB7Uj7hLbdmC7/PKhmg+UgOFElvZXwydQQhRcyDKPV7DaL5lhiQ==" saltValue="HggYNQ4JDI7CKPhu4O7CNg==" spinCount="100000" sheet="1" objects="1" scenarios="1"/>
  <sortState xmlns:xlrd2="http://schemas.microsoft.com/office/spreadsheetml/2017/richdata2" ref="J16:K24">
    <sortCondition ref="J16"/>
  </sortState>
  <mergeCells count="40">
    <mergeCell ref="A32:B32"/>
    <mergeCell ref="B26:D26"/>
    <mergeCell ref="A27:B27"/>
    <mergeCell ref="A28:B28"/>
    <mergeCell ref="A29:B29"/>
    <mergeCell ref="A30:B30"/>
    <mergeCell ref="A14:G14"/>
    <mergeCell ref="A11:B11"/>
    <mergeCell ref="A12:B12"/>
    <mergeCell ref="B4:I4"/>
    <mergeCell ref="A31:B31"/>
    <mergeCell ref="A24:B24"/>
    <mergeCell ref="A23:B23"/>
    <mergeCell ref="A20:B20"/>
    <mergeCell ref="B18:D18"/>
    <mergeCell ref="A15:B15"/>
    <mergeCell ref="A19:B19"/>
    <mergeCell ref="A21:B21"/>
    <mergeCell ref="A22:B22"/>
    <mergeCell ref="F30:G30"/>
    <mergeCell ref="F19:G19"/>
    <mergeCell ref="G18:H18"/>
    <mergeCell ref="B3:I3"/>
    <mergeCell ref="A5:B5"/>
    <mergeCell ref="A6:B6"/>
    <mergeCell ref="A7:B7"/>
    <mergeCell ref="A13:B13"/>
    <mergeCell ref="A8:B8"/>
    <mergeCell ref="A9:B9"/>
    <mergeCell ref="A10:B10"/>
    <mergeCell ref="F20:G20"/>
    <mergeCell ref="F22:G22"/>
    <mergeCell ref="F27:G27"/>
    <mergeCell ref="F28:G28"/>
    <mergeCell ref="F29:G29"/>
    <mergeCell ref="F25:G25"/>
    <mergeCell ref="F23:G23"/>
    <mergeCell ref="F26:G26"/>
    <mergeCell ref="F24:G24"/>
    <mergeCell ref="F21:G21"/>
  </mergeCells>
  <conditionalFormatting sqref="C6:D12 C13">
    <cfRule type="containsBlanks" dxfId="5" priority="10">
      <formula>LEN(TRIM(C6))=0</formula>
    </cfRule>
  </conditionalFormatting>
  <conditionalFormatting sqref="F6:I12 G13:I13">
    <cfRule type="containsBlanks" dxfId="4" priority="9">
      <formula>LEN(TRIM(F6))=0</formula>
    </cfRule>
  </conditionalFormatting>
  <conditionalFormatting sqref="H20:H29">
    <cfRule type="containsBlanks" dxfId="3" priority="5">
      <formula>LEN(TRIM(H20))=0</formula>
    </cfRule>
  </conditionalFormatting>
  <conditionalFormatting sqref="D13">
    <cfRule type="containsBlanks" dxfId="2" priority="3">
      <formula>LEN(TRIM(D13))=0</formula>
    </cfRule>
  </conditionalFormatting>
  <conditionalFormatting sqref="F13">
    <cfRule type="containsBlanks" dxfId="1" priority="2">
      <formula>LEN(TRIM(F13))=0</formula>
    </cfRule>
  </conditionalFormatting>
  <conditionalFormatting sqref="E6:E13">
    <cfRule type="containsBlanks" dxfId="0" priority="1">
      <formula>LEN(TRIM(E6))=0</formula>
    </cfRule>
  </conditionalFormatting>
  <pageMargins left="0.44986111111111099" right="0.46979166666666666" top="0.75" bottom="0.75" header="0.3" footer="0.3"/>
  <pageSetup scale="82" orientation="portrait" r:id="rId1"/>
  <headerFooter>
    <oddHeader>&amp;L&amp;G&amp;R&amp;"Liberation Sans,Bold"&amp;14&amp;K00247D
EN97A: GHG Adjustments Form</oddHeader>
    <oddFooter>&amp;L&amp;"Liberation Sans,Regular"Version 1.3&amp;R&amp;"Liberation Sans,Regular"February  2022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800-000001000000}">
          <x14:formula1>
            <xm:f>Lists!$M$13:$M$23</xm:f>
          </x14:formula1>
          <xm:sqref>D28 D20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40</vt:i4>
      </vt:variant>
    </vt:vector>
  </HeadingPairs>
  <TitlesOfParts>
    <vt:vector size="71" baseType="lpstr">
      <vt:lpstr>Instructions</vt:lpstr>
      <vt:lpstr>Color legend</vt:lpstr>
      <vt:lpstr>Version Control</vt:lpstr>
      <vt:lpstr>1,2,3 Information</vt:lpstr>
      <vt:lpstr>4a.1 Utility Bills - Electric</vt:lpstr>
      <vt:lpstr>4a.2 Utility Bills - Elec add'l</vt:lpstr>
      <vt:lpstr>4b. Utility Bills - Nat.Gas</vt:lpstr>
      <vt:lpstr>4c. Utility Bills - Steam,Other</vt:lpstr>
      <vt:lpstr>4d. Utility Bills - Other</vt:lpstr>
      <vt:lpstr>4e-f. Usage to GHG</vt:lpstr>
      <vt:lpstr>5a-b. Special Circ End Use</vt:lpstr>
      <vt:lpstr>5c-d. Special Circ Usage</vt:lpstr>
      <vt:lpstr>6a-b. Envelope</vt:lpstr>
      <vt:lpstr>6c. Fenestration</vt:lpstr>
      <vt:lpstr>Lists</vt:lpstr>
      <vt:lpstr>6d. Interior LPD-Space Method</vt:lpstr>
      <vt:lpstr>Lighting Lookup</vt:lpstr>
      <vt:lpstr>6e. Ext LPD</vt:lpstr>
      <vt:lpstr>6f. Misc. Equip</vt:lpstr>
      <vt:lpstr>6g-h. Service HW</vt:lpstr>
      <vt:lpstr>6i. Actual Building Zone HVAC</vt:lpstr>
      <vt:lpstr>6j-n. Building Plant Eqp</vt:lpstr>
      <vt:lpstr>6o. Baseline Zone HVAC</vt:lpstr>
      <vt:lpstr>6p-t. Baseline Plant Eqp</vt:lpstr>
      <vt:lpstr>7 Modeling Information</vt:lpstr>
      <vt:lpstr>8a. Usage - Actual v Modeled</vt:lpstr>
      <vt:lpstr>8a. Calculations</vt:lpstr>
      <vt:lpstr>8b. Graphs - Actual v Modeled</vt:lpstr>
      <vt:lpstr>8c. Graphs - Actual v Model</vt:lpstr>
      <vt:lpstr>9. 2014 ECC - End Use Comp.</vt:lpstr>
      <vt:lpstr>10. Modeling Equivalence</vt:lpstr>
      <vt:lpstr>BAMCategories</vt:lpstr>
      <vt:lpstr>Doors</vt:lpstr>
      <vt:lpstr>Env_Type</vt:lpstr>
      <vt:lpstr>Fenestration</vt:lpstr>
      <vt:lpstr>Floor</vt:lpstr>
      <vt:lpstr>HVAC</vt:lpstr>
      <vt:lpstr>Ltg_Bldg</vt:lpstr>
      <vt:lpstr>Ltg_ctrl</vt:lpstr>
      <vt:lpstr>Ltg_Space</vt:lpstr>
      <vt:lpstr>'7 Modeling Information'!Modeled_Square_Feet</vt:lpstr>
      <vt:lpstr>Path</vt:lpstr>
      <vt:lpstr>'1,2,3 Information'!Print_Area</vt:lpstr>
      <vt:lpstr>'5c-d. Special Circ Usage'!Print_Area</vt:lpstr>
      <vt:lpstr>'6a-b. Envelope'!Print_Area</vt:lpstr>
      <vt:lpstr>'6c. Fenestration'!Print_Area</vt:lpstr>
      <vt:lpstr>'6d. Interior LPD-Space Method'!Print_Area</vt:lpstr>
      <vt:lpstr>'6e. Ext LPD'!Print_Area</vt:lpstr>
      <vt:lpstr>'6f. Misc. Equip'!Print_Area</vt:lpstr>
      <vt:lpstr>'6g-h. Service HW'!Print_Area</vt:lpstr>
      <vt:lpstr>'6i. Actual Building Zone HVAC'!Print_Area</vt:lpstr>
      <vt:lpstr>'6j-n. Building Plant Eqp'!Print_Area</vt:lpstr>
      <vt:lpstr>'6o. Baseline Zone HVAC'!Print_Area</vt:lpstr>
      <vt:lpstr>'6p-t. Baseline Plant Eqp'!Print_Area</vt:lpstr>
      <vt:lpstr>'7 Modeling Information'!Print_Area</vt:lpstr>
      <vt:lpstr>'8b. Graphs - Actual v Modeled'!Print_Area</vt:lpstr>
      <vt:lpstr>'Color legend'!Print_Area</vt:lpstr>
      <vt:lpstr>Protocol</vt:lpstr>
      <vt:lpstr>ra</vt:lpstr>
      <vt:lpstr>rb</vt:lpstr>
      <vt:lpstr>rca</vt:lpstr>
      <vt:lpstr>rd</vt:lpstr>
      <vt:lpstr>re</vt:lpstr>
      <vt:lpstr>'6c. Fenestration'!Res</vt:lpstr>
      <vt:lpstr>rf</vt:lpstr>
      <vt:lpstr>Roof_Type</vt:lpstr>
      <vt:lpstr>Slab</vt:lpstr>
      <vt:lpstr>SxSCategories</vt:lpstr>
      <vt:lpstr>Type</vt:lpstr>
      <vt:lpstr>Wall_Type</vt:lpstr>
      <vt:lpstr>Yes_No</vt:lpstr>
    </vt:vector>
  </TitlesOfParts>
  <Manager/>
  <Company>City of New York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Department of Buildings</dc:creator>
  <cp:keywords/>
  <dc:description/>
  <cp:lastModifiedBy>Jean Kim (Buildings)</cp:lastModifiedBy>
  <cp:revision/>
  <cp:lastPrinted>2024-12-09T14:40:41Z</cp:lastPrinted>
  <dcterms:created xsi:type="dcterms:W3CDTF">2014-11-12T15:40:18Z</dcterms:created>
  <dcterms:modified xsi:type="dcterms:W3CDTF">2024-12-09T19:15:53Z</dcterms:modified>
  <cp:category/>
  <cp:contentStatus/>
</cp:coreProperties>
</file>